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chartsheets/sheet7.xml" ContentType="application/vnd.openxmlformats-officedocument.spreadsheetml.chart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1.xml" ContentType="application/vnd.openxmlformats-officedocument.spreadsheetml.comments+xml"/>
  <Override PartName="/xl/drawings/drawing1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3.xml" ContentType="application/vnd.openxmlformats-officedocument.spreadsheetml.pivotTable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roductosalimenticiossev-my.sharepoint.com/personal/analista_id_alimentossevilla_com/Documents/Escritorio/11. Indicador I+D/2026/6. Junio/"/>
    </mc:Choice>
  </mc:AlternateContent>
  <xr:revisionPtr revIDLastSave="1359" documentId="13_ncr:1_{EA058154-C0EA-4F33-92FD-3BE0BDCA53B7}" xr6:coauthVersionLast="47" xr6:coauthVersionMax="47" xr10:uidLastSave="{B6DA2594-C0D2-43B0-96D8-373CF191416F}"/>
  <bookViews>
    <workbookView xWindow="20370" yWindow="-120" windowWidth="20730" windowHeight="11040" tabRatio="824" firstSheet="88" activeTab="91" xr2:uid="{965198FE-B21C-4AA9-A24C-03DF58520B74}"/>
  </bookViews>
  <sheets>
    <sheet name="Gráfico1" sheetId="75" state="hidden" r:id="rId1"/>
    <sheet name="MATERIAS PRIMAS" sheetId="70" state="hidden" r:id="rId2"/>
    <sheet name="MATERIAL DE EMPAQUE" sheetId="71" state="hidden" r:id="rId3"/>
    <sheet name="Gráfico9" sheetId="79" state="hidden" r:id="rId4"/>
    <sheet name="Gráfico10" sheetId="80" state="hidden" r:id="rId5"/>
    <sheet name="Gráfico11" sheetId="81" state="hidden" r:id="rId6"/>
    <sheet name="Gráfico12" sheetId="82" state="hidden" r:id="rId7"/>
    <sheet name="Gráfico13" sheetId="85" state="hidden" r:id="rId8"/>
    <sheet name="MP OCT" sheetId="97" state="hidden" r:id="rId9"/>
    <sheet name="ME OCT" sheetId="100" state="hidden" r:id="rId10"/>
    <sheet name="EXPLOSION ME DIC 2022" sheetId="113" state="hidden" r:id="rId11"/>
    <sheet name="D1" sheetId="193" r:id="rId12"/>
    <sheet name="FAZAN" sheetId="192" r:id="rId13"/>
    <sheet name="MB FEB" sheetId="94" r:id="rId14"/>
    <sheet name="CERVECERO 500" sheetId="14" r:id="rId15"/>
    <sheet name="CERVECERO 750" sheetId="15" r:id="rId16"/>
    <sheet name="CERVECERO 1300" sheetId="63" r:id="rId17"/>
    <sheet name="CERVECERO 1500" sheetId="16" r:id="rId18"/>
    <sheet name="SCHON CERV PREM X 50 G" sheetId="55" r:id="rId19"/>
    <sheet name="OFTA CERV PREM X 6 UND" sheetId="62" r:id="rId20"/>
    <sheet name="SCHA JUMBO X 1200 G" sheetId="131" r:id="rId21"/>
    <sheet name="SCHA JUMBO X 450G fazán" sheetId="160" r:id="rId22"/>
    <sheet name="MINI PERRO X 1.0" sheetId="18" r:id="rId23"/>
    <sheet name="SCHA PERRO X 480 G - 12 UNDS" sheetId="33" r:id="rId24"/>
    <sheet name="SCHA S. PERRO X 500 " sheetId="179" r:id="rId25"/>
    <sheet name="SUPER PERRO X 2500" sheetId="17" r:id="rId26"/>
    <sheet name="SUPER PERRO X 2500 RX" sheetId="200" r:id="rId27"/>
    <sheet name="CHRZ CON TERNERA 110 G 2 UND" sheetId="34" r:id="rId28"/>
    <sheet name="CHORIZO CON TERNERA 220" sheetId="183" r:id="rId29"/>
    <sheet name="CHORIZO CON TERNERA 440 G FZAN" sheetId="145" r:id="rId30"/>
    <sheet name="CHORIZO CON TERNERA 1100" sheetId="162" r:id="rId31"/>
    <sheet name="CHORIZO DE CERDO 100 " sheetId="181" r:id="rId32"/>
    <sheet name="CHORIZO DE CERDO 250 FAZÁN" sheetId="157" r:id="rId33"/>
    <sheet name="CHORIZO DE CERDO 400 g" sheetId="146" r:id="rId34"/>
    <sheet name="CHORIZO DE CERDO 1000" sheetId="182" r:id="rId35"/>
    <sheet name="CHORIZO SANTARROSANO x 300" sheetId="119" r:id="rId36"/>
    <sheet name="CHORIZO SANTARROSANO x 130 g" sheetId="129" state="hidden" r:id="rId37"/>
    <sheet name="CHORIZO SANTARROSANO x 65 g" sheetId="130" state="hidden" r:id="rId38"/>
    <sheet name="PROPUESTA CERVECERITO" sheetId="90" state="hidden" r:id="rId39"/>
    <sheet name="CHORIZO SANTARROSANO x 480 " sheetId="156" r:id="rId40"/>
    <sheet name="CHORIZO SANTARROSANO x 1200" sheetId="178" r:id="rId41"/>
    <sheet name="CHORIZO SANTA COCTEL x 300" sheetId="180" r:id="rId42"/>
    <sheet name="CHORIZO SANTA COCTEL x 1000" sheetId="171" r:id="rId43"/>
    <sheet name="CHORIZO SANTA CORTO 480 " sheetId="173" r:id="rId44"/>
    <sheet name="CHORIZO SANTA LARGO x 1200 " sheetId="155" r:id="rId45"/>
    <sheet name="SCHA INSTITU x 1200" sheetId="174" state="hidden" r:id="rId46"/>
    <sheet name="JMN PREMIUM FZAN 120 G " sheetId="184" r:id="rId47"/>
    <sheet name="JMN PREMIUM FZAN 200 G" sheetId="22" r:id="rId48"/>
    <sheet name="JMN PREMIUM FZAN 220" sheetId="207" r:id="rId49"/>
    <sheet name="JMN PREMIUM 400 G" sheetId="21" r:id="rId50"/>
    <sheet name="HSA 450 G - 5 UNDS" sheetId="35" r:id="rId51"/>
    <sheet name="HSA 900 G - 10 UNDS" sheetId="24" r:id="rId52"/>
    <sheet name="HSA cja 2700 G - 30 UNDS" sheetId="23" r:id="rId53"/>
    <sheet name="HSA LOS PERRITOS" sheetId="120" state="hidden" r:id="rId54"/>
    <sheet name="ALTERNATIVA HSAS" sheetId="64" state="hidden" r:id="rId55"/>
    <sheet name="HSA POLLO 1425 X 15 " sheetId="136" r:id="rId56"/>
    <sheet name="HSA POLLO 1500 X10" sheetId="137" r:id="rId57"/>
    <sheet name="HSA POLLO 750 X5" sheetId="197" r:id="rId58"/>
    <sheet name="SCHA DESAYUNO 115 G - 5 UNDS" sheetId="36" r:id="rId59"/>
    <sheet name="SCHA DESAYUNO FZA x 240 x 7 UND" sheetId="140" r:id="rId60"/>
    <sheet name="SCHA DESAYUNO 480 G -14 UND" sheetId="25" r:id="rId61"/>
    <sheet name="PICK UP MILANESA" sheetId="13" state="hidden" r:id="rId62"/>
    <sheet name="MNESA POLLO 4 UND BRASSET V1." sheetId="56" state="hidden" r:id="rId63"/>
    <sheet name="MNESA POLLO 4 UND BRASSET V2." sheetId="65" state="hidden" r:id="rId64"/>
    <sheet name="SCHA DESAYUNO 960 G" sheetId="175" r:id="rId65"/>
    <sheet name="SCHA MANGUERA 560 G - 6 UND" sheetId="27" r:id="rId66"/>
    <sheet name="SCHA MANGUERA 1120G - 12UND" sheetId="172" r:id="rId67"/>
    <sheet name="MNESA APANADA 1800 G 15 UND" sheetId="26" r:id="rId68"/>
    <sheet name="MDELA FAIZAN  225 G 14 U CC" sheetId="30" state="hidden" r:id="rId69"/>
    <sheet name="EXPLORACIÓN LUCTA" sheetId="93" state="hidden" r:id="rId70"/>
    <sheet name="MEGA COMBO FAIZAN 675 G" sheetId="61" state="hidden" r:id="rId71"/>
    <sheet name="MDELA COLPAG X 250 UNDS" sheetId="66" state="hidden" r:id="rId72"/>
    <sheet name="MNESA APANADA 600 G 5 UNDS" sheetId="37" r:id="rId73"/>
    <sheet name="MNESA APANADA 240 G 2 UNDS" sheetId="190" r:id="rId74"/>
    <sheet name="SCHON AUTENTICO X 750 G" sheetId="38" r:id="rId75"/>
    <sheet name="SCHON AUTENTICO X 225 G" sheetId="29" r:id="rId76"/>
    <sheet name="MDELA FAIZAN  225 G 14 U SC" sheetId="39" r:id="rId77"/>
    <sheet name="SCHA CLÁSICA   225 G 9 UND" sheetId="31" r:id="rId78"/>
    <sheet name="SCHA CLÁSICA   450 G 18 UND" sheetId="49" r:id="rId79"/>
    <sheet name="SCHON POLLO BRAKEL X 500" sheetId="203" r:id="rId80"/>
    <sheet name="SCHON POLLO X 225 G" sheetId="28" r:id="rId81"/>
    <sheet name="MORTADELA JAMON X 225 " sheetId="163" r:id="rId82"/>
    <sheet name="CERVECERO FZAN  225" sheetId="165" r:id="rId83"/>
    <sheet name="MEGA COMBO FAIZAN 900 G NUEVO" sheetId="142" r:id="rId84"/>
    <sheet name="MEGA COMBO FAIZAN 675G X3 " sheetId="141" r:id="rId85"/>
    <sheet name="JMN SDW  INST  500 G 28 U " sheetId="51" r:id="rId86"/>
    <sheet name="JMN SDW  450 G 28 U " sheetId="52" r:id="rId87"/>
    <sheet name="JMN SDW  FZAN X 225 " sheetId="138" r:id="rId88"/>
    <sheet name="JMN SDW  EXITO X 225 " sheetId="168" r:id="rId89"/>
    <sheet name="SCHON TRAD VIANDÉ X 500 " sheetId="42" r:id="rId90"/>
    <sheet name="SCHON POLLO BRAKEL X 225" sheetId="40" r:id="rId91"/>
    <sheet name="MDELA VIANDÉ X 225 G - 17 UND S" sheetId="108" r:id="rId92"/>
    <sheet name="SCHON CERV VIANDÉ X 225 G" sheetId="44" r:id="rId93"/>
    <sheet name="MDELA VIANDÉ X 225 G 14 UND " sheetId="43" state="hidden" r:id="rId94"/>
    <sheet name="PROPUESTA MDELA ITALIAN" sheetId="101" state="hidden" r:id="rId95"/>
    <sheet name="SCHA VIANDÉ   225 G 8 UNDS" sheetId="45" r:id="rId96"/>
    <sheet name="SCHA VIANDÉ 450 G - 16 UNDS" sheetId="47" state="hidden" r:id="rId97"/>
    <sheet name="SCHA VIANDÉ 400 G " sheetId="57" state="hidden" r:id="rId98"/>
    <sheet name="SÚPER COMBO VIANDÉ 900 G" sheetId="46" r:id="rId99"/>
    <sheet name="Hoja6" sheetId="105" state="hidden" r:id="rId100"/>
    <sheet name="Hoja7" sheetId="106" state="hidden" r:id="rId101"/>
    <sheet name="JMN PREM VIANDÉ 300 G - 15" sheetId="48" state="hidden" r:id="rId102"/>
    <sheet name="PROPUESTA JMN SANDUCHE" sheetId="88" state="hidden" r:id="rId103"/>
    <sheet name="MPFEB" sheetId="124" state="hidden" r:id="rId104"/>
    <sheet name="JMN PREM VIANDÉ 300 G - 15 V2." sheetId="67" r:id="rId105"/>
    <sheet name="PERRO CALIENTE VIANDE x 240G" sheetId="143" r:id="rId106"/>
    <sheet name="SUPER PERRO VIANDE X 400G RX" sheetId="201" r:id="rId107"/>
    <sheet name="SALCHICHA UNINORTE" sheetId="186" r:id="rId108"/>
    <sheet name="SALCHICHA LONG" sheetId="185" r:id="rId109"/>
    <sheet name="CHORIZO TERNERA VIANDE" sheetId="149" r:id="rId110"/>
    <sheet name="CHORIZO SANTARRO VIANDE" sheetId="194" r:id="rId111"/>
    <sheet name="CHORIZO ANTIOQUEÑO VIANDE" sheetId="161" r:id="rId112"/>
    <sheet name="TOCINETA X 150 GRS FZAN" sheetId="187" r:id="rId113"/>
    <sheet name="TOCINETA X 1000 GRS FZAN" sheetId="191" r:id="rId114"/>
    <sheet name="TOCINETA X 150 RX" sheetId="198" r:id="rId115"/>
    <sheet name="TOCINETAx 400 rx" sheetId="205" r:id="rId116"/>
    <sheet name="TOCINETA X 1000 GRS RX" sheetId="199" r:id="rId117"/>
    <sheet name="SNACK  CERV PREM X 50 G " sheetId="195" r:id="rId118"/>
    <sheet name="OFTA SNACK  PREM X 3 UND" sheetId="196" r:id="rId119"/>
    <sheet name="SCHA SUIZA X 9" sheetId="202" r:id="rId120"/>
    <sheet name="CHORIZO RED ALIME" sheetId="206" r:id="rId121"/>
    <sheet name="MORTA JAMONADA 400" sheetId="204" r:id="rId122"/>
    <sheet name="PERNIL DE CERDO " sheetId="177" r:id="rId123"/>
    <sheet name="TOCINO BARR 1KG" sheetId="154" state="hidden" r:id="rId124"/>
    <sheet name="TOCINO PAPADA 1KG" sheetId="153" r:id="rId125"/>
    <sheet name="TOCINO BARRIGUERO 1KG" sheetId="152" r:id="rId126"/>
    <sheet name="CIF Y PV" sheetId="135" r:id="rId127"/>
    <sheet name="TD EXP ME" sheetId="112" state="hidden" r:id="rId128"/>
    <sheet name="Gráfico14" sheetId="117" state="hidden" r:id="rId129"/>
    <sheet name="PERNIL DE CERDO" sheetId="115" state="hidden" r:id="rId130"/>
    <sheet name="Hoja8" sheetId="107" state="hidden" r:id="rId131"/>
    <sheet name="JMN SDW  450 G 24 U " sheetId="60" state="hidden" r:id="rId132"/>
    <sheet name="EXPLOSIÓN ME DIC 2022" sheetId="110" state="hidden" r:id="rId133"/>
    <sheet name="SCHA AMERICANA QUESUDOS" sheetId="58" state="hidden" r:id="rId134"/>
    <sheet name="SCHA AMERICANA SAN ANDRÉS" sheetId="59" state="hidden" r:id="rId135"/>
    <sheet name="san andrés" sheetId="68" state="hidden" r:id="rId136"/>
    <sheet name="REPROCESO MORTADELA" sheetId="69" state="hidden" r:id="rId137"/>
    <sheet name="HUMO" sheetId="73" state="hidden" r:id="rId138"/>
    <sheet name="TOCINETA" sheetId="86" state="hidden" r:id="rId139"/>
    <sheet name="TOCINETA PP" sheetId="87" state="hidden" r:id="rId140"/>
  </sheets>
  <externalReferences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</externalReferences>
  <definedNames>
    <definedName name="_xlnm._FilterDatabase" localSheetId="54" hidden="1">'ALTERNATIVA HSAS'!$A$4:$K$22</definedName>
    <definedName name="_xlnm._FilterDatabase" localSheetId="17" hidden="1">'CERVECERO 1500'!$A$4:$J$17</definedName>
    <definedName name="_xlnm._FilterDatabase" localSheetId="14" hidden="1">'CERVECERO 500'!$B$4:$J$4</definedName>
    <definedName name="_xlnm._FilterDatabase" localSheetId="82" hidden="1">'CERVECERO FZAN  225'!$B$4:$J$4</definedName>
    <definedName name="_xlnm._FilterDatabase" localSheetId="120" hidden="1">'CHORIZO RED ALIME'!$A$4:$H$4</definedName>
    <definedName name="_xlnm._FilterDatabase" localSheetId="42" hidden="1">'CHORIZO SANTA COCTEL x 1000'!$B$4:$K$21</definedName>
    <definedName name="_xlnm._FilterDatabase" localSheetId="41" hidden="1">'CHORIZO SANTA COCTEL x 300'!$B$4:$K$21</definedName>
    <definedName name="_xlnm._FilterDatabase" localSheetId="43" hidden="1">'CHORIZO SANTA CORTO 480 '!$B$4:$K$21</definedName>
    <definedName name="_xlnm._FilterDatabase" localSheetId="44" hidden="1">'CHORIZO SANTA LARGO x 1200 '!$B$4:$K$21</definedName>
    <definedName name="_xlnm._FilterDatabase" localSheetId="40" hidden="1">'CHORIZO SANTARROSANO x 1200'!$B$4:$K$21</definedName>
    <definedName name="_xlnm._FilterDatabase" localSheetId="35" hidden="1">'CHORIZO SANTARROSANO x 300'!$B$4:$K$21</definedName>
    <definedName name="_xlnm._FilterDatabase" localSheetId="39" hidden="1">'CHORIZO SANTARROSANO x 480 '!$B$4:$K$21</definedName>
    <definedName name="_xlnm._FilterDatabase" localSheetId="126" hidden="1">'CIF Y PV'!$B$5:$C$5</definedName>
    <definedName name="_xlnm._FilterDatabase" localSheetId="11" hidden="1">'D1'!$A$2:$C$23</definedName>
    <definedName name="_xlnm._FilterDatabase" localSheetId="10" hidden="1">'EXPLOSION ME DIC 2022'!$A$1:$E$68</definedName>
    <definedName name="_xlnm._FilterDatabase" localSheetId="132" hidden="1">'EXPLOSIÓN ME DIC 2022'!$A$1:$J$127</definedName>
    <definedName name="_xlnm._FilterDatabase" localSheetId="12" hidden="1">FAZAN!$A$2:$C$74</definedName>
    <definedName name="_xlnm._FilterDatabase" localSheetId="100" hidden="1">Hoja7!$A$1:$B$1</definedName>
    <definedName name="_xlnm._FilterDatabase" localSheetId="53" hidden="1">'HSA LOS PERRITOS'!$B$4:$K$4</definedName>
    <definedName name="_xlnm._FilterDatabase" localSheetId="55" hidden="1">'HSA POLLO 1425 X 15 '!$B$4:$K$4</definedName>
    <definedName name="_xlnm._FilterDatabase" localSheetId="56" hidden="1">'HSA POLLO 1500 X10'!$B$4:$K$4</definedName>
    <definedName name="_xlnm._FilterDatabase" localSheetId="57" hidden="1">'HSA POLLO 750 X5'!$B$4:$K$4</definedName>
    <definedName name="_xlnm._FilterDatabase" localSheetId="137" hidden="1">HUMO!$A$1:$R$1</definedName>
    <definedName name="_xlnm._FilterDatabase" localSheetId="101" hidden="1">'JMN PREM VIANDÉ 300 G - 15'!$A$4:$K$25</definedName>
    <definedName name="_xlnm._FilterDatabase" localSheetId="104" hidden="1">'JMN PREM VIANDÉ 300 G - 15 V2.'!$A$56:$K$75</definedName>
    <definedName name="_xlnm._FilterDatabase" localSheetId="2" hidden="1">'MATERIAL DE EMPAQUE'!$A$1:$H$1</definedName>
    <definedName name="_xlnm._FilterDatabase" localSheetId="1" hidden="1">'MATERIAS PRIMAS'!$A$1:$I$72</definedName>
    <definedName name="_xlnm._FilterDatabase" localSheetId="13" hidden="1">'MB FEB'!$A$2:$F$77</definedName>
    <definedName name="_xlnm._FilterDatabase" localSheetId="71" hidden="1">'MDELA COLPAG X 250 UNDS'!$B$29:$J$29</definedName>
    <definedName name="_xlnm._FilterDatabase" localSheetId="91" hidden="1">'MDELA VIANDÉ X 225 G - 17 UND S'!$B$5:$K$5</definedName>
    <definedName name="_xlnm._FilterDatabase" localSheetId="93" hidden="1">'MDELA VIANDÉ X 225 G 14 UND '!$B$5:$J$5</definedName>
    <definedName name="_xlnm._FilterDatabase" localSheetId="9" hidden="1">'ME OCT'!$B$4:$G$71</definedName>
    <definedName name="_xlnm._FilterDatabase" localSheetId="22" hidden="1">'MINI PERRO X 1.0'!$B$4:$K$22</definedName>
    <definedName name="_xlnm._FilterDatabase" localSheetId="73" hidden="1">'MNESA APANADA 240 G 2 UNDS'!$A$4:$K$4</definedName>
    <definedName name="_xlnm._FilterDatabase" localSheetId="72" hidden="1">'MNESA APANADA 600 G 5 UNDS'!$A$4:$K$4</definedName>
    <definedName name="_xlnm._FilterDatabase" localSheetId="62" hidden="1">'MNESA POLLO 4 UND BRASSET V1.'!$B$4:$K$4</definedName>
    <definedName name="_xlnm._FilterDatabase" localSheetId="63" hidden="1">'MNESA POLLO 4 UND BRASSET V2.'!$B$4:$K$4</definedName>
    <definedName name="_xlnm._FilterDatabase" localSheetId="8" hidden="1">'MP OCT'!$B$4:$G$73</definedName>
    <definedName name="_xlnm._FilterDatabase" localSheetId="129" hidden="1">'PERNIL DE CERDO'!$B$4:$E$16</definedName>
    <definedName name="_xlnm._FilterDatabase" localSheetId="102" hidden="1">'PROPUESTA JMN SANDUCHE'!$B$4:$J$4</definedName>
    <definedName name="_xlnm._FilterDatabase" localSheetId="60" hidden="1">'SCHA DESAYUNO 480 G -14 UND'!$A$4:$K$4</definedName>
    <definedName name="_xlnm._FilterDatabase" localSheetId="64" hidden="1">'SCHA DESAYUNO 960 G'!$A$4:$K$4</definedName>
    <definedName name="_xlnm._FilterDatabase" localSheetId="45" hidden="1">'SCHA INSTITU x 1200'!$B$4:$K$24</definedName>
    <definedName name="_xlnm._FilterDatabase" localSheetId="21" hidden="1">'SCHA JUMBO X 450G fazán'!$A$4:$K$24</definedName>
    <definedName name="_xlnm._FilterDatabase" localSheetId="66" hidden="1">'SCHA MANGUERA 1120G - 12UND'!$B$4:$I$4</definedName>
    <definedName name="_xlnm._FilterDatabase" localSheetId="65" hidden="1">'SCHA MANGUERA 560 G - 6 UND'!$B$4:$I$4</definedName>
    <definedName name="_xlnm._FilterDatabase" localSheetId="119" hidden="1">'SCHA SUIZA X 9'!$B$4:$H$4</definedName>
    <definedName name="_xlnm._FilterDatabase" localSheetId="95" hidden="1">'SCHA VIANDÉ   225 G 8 UNDS'!$A$29:$K$47</definedName>
    <definedName name="_xlnm._FilterDatabase" localSheetId="97" hidden="1">'SCHA VIANDÉ 400 G '!$B$39:$F$39</definedName>
    <definedName name="_xlnm._FilterDatabase" localSheetId="74" hidden="1">'SCHON AUTENTICO X 750 G'!$A$4:$K$4</definedName>
    <definedName name="_xlnm._FilterDatabase" localSheetId="18" hidden="1">'SCHON CERV PREM X 50 G'!$A$4:$K$4</definedName>
    <definedName name="_xlnm._FilterDatabase" localSheetId="90" hidden="1">'SCHON POLLO BRAKEL X 225'!$A$4:$K$22</definedName>
    <definedName name="_xlnm._FilterDatabase" localSheetId="79" hidden="1">'SCHON POLLO BRAKEL X 500'!$A$4:$K$4</definedName>
    <definedName name="_xlnm._FilterDatabase" localSheetId="80" hidden="1">'SCHON POLLO X 225 G'!$A$4:$K$22</definedName>
    <definedName name="_xlnm._FilterDatabase" localSheetId="89" hidden="1">'SCHON TRAD VIANDÉ X 500 '!$A$4:$K$22</definedName>
    <definedName name="_xlnm._FilterDatabase" localSheetId="117" hidden="1">'SNACK  CERV PREM X 50 G '!$A$4:$K$4</definedName>
    <definedName name="_xlnm._FilterDatabase" localSheetId="25" hidden="1">'SUPER PERRO X 2500'!$A$4:$K$23</definedName>
    <definedName name="_xlnm._FilterDatabase" localSheetId="26" hidden="1">'SUPER PERRO X 2500 RX'!$A$4:$K$23</definedName>
    <definedName name="_xlnm._FilterDatabase" localSheetId="127" hidden="1">'TD EXP ME'!$A$1:$B$69</definedName>
    <definedName name="_xlnm._FilterDatabase" localSheetId="113" hidden="1">'TOCINETA X 1000 GRS FZAN'!$A$4:$K$25</definedName>
    <definedName name="_xlnm._FilterDatabase" localSheetId="116" hidden="1">'TOCINETA X 1000 GRS RX'!$A$4:$K$25</definedName>
    <definedName name="_xlnm._FilterDatabase" localSheetId="112" hidden="1">'TOCINETA X 150 GRS FZAN'!$A$4:$K$25</definedName>
    <definedName name="_xlnm._FilterDatabase" localSheetId="114" hidden="1">'TOCINETA X 150 RX'!$A$4:$K$25</definedName>
    <definedName name="_xlnm._FilterDatabase" localSheetId="115" hidden="1">'TOCINETAx 400 rx'!$A$4:$H$25</definedName>
    <definedName name="_xlnm.Print_Area" localSheetId="54">'ALTERNATIVA HSAS'!$A$1:$M$77</definedName>
    <definedName name="_xlnm.Print_Area" localSheetId="16">'CERVECERO 1300'!$A$1:$L$46</definedName>
    <definedName name="_xlnm.Print_Area" localSheetId="17">'CERVECERO 1500'!$A$1:$L$48</definedName>
    <definedName name="_xlnm.Print_Area" localSheetId="14">'CERVECERO 500'!$A$1:$M$45</definedName>
    <definedName name="_xlnm.Print_Area" localSheetId="15">'CERVECERO 750'!$A$1:$M$46</definedName>
    <definedName name="_xlnm.Print_Area" localSheetId="82">'CERVECERO FZAN  225'!$A$1:$N$44</definedName>
    <definedName name="_xlnm.Print_Area" localSheetId="111">'CHORIZO ANTIOQUEÑO VIANDE'!$A$1:$N$53</definedName>
    <definedName name="_xlnm.Print_Area" localSheetId="30">'CHORIZO CON TERNERA 1100'!$A$1:$O$45</definedName>
    <definedName name="_xlnm.Print_Area" localSheetId="28">'CHORIZO CON TERNERA 220'!$A$1:$L$46</definedName>
    <definedName name="_xlnm.Print_Area" localSheetId="29">'CHORIZO CON TERNERA 440 G FZAN'!$A$1:$L$54</definedName>
    <definedName name="_xlnm.Print_Area" localSheetId="31">'CHORIZO DE CERDO 100 '!$A$1:$N$46</definedName>
    <definedName name="_xlnm.Print_Area" localSheetId="34">'CHORIZO DE CERDO 1000'!$A$1:$M$46</definedName>
    <definedName name="_xlnm.Print_Area" localSheetId="32">'CHORIZO DE CERDO 250 FAZÁN'!$A$1:$N$48</definedName>
    <definedName name="_xlnm.Print_Area" localSheetId="33">'CHORIZO DE CERDO 400 g'!$A$1:$N$48</definedName>
    <definedName name="_xlnm.Print_Area" localSheetId="120">'CHORIZO RED ALIME'!$A$1:$N$50</definedName>
    <definedName name="_xlnm.Print_Area" localSheetId="110">'CHORIZO SANTARRO VIANDE'!$A$1:$N$48</definedName>
    <definedName name="_xlnm.Print_Area" localSheetId="109">'CHORIZO TERNERA VIANDE'!$A$1:$N$55</definedName>
    <definedName name="_xlnm.Print_Area" localSheetId="27">'CHRZ CON TERNERA 110 G 2 UND'!$A$1:$N$46</definedName>
    <definedName name="_xlnm.Print_Area" localSheetId="11">'D1'!$A$1:$E$47</definedName>
    <definedName name="_xlnm.Print_Area" localSheetId="69">'EXPLORACIÓN LUCTA'!$A$1:$L$49</definedName>
    <definedName name="_xlnm.Print_Area" localSheetId="10">'EXPLOSION ME DIC 2022'!$A$1:$E$70</definedName>
    <definedName name="_xlnm.Print_Area" localSheetId="132">'EXPLOSIÓN ME DIC 2022'!$A$1:$J$127</definedName>
    <definedName name="_xlnm.Print_Area" localSheetId="12">FAZAN!$A$1:$F$103</definedName>
    <definedName name="_xlnm.Print_Area" localSheetId="50">'HSA 450 G - 5 UNDS'!$A$1:$L$48</definedName>
    <definedName name="_xlnm.Print_Area" localSheetId="51">'HSA 900 G - 10 UNDS'!$A$1:$O$49</definedName>
    <definedName name="_xlnm.Print_Area" localSheetId="52">'HSA cja 2700 G - 30 UNDS'!$A$1:$L$50</definedName>
    <definedName name="_xlnm.Print_Area" localSheetId="53">'HSA LOS PERRITOS'!$A$1:$M$54</definedName>
    <definedName name="_xlnm.Print_Area" localSheetId="55">'HSA POLLO 1425 X 15 '!$A$1:$N$47</definedName>
    <definedName name="_xlnm.Print_Area" localSheetId="56">'HSA POLLO 1500 X10'!$A$1:$N$49</definedName>
    <definedName name="_xlnm.Print_Area" localSheetId="57">'HSA POLLO 750 X5'!$A$1:$N$48</definedName>
    <definedName name="_xlnm.Print_Area" localSheetId="137">HUMO!$A$1:$T$4</definedName>
    <definedName name="_xlnm.Print_Area" localSheetId="101">'JMN PREM VIANDÉ 300 G - 15'!$A$1:$L$51</definedName>
    <definedName name="_xlnm.Print_Area" localSheetId="104">'JMN PREM VIANDÉ 300 G - 15 V2.'!$A$2:$N$109</definedName>
    <definedName name="_xlnm.Print_Area" localSheetId="49">'JMN PREMIUM 400 G'!$A$1:$L$54</definedName>
    <definedName name="_xlnm.Print_Area" localSheetId="46">'JMN PREMIUM FZAN 120 G '!$A$1:$L$55</definedName>
    <definedName name="_xlnm.Print_Area" localSheetId="47">'JMN PREMIUM FZAN 200 G'!$A$1:$L$56</definedName>
    <definedName name="_xlnm.Print_Area" localSheetId="48">'JMN PREMIUM FZAN 220'!$A$1:$L$56</definedName>
    <definedName name="_xlnm.Print_Area" localSheetId="86">'JMN SDW  450 G 28 U '!$A$1:$L$62</definedName>
    <definedName name="_xlnm.Print_Area" localSheetId="88">'JMN SDW  EXITO X 225 '!$A$1:$L$61</definedName>
    <definedName name="_xlnm.Print_Area" localSheetId="87">'JMN SDW  FZAN X 225 '!$A$1:$L$62</definedName>
    <definedName name="_xlnm.Print_Area" localSheetId="85">'JMN SDW  INST  500 G 28 U '!$A$1:$U$59</definedName>
    <definedName name="_xlnm.Print_Area" localSheetId="2">'MATERIAL DE EMPAQUE'!$A$1:$H$71</definedName>
    <definedName name="_xlnm.Print_Area" localSheetId="1">'MATERIAS PRIMAS'!$A$1:$I$72</definedName>
    <definedName name="_xlnm.Print_Area" localSheetId="13">'MB FEB'!$A$1:$G$86</definedName>
    <definedName name="_xlnm.Print_Area" localSheetId="68">'MDELA FAIZAN  225 G 14 U CC'!$A$1:$K$50</definedName>
    <definedName name="_xlnm.Print_Area" localSheetId="76">'MDELA FAIZAN  225 G 14 U SC'!$A$1:$L$62</definedName>
    <definedName name="_xlnm.Print_Area" localSheetId="91">'MDELA VIANDÉ X 225 G - 17 UND S'!$A$1:$N$85</definedName>
    <definedName name="_xlnm.Print_Area" localSheetId="93">'MDELA VIANDÉ X 225 G 14 UND '!$A$1:$L$75</definedName>
    <definedName name="_xlnm.Print_Area" localSheetId="9">'ME OCT'!$A$1:$H$72</definedName>
    <definedName name="_xlnm.Print_Area" localSheetId="84">'MEGA COMBO FAIZAN 675G X3 '!$A$1:$K$35</definedName>
    <definedName name="_xlnm.Print_Area" localSheetId="83">'MEGA COMBO FAIZAN 900 G NUEVO'!$A$1:$K$36</definedName>
    <definedName name="_xlnm.Print_Area" localSheetId="22">'MINI PERRO X 1.0'!$A$1:$M$52</definedName>
    <definedName name="_xlnm.Print_Area" localSheetId="67">'MNESA APANADA 1800 G 15 UND'!$A$1:$L$63</definedName>
    <definedName name="_xlnm.Print_Area" localSheetId="73">'MNESA APANADA 240 G 2 UNDS'!$A$1:$N$63</definedName>
    <definedName name="_xlnm.Print_Area" localSheetId="72">'MNESA APANADA 600 G 5 UNDS'!$A$1:$N$63</definedName>
    <definedName name="_xlnm.Print_Area" localSheetId="62">'MNESA POLLO 4 UND BRASSET V1.'!$A$1:$N$83</definedName>
    <definedName name="_xlnm.Print_Area" localSheetId="121">'MORTA JAMONADA 400'!$A$1:$L$56</definedName>
    <definedName name="_xlnm.Print_Area" localSheetId="81">'MORTADELA JAMON X 225 '!$A$1:$L$61</definedName>
    <definedName name="_xlnm.Print_Area" localSheetId="8">'MP OCT'!$A$1:$H$74</definedName>
    <definedName name="_xlnm.Print_Area" localSheetId="19">'OFTA CERV PREM X 6 UND'!$A$1:$K$32</definedName>
    <definedName name="_xlnm.Print_Area" localSheetId="118">'OFTA SNACK  PREM X 3 UND'!$A$1:$K$33</definedName>
    <definedName name="_xlnm.Print_Area" localSheetId="129">'PERNIL DE CERDO'!$A$1:$J$50</definedName>
    <definedName name="_xlnm.Print_Area" localSheetId="122">'PERNIL DE CERDO '!$A$1:$Q$51</definedName>
    <definedName name="_xlnm.Print_Area" localSheetId="105">'PERRO CALIENTE VIANDE x 240G'!$A$1:$N$56</definedName>
    <definedName name="_xlnm.Print_Area" localSheetId="61">'PICK UP MILANESA'!$A$1:$L$27</definedName>
    <definedName name="_xlnm.Print_Area" localSheetId="136">'REPROCESO MORTADELA'!$A$1:$M$4</definedName>
    <definedName name="_xlnm.Print_Area" localSheetId="108">'SALCHICHA LONG'!$A$1:$N$55</definedName>
    <definedName name="_xlnm.Print_Area" localSheetId="107">'SALCHICHA UNINORTE'!$A$1:$N$55</definedName>
    <definedName name="_xlnm.Print_Area" localSheetId="77">'SCHA CLÁSICA   225 G 9 UND'!$A$1:$N$55</definedName>
    <definedName name="_xlnm.Print_Area" localSheetId="78">'SCHA CLÁSICA   450 G 18 UND'!$A$1:$L$51</definedName>
    <definedName name="_xlnm.Print_Area" localSheetId="58">'SCHA DESAYUNO 115 G - 5 UNDS'!$A$1:$N$52</definedName>
    <definedName name="_xlnm.Print_Area" localSheetId="60">'SCHA DESAYUNO 480 G -14 UND'!$A$1:$L$52</definedName>
    <definedName name="_xlnm.Print_Area" localSheetId="64">'SCHA DESAYUNO 960 G'!$A$1:$N$51</definedName>
    <definedName name="_xlnm.Print_Area" localSheetId="59">'SCHA DESAYUNO FZA x 240 x 7 UND'!$A$1:$N$52</definedName>
    <definedName name="_xlnm.Print_Area" localSheetId="20">'SCHA JUMBO X 1200 G'!$A$1:$N$50</definedName>
    <definedName name="_xlnm.Print_Area" localSheetId="21">'SCHA JUMBO X 450G fazán'!$A$1:$L$55</definedName>
    <definedName name="_xlnm.Print_Area" localSheetId="66">'SCHA MANGUERA 1120G - 12UND'!$A$1:$N$50</definedName>
    <definedName name="_xlnm.Print_Area" localSheetId="65">'SCHA MANGUERA 560 G - 6 UND'!$A$1:$N$49</definedName>
    <definedName name="_xlnm.Print_Area" localSheetId="23">'SCHA PERRO X 480 G - 12 UNDS'!$A$1:$L$52</definedName>
    <definedName name="_xlnm.Print_Area" localSheetId="24">'SCHA S. PERRO X 500 '!$A$1:$N$56</definedName>
    <definedName name="_xlnm.Print_Area" localSheetId="95">'SCHA VIANDÉ   225 G 8 UNDS'!$A$1:$O$74</definedName>
    <definedName name="_xlnm.Print_Area" localSheetId="97">'SCHA VIANDÉ 400 G '!$A$1:$H$51</definedName>
    <definedName name="_xlnm.Print_Area" localSheetId="75">'SCHON AUTENTICO X 225 G'!$A$1:$L$50</definedName>
    <definedName name="_xlnm.Print_Area" localSheetId="74">'SCHON AUTENTICO X 750 G'!$A$1:$L$52</definedName>
    <definedName name="_xlnm.Print_Area" localSheetId="18">'SCHON CERV PREM X 50 G'!$A$1:$N$49</definedName>
    <definedName name="_xlnm.Print_Area" localSheetId="92">'SCHON CERV VIANDÉ X 225 G'!$A$1:$L$45</definedName>
    <definedName name="_xlnm.Print_Area" localSheetId="90">'SCHON POLLO BRAKEL X 225'!$A$1:$L$51</definedName>
    <definedName name="_xlnm.Print_Area" localSheetId="79">'SCHON POLLO BRAKEL X 500'!$A$1:$N$49</definedName>
    <definedName name="_xlnm.Print_Area" localSheetId="80">'SCHON POLLO X 225 G'!$A$1:$L$50</definedName>
    <definedName name="_xlnm.Print_Area" localSheetId="89">'SCHON TRAD VIANDÉ X 500 '!$A$1:$N$52</definedName>
    <definedName name="_xlnm.Print_Area" localSheetId="117">'SNACK  CERV PREM X 50 G '!$A$1:$N$54</definedName>
    <definedName name="_xlnm.Print_Area" localSheetId="98">'SÚPER COMBO VIANDÉ 900 G'!$A$1:$M$38</definedName>
    <definedName name="_xlnm.Print_Area" localSheetId="106">'SUPER PERRO VIANDE X 400G RX'!$A$1:$P$55</definedName>
    <definedName name="_xlnm.Print_Area" localSheetId="25">'SUPER PERRO X 2500'!$A$1:$L$51</definedName>
    <definedName name="_xlnm.Print_Area" localSheetId="26">'SUPER PERRO X 2500 RX'!$A$1:$L$51</definedName>
    <definedName name="_xlnm.Print_Area" localSheetId="113">'TOCINETA X 1000 GRS FZAN'!$A$1:$P$55</definedName>
    <definedName name="_xlnm.Print_Area" localSheetId="116">'TOCINETA X 1000 GRS RX'!$A$1:$P$55</definedName>
    <definedName name="_xlnm.Print_Area" localSheetId="112">'TOCINETA X 150 GRS FZAN'!$A$1:$P$56</definedName>
    <definedName name="_xlnm.Print_Area" localSheetId="114">'TOCINETA X 150 RX'!$A$1:$P$55</definedName>
    <definedName name="_xlnm.Print_Area" localSheetId="115">'TOCINETAx 400 rx'!$A$1:$P$55</definedName>
    <definedName name="_xlnm.Print_Area" localSheetId="123">'TOCINO BARR 1KG'!$A$1:$L$78</definedName>
    <definedName name="_xlnm.Print_Area" localSheetId="125">'TOCINO BARRIGUERO 1KG'!$A$1:$I$78</definedName>
    <definedName name="_xlnm.Print_Area" localSheetId="124">'TOCINO PAPADA 1KG'!$A$1:$I$78</definedName>
  </definedNames>
  <calcPr calcId="191029"/>
  <pivotCaches>
    <pivotCache cacheId="0" r:id="rId152"/>
    <pivotCache cacheId="1" r:id="rId153"/>
    <pivotCache cacheId="2" r:id="rId15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4" l="1"/>
  <c r="H49" i="207" l="1"/>
  <c r="H51" i="207"/>
  <c r="H47" i="207"/>
  <c r="J45" i="207"/>
  <c r="H45" i="207"/>
  <c r="B45" i="207"/>
  <c r="E45" i="207" s="1"/>
  <c r="I45" i="207" s="1"/>
  <c r="J44" i="207"/>
  <c r="H44" i="207"/>
  <c r="B44" i="207"/>
  <c r="E44" i="207" s="1"/>
  <c r="B43" i="207"/>
  <c r="E43" i="207" s="1"/>
  <c r="F43" i="207" s="1"/>
  <c r="H42" i="207"/>
  <c r="B42" i="207"/>
  <c r="E42" i="207" s="1"/>
  <c r="F42" i="207" s="1"/>
  <c r="J41" i="207"/>
  <c r="H41" i="207"/>
  <c r="B41" i="207"/>
  <c r="E41" i="207" s="1"/>
  <c r="J40" i="207"/>
  <c r="H40" i="207"/>
  <c r="H46" i="207" s="1"/>
  <c r="B40" i="207"/>
  <c r="E40" i="207" s="1"/>
  <c r="F40" i="207" s="1"/>
  <c r="H39" i="207"/>
  <c r="G39" i="207"/>
  <c r="F39" i="207"/>
  <c r="E39" i="207"/>
  <c r="C36" i="207"/>
  <c r="D27" i="207"/>
  <c r="K4" i="207" s="1"/>
  <c r="E25" i="207"/>
  <c r="D25" i="207"/>
  <c r="B24" i="207"/>
  <c r="F24" i="207" s="1"/>
  <c r="G24" i="207" s="1"/>
  <c r="I23" i="207"/>
  <c r="B23" i="207"/>
  <c r="F23" i="207" s="1"/>
  <c r="I22" i="207"/>
  <c r="B22" i="207"/>
  <c r="F22" i="207" s="1"/>
  <c r="I21" i="207"/>
  <c r="B21" i="207"/>
  <c r="F21" i="207" s="1"/>
  <c r="I20" i="207"/>
  <c r="B20" i="207"/>
  <c r="F20" i="207" s="1"/>
  <c r="I19" i="207"/>
  <c r="B19" i="207"/>
  <c r="F19" i="207" s="1"/>
  <c r="I18" i="207"/>
  <c r="B18" i="207"/>
  <c r="F18" i="207" s="1"/>
  <c r="I17" i="207"/>
  <c r="B17" i="207"/>
  <c r="F17" i="207" s="1"/>
  <c r="I16" i="207"/>
  <c r="B16" i="207"/>
  <c r="F16" i="207" s="1"/>
  <c r="I15" i="207"/>
  <c r="F15" i="207"/>
  <c r="I14" i="207"/>
  <c r="B14" i="207"/>
  <c r="F14" i="207" s="1"/>
  <c r="I13" i="207"/>
  <c r="B13" i="207"/>
  <c r="F13" i="207" s="1"/>
  <c r="I12" i="207"/>
  <c r="B12" i="207"/>
  <c r="F12" i="207" s="1"/>
  <c r="I11" i="207"/>
  <c r="B11" i="207"/>
  <c r="F11" i="207" s="1"/>
  <c r="I10" i="207"/>
  <c r="B10" i="207"/>
  <c r="F10" i="207" s="1"/>
  <c r="I9" i="207"/>
  <c r="B9" i="207"/>
  <c r="F9" i="207" s="1"/>
  <c r="I8" i="207"/>
  <c r="B8" i="207"/>
  <c r="F8" i="207" s="1"/>
  <c r="I7" i="207"/>
  <c r="B7" i="207"/>
  <c r="F7" i="207" s="1"/>
  <c r="I6" i="207"/>
  <c r="I25" i="207" s="1"/>
  <c r="B6" i="207"/>
  <c r="F6" i="207" s="1"/>
  <c r="I5" i="207"/>
  <c r="B5" i="207"/>
  <c r="F5" i="207" s="1"/>
  <c r="I4" i="207"/>
  <c r="H4" i="207"/>
  <c r="G4" i="207"/>
  <c r="F4" i="207"/>
  <c r="F6" i="202"/>
  <c r="F7" i="202"/>
  <c r="F8" i="202"/>
  <c r="F9" i="202"/>
  <c r="F10" i="202"/>
  <c r="F11" i="202"/>
  <c r="F12" i="202"/>
  <c r="F13" i="202"/>
  <c r="F14" i="202"/>
  <c r="F15" i="202"/>
  <c r="F16" i="202"/>
  <c r="F17" i="202"/>
  <c r="F18" i="202"/>
  <c r="F19" i="202"/>
  <c r="F20" i="202"/>
  <c r="F21" i="202"/>
  <c r="F22" i="202"/>
  <c r="F23" i="202"/>
  <c r="E21" i="44"/>
  <c r="G9" i="44"/>
  <c r="F6" i="44"/>
  <c r="G6" i="44" s="1"/>
  <c r="F7" i="44"/>
  <c r="F8" i="44"/>
  <c r="F10" i="44"/>
  <c r="G10" i="44" s="1"/>
  <c r="F11" i="44"/>
  <c r="G11" i="44" s="1"/>
  <c r="F12" i="44"/>
  <c r="G12" i="44" s="1"/>
  <c r="F13" i="44"/>
  <c r="G13" i="44" s="1"/>
  <c r="F14" i="44"/>
  <c r="G14" i="44" s="1"/>
  <c r="F15" i="44"/>
  <c r="G15" i="44" s="1"/>
  <c r="F16" i="44"/>
  <c r="G16" i="44" s="1"/>
  <c r="F17" i="44"/>
  <c r="G17" i="44" s="1"/>
  <c r="F18" i="44"/>
  <c r="G18" i="44" s="1"/>
  <c r="F19" i="44"/>
  <c r="G19" i="44" s="1"/>
  <c r="F20" i="44"/>
  <c r="G20" i="44" s="1"/>
  <c r="H54" i="163"/>
  <c r="D39" i="165"/>
  <c r="F6" i="163"/>
  <c r="G6" i="163" s="1"/>
  <c r="F7" i="163"/>
  <c r="G7" i="163" s="1"/>
  <c r="F8" i="163"/>
  <c r="G8" i="163" s="1"/>
  <c r="F9" i="163"/>
  <c r="G9" i="163" s="1"/>
  <c r="F10" i="163"/>
  <c r="G10" i="163" s="1"/>
  <c r="F11" i="163"/>
  <c r="G11" i="163" s="1"/>
  <c r="F12" i="163"/>
  <c r="G12" i="163" s="1"/>
  <c r="F13" i="163"/>
  <c r="G13" i="163" s="1"/>
  <c r="F14" i="163"/>
  <c r="G14" i="163" s="1"/>
  <c r="F15" i="163"/>
  <c r="G15" i="163" s="1"/>
  <c r="F16" i="163"/>
  <c r="G16" i="163" s="1"/>
  <c r="F17" i="163"/>
  <c r="G17" i="163" s="1"/>
  <c r="F18" i="163"/>
  <c r="G18" i="163" s="1"/>
  <c r="F19" i="163"/>
  <c r="G19" i="163" s="1"/>
  <c r="F20" i="163"/>
  <c r="G20" i="163" s="1"/>
  <c r="F21" i="163"/>
  <c r="G21" i="163" s="1"/>
  <c r="F22" i="163"/>
  <c r="G22" i="163" s="1"/>
  <c r="F23" i="163"/>
  <c r="G23" i="163" s="1"/>
  <c r="F24" i="163"/>
  <c r="G24" i="163" s="1"/>
  <c r="F25" i="163"/>
  <c r="G25" i="163" s="1"/>
  <c r="F26" i="163"/>
  <c r="G26" i="163" s="1"/>
  <c r="F27" i="163"/>
  <c r="G27" i="163" s="1"/>
  <c r="F28" i="163"/>
  <c r="G28" i="163" s="1"/>
  <c r="F29" i="163"/>
  <c r="G29" i="163" s="1"/>
  <c r="G7" i="29"/>
  <c r="F19" i="29"/>
  <c r="G19" i="29" s="1"/>
  <c r="G7" i="38"/>
  <c r="F19" i="38"/>
  <c r="G19" i="38" s="1"/>
  <c r="G8" i="27"/>
  <c r="F12" i="27"/>
  <c r="G12" i="27" s="1"/>
  <c r="F23" i="25"/>
  <c r="F23" i="36"/>
  <c r="G19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F15" i="24"/>
  <c r="G14" i="24" s="1"/>
  <c r="F17" i="24"/>
  <c r="G16" i="24" s="1"/>
  <c r="F15" i="35"/>
  <c r="F17" i="35"/>
  <c r="K10" i="207" l="1"/>
  <c r="K12" i="207"/>
  <c r="J21" i="207"/>
  <c r="G21" i="207"/>
  <c r="J17" i="207"/>
  <c r="G17" i="207"/>
  <c r="J7" i="207"/>
  <c r="G7" i="207"/>
  <c r="J9" i="207"/>
  <c r="G9" i="207"/>
  <c r="J5" i="207"/>
  <c r="G5" i="207"/>
  <c r="J19" i="207"/>
  <c r="G19" i="207"/>
  <c r="J23" i="207"/>
  <c r="G23" i="207"/>
  <c r="J14" i="207"/>
  <c r="G14" i="207"/>
  <c r="J6" i="207"/>
  <c r="G6" i="207"/>
  <c r="J10" i="207"/>
  <c r="G10" i="207"/>
  <c r="K14" i="207"/>
  <c r="I40" i="207"/>
  <c r="F45" i="207"/>
  <c r="J15" i="207"/>
  <c r="G15" i="207"/>
  <c r="J20" i="207"/>
  <c r="G20" i="207"/>
  <c r="K6" i="207"/>
  <c r="I41" i="207"/>
  <c r="F41" i="207"/>
  <c r="K22" i="207"/>
  <c r="K20" i="207"/>
  <c r="K18" i="207"/>
  <c r="K16" i="207"/>
  <c r="K24" i="207"/>
  <c r="K13" i="207"/>
  <c r="K11" i="207"/>
  <c r="K9" i="207"/>
  <c r="K7" i="207"/>
  <c r="K5" i="207"/>
  <c r="K23" i="207"/>
  <c r="K21" i="207"/>
  <c r="K19" i="207"/>
  <c r="K17" i="207"/>
  <c r="K15" i="207"/>
  <c r="K8" i="207"/>
  <c r="J13" i="207"/>
  <c r="G13" i="207"/>
  <c r="J18" i="207"/>
  <c r="G18" i="207"/>
  <c r="J16" i="207"/>
  <c r="G16" i="207"/>
  <c r="I44" i="207"/>
  <c r="F44" i="207"/>
  <c r="J11" i="207"/>
  <c r="G11" i="207"/>
  <c r="J12" i="207"/>
  <c r="G12" i="207"/>
  <c r="J8" i="207"/>
  <c r="G8" i="207"/>
  <c r="J22" i="207"/>
  <c r="G22" i="207"/>
  <c r="F46" i="207" l="1"/>
  <c r="I46" i="207" s="1"/>
  <c r="G25" i="207"/>
  <c r="J25" i="207" s="1"/>
  <c r="H48" i="207" l="1"/>
  <c r="H50" i="207" s="1"/>
  <c r="H52" i="207" s="1"/>
  <c r="F10" i="15" l="1"/>
  <c r="G10" i="15" s="1"/>
  <c r="F11" i="15"/>
  <c r="G11" i="15" s="1"/>
  <c r="E70" i="152" l="1"/>
  <c r="E71" i="152"/>
  <c r="E69" i="152"/>
  <c r="E40" i="152"/>
  <c r="E41" i="152"/>
  <c r="E42" i="152"/>
  <c r="E43" i="152"/>
  <c r="E44" i="152"/>
  <c r="E45" i="152"/>
  <c r="E46" i="152"/>
  <c r="E47" i="152"/>
  <c r="E48" i="152"/>
  <c r="E49" i="152"/>
  <c r="E50" i="152"/>
  <c r="E51" i="152"/>
  <c r="E39" i="152"/>
  <c r="E70" i="153"/>
  <c r="E71" i="153"/>
  <c r="E69" i="153"/>
  <c r="E40" i="153"/>
  <c r="E41" i="153"/>
  <c r="E42" i="153"/>
  <c r="E43" i="153"/>
  <c r="E44" i="153"/>
  <c r="E45" i="153"/>
  <c r="E46" i="153"/>
  <c r="E47" i="153"/>
  <c r="E48" i="153"/>
  <c r="E49" i="153"/>
  <c r="E50" i="153"/>
  <c r="E51" i="153"/>
  <c r="E52" i="153"/>
  <c r="E39" i="153"/>
  <c r="F6" i="177"/>
  <c r="F7" i="177"/>
  <c r="F8" i="177"/>
  <c r="F9" i="177"/>
  <c r="F10" i="177"/>
  <c r="F11" i="177"/>
  <c r="F12" i="177"/>
  <c r="F13" i="177"/>
  <c r="F14" i="177"/>
  <c r="F15" i="177"/>
  <c r="F16" i="177"/>
  <c r="F5" i="177"/>
  <c r="E43" i="204"/>
  <c r="E44" i="204"/>
  <c r="E45" i="204"/>
  <c r="E46" i="204"/>
  <c r="F9" i="204"/>
  <c r="F17" i="204"/>
  <c r="E39" i="206"/>
  <c r="E40" i="206"/>
  <c r="E41" i="206"/>
  <c r="E38" i="206"/>
  <c r="F6" i="206"/>
  <c r="F7" i="206"/>
  <c r="F8" i="206"/>
  <c r="F10" i="206"/>
  <c r="F11" i="206"/>
  <c r="F12" i="206"/>
  <c r="F13" i="206"/>
  <c r="F14" i="206"/>
  <c r="F15" i="206"/>
  <c r="F16" i="206"/>
  <c r="F17" i="206"/>
  <c r="F18" i="206"/>
  <c r="F19" i="206"/>
  <c r="F20" i="206"/>
  <c r="F21" i="206"/>
  <c r="F22" i="206"/>
  <c r="F5" i="206"/>
  <c r="E40" i="202"/>
  <c r="E41" i="202"/>
  <c r="E42" i="202"/>
  <c r="E43" i="202"/>
  <c r="E39" i="202"/>
  <c r="F5" i="202"/>
  <c r="E23" i="196"/>
  <c r="E22" i="196"/>
  <c r="E43" i="195"/>
  <c r="E41" i="195"/>
  <c r="F14" i="195"/>
  <c r="F23" i="195"/>
  <c r="E41" i="199"/>
  <c r="E42" i="199"/>
  <c r="E43" i="199"/>
  <c r="E40" i="199"/>
  <c r="F6" i="199"/>
  <c r="F7" i="199"/>
  <c r="F8" i="199"/>
  <c r="F9" i="199"/>
  <c r="F10" i="199"/>
  <c r="F11" i="199"/>
  <c r="F12" i="199"/>
  <c r="F13" i="199"/>
  <c r="F14" i="199"/>
  <c r="F15" i="199"/>
  <c r="F16" i="199"/>
  <c r="F17" i="199"/>
  <c r="F18" i="199"/>
  <c r="F19" i="199"/>
  <c r="F20" i="199"/>
  <c r="F21" i="199"/>
  <c r="F22" i="199"/>
  <c r="F23" i="199"/>
  <c r="F24" i="199"/>
  <c r="F5" i="199"/>
  <c r="E41" i="205"/>
  <c r="E42" i="205"/>
  <c r="E43" i="205"/>
  <c r="E40" i="205"/>
  <c r="F6" i="205"/>
  <c r="F7" i="205"/>
  <c r="F8" i="205"/>
  <c r="F9" i="205"/>
  <c r="F10" i="205"/>
  <c r="F11" i="205"/>
  <c r="F12" i="205"/>
  <c r="F13" i="205"/>
  <c r="F14" i="205"/>
  <c r="F15" i="205"/>
  <c r="F16" i="205"/>
  <c r="F17" i="205"/>
  <c r="F18" i="205"/>
  <c r="F19" i="205"/>
  <c r="F20" i="205"/>
  <c r="F21" i="205"/>
  <c r="F22" i="205"/>
  <c r="F23" i="205"/>
  <c r="F24" i="205"/>
  <c r="F5" i="205"/>
  <c r="E41" i="198"/>
  <c r="E42" i="198"/>
  <c r="E43" i="198"/>
  <c r="E40" i="198"/>
  <c r="F6" i="198"/>
  <c r="F7" i="198"/>
  <c r="F8" i="198"/>
  <c r="F9" i="198"/>
  <c r="F10" i="198"/>
  <c r="F11" i="198"/>
  <c r="F12" i="198"/>
  <c r="F13" i="198"/>
  <c r="F14" i="198"/>
  <c r="F15" i="198"/>
  <c r="F16" i="198"/>
  <c r="F17" i="198"/>
  <c r="F18" i="198"/>
  <c r="F19" i="198"/>
  <c r="F20" i="198"/>
  <c r="F21" i="198"/>
  <c r="F22" i="198"/>
  <c r="F23" i="198"/>
  <c r="F24" i="198"/>
  <c r="F5" i="198"/>
  <c r="F6" i="187"/>
  <c r="F7" i="187"/>
  <c r="F8" i="187"/>
  <c r="F9" i="187"/>
  <c r="F10" i="187"/>
  <c r="F11" i="187"/>
  <c r="F12" i="187"/>
  <c r="F13" i="187"/>
  <c r="F14" i="187"/>
  <c r="F15" i="187"/>
  <c r="F16" i="187"/>
  <c r="F17" i="187"/>
  <c r="F18" i="187"/>
  <c r="F19" i="187"/>
  <c r="F20" i="187"/>
  <c r="F21" i="187"/>
  <c r="F22" i="187"/>
  <c r="F23" i="187"/>
  <c r="F24" i="187"/>
  <c r="F5" i="187"/>
  <c r="E43" i="161"/>
  <c r="E44" i="161"/>
  <c r="E45" i="161"/>
  <c r="E42" i="161"/>
  <c r="F6" i="161"/>
  <c r="F7" i="161"/>
  <c r="F8" i="161"/>
  <c r="F9" i="161"/>
  <c r="F10" i="161"/>
  <c r="F11" i="161"/>
  <c r="F12" i="161"/>
  <c r="F13" i="161"/>
  <c r="F14" i="161"/>
  <c r="F15" i="161"/>
  <c r="F16" i="161"/>
  <c r="F17" i="161"/>
  <c r="F18" i="161"/>
  <c r="F19" i="161"/>
  <c r="F20" i="161"/>
  <c r="F21" i="161"/>
  <c r="F22" i="161"/>
  <c r="F23" i="161"/>
  <c r="F24" i="161"/>
  <c r="F25" i="161"/>
  <c r="F26" i="161"/>
  <c r="F5" i="161"/>
  <c r="E38" i="194"/>
  <c r="E39" i="194"/>
  <c r="E40" i="194"/>
  <c r="E37" i="194"/>
  <c r="F6" i="194"/>
  <c r="F7" i="194"/>
  <c r="F8" i="194"/>
  <c r="F9" i="194"/>
  <c r="F10" i="194"/>
  <c r="F11" i="194"/>
  <c r="F12" i="194"/>
  <c r="F13" i="194"/>
  <c r="F14" i="194"/>
  <c r="F15" i="194"/>
  <c r="F16" i="194"/>
  <c r="F17" i="194"/>
  <c r="F18" i="194"/>
  <c r="F19" i="194"/>
  <c r="F20" i="194"/>
  <c r="F21" i="194"/>
  <c r="F5" i="194"/>
  <c r="E45" i="149"/>
  <c r="E46" i="149"/>
  <c r="E47" i="149"/>
  <c r="E44" i="149"/>
  <c r="F6" i="149"/>
  <c r="G6" i="149" s="1"/>
  <c r="F7" i="149"/>
  <c r="G7" i="149" s="1"/>
  <c r="F8" i="149"/>
  <c r="G8" i="149" s="1"/>
  <c r="F9" i="149"/>
  <c r="G9" i="149" s="1"/>
  <c r="F10" i="149"/>
  <c r="G10" i="149" s="1"/>
  <c r="F11" i="149"/>
  <c r="G11" i="149" s="1"/>
  <c r="F12" i="149"/>
  <c r="G12" i="149" s="1"/>
  <c r="F13" i="149"/>
  <c r="G13" i="149" s="1"/>
  <c r="F14" i="149"/>
  <c r="G14" i="149" s="1"/>
  <c r="F15" i="149"/>
  <c r="G15" i="149" s="1"/>
  <c r="F16" i="149"/>
  <c r="G16" i="149" s="1"/>
  <c r="F17" i="149"/>
  <c r="G17" i="149" s="1"/>
  <c r="F18" i="149"/>
  <c r="G18" i="149" s="1"/>
  <c r="F19" i="149"/>
  <c r="G19" i="149" s="1"/>
  <c r="F20" i="149"/>
  <c r="G20" i="149" s="1"/>
  <c r="F21" i="149"/>
  <c r="G21" i="149" s="1"/>
  <c r="F22" i="149"/>
  <c r="G22" i="149" s="1"/>
  <c r="F23" i="149"/>
  <c r="G23" i="149" s="1"/>
  <c r="F24" i="149"/>
  <c r="G24" i="149" s="1"/>
  <c r="F25" i="149"/>
  <c r="G25" i="149" s="1"/>
  <c r="F26" i="149"/>
  <c r="G26" i="149" s="1"/>
  <c r="F27" i="149"/>
  <c r="G27" i="149" s="1"/>
  <c r="F28" i="149"/>
  <c r="G28" i="149" s="1"/>
  <c r="F5" i="149"/>
  <c r="E45" i="185"/>
  <c r="E46" i="185"/>
  <c r="E47" i="185"/>
  <c r="E44" i="185"/>
  <c r="E29" i="185"/>
  <c r="F6" i="185"/>
  <c r="F7" i="185"/>
  <c r="F8" i="185"/>
  <c r="F9" i="185"/>
  <c r="F10" i="185"/>
  <c r="F11" i="185"/>
  <c r="F12" i="185"/>
  <c r="F13" i="185"/>
  <c r="F14" i="185"/>
  <c r="F15" i="185"/>
  <c r="F16" i="185"/>
  <c r="F17" i="185"/>
  <c r="F18" i="185"/>
  <c r="F19" i="185"/>
  <c r="F20" i="185"/>
  <c r="F21" i="185"/>
  <c r="F22" i="185"/>
  <c r="F23" i="185"/>
  <c r="F24" i="185"/>
  <c r="F25" i="185"/>
  <c r="F26" i="185"/>
  <c r="F27" i="185"/>
  <c r="F28" i="185"/>
  <c r="F5" i="185"/>
  <c r="E45" i="186"/>
  <c r="E46" i="186"/>
  <c r="E47" i="186"/>
  <c r="E44" i="186"/>
  <c r="E29" i="186"/>
  <c r="F6" i="186"/>
  <c r="F7" i="186"/>
  <c r="F8" i="186"/>
  <c r="F9" i="186"/>
  <c r="F10" i="186"/>
  <c r="F11" i="186"/>
  <c r="F12" i="186"/>
  <c r="F13" i="186"/>
  <c r="F14" i="186"/>
  <c r="F15" i="186"/>
  <c r="F16" i="186"/>
  <c r="F17" i="186"/>
  <c r="F18" i="186"/>
  <c r="F19" i="186"/>
  <c r="F20" i="186"/>
  <c r="F21" i="186"/>
  <c r="F22" i="186"/>
  <c r="F23" i="186"/>
  <c r="F24" i="186"/>
  <c r="F25" i="186"/>
  <c r="F26" i="186"/>
  <c r="F27" i="186"/>
  <c r="F28" i="186"/>
  <c r="F5" i="186"/>
  <c r="E45" i="201"/>
  <c r="E46" i="201"/>
  <c r="E47" i="201"/>
  <c r="E44" i="201"/>
  <c r="F6" i="201"/>
  <c r="G6" i="201" s="1"/>
  <c r="F7" i="201"/>
  <c r="G7" i="201" s="1"/>
  <c r="F8" i="201"/>
  <c r="G8" i="201" s="1"/>
  <c r="F9" i="201"/>
  <c r="G9" i="201" s="1"/>
  <c r="F10" i="201"/>
  <c r="G10" i="201" s="1"/>
  <c r="F11" i="201"/>
  <c r="G11" i="201" s="1"/>
  <c r="F12" i="201"/>
  <c r="G12" i="201" s="1"/>
  <c r="F13" i="201"/>
  <c r="G13" i="201" s="1"/>
  <c r="F14" i="201"/>
  <c r="G14" i="201" s="1"/>
  <c r="F15" i="201"/>
  <c r="G15" i="201" s="1"/>
  <c r="F16" i="201"/>
  <c r="G16" i="201" s="1"/>
  <c r="F17" i="201"/>
  <c r="G17" i="201" s="1"/>
  <c r="F18" i="201"/>
  <c r="G18" i="201" s="1"/>
  <c r="F19" i="201"/>
  <c r="G19" i="201" s="1"/>
  <c r="F20" i="201"/>
  <c r="G20" i="201" s="1"/>
  <c r="F21" i="201"/>
  <c r="G21" i="201" s="1"/>
  <c r="F22" i="201"/>
  <c r="G22" i="201" s="1"/>
  <c r="F23" i="201"/>
  <c r="G23" i="201" s="1"/>
  <c r="F24" i="201"/>
  <c r="G24" i="201" s="1"/>
  <c r="F25" i="201"/>
  <c r="G25" i="201" s="1"/>
  <c r="F26" i="201"/>
  <c r="G26" i="201" s="1"/>
  <c r="F27" i="201"/>
  <c r="G27" i="201" s="1"/>
  <c r="F28" i="201"/>
  <c r="G28" i="201" s="1"/>
  <c r="F5" i="201"/>
  <c r="E46" i="143"/>
  <c r="E47" i="143"/>
  <c r="E48" i="143"/>
  <c r="E45" i="143"/>
  <c r="F6" i="143"/>
  <c r="F7" i="143"/>
  <c r="F8" i="143"/>
  <c r="F9" i="143"/>
  <c r="F10" i="143"/>
  <c r="F11" i="143"/>
  <c r="F12" i="143"/>
  <c r="F13" i="143"/>
  <c r="F14" i="143"/>
  <c r="F15" i="143"/>
  <c r="F16" i="143"/>
  <c r="F17" i="143"/>
  <c r="F18" i="143"/>
  <c r="F19" i="143"/>
  <c r="F20" i="143"/>
  <c r="F21" i="143"/>
  <c r="F22" i="143"/>
  <c r="F23" i="143"/>
  <c r="F24" i="143"/>
  <c r="F25" i="143"/>
  <c r="F26" i="143"/>
  <c r="F27" i="143"/>
  <c r="F28" i="143"/>
  <c r="F29" i="143"/>
  <c r="F5" i="143"/>
  <c r="F94" i="67"/>
  <c r="F95" i="67"/>
  <c r="F96" i="67"/>
  <c r="F97" i="67"/>
  <c r="F93" i="67"/>
  <c r="G58" i="67"/>
  <c r="H58" i="67" s="1"/>
  <c r="G59" i="67"/>
  <c r="H59" i="67" s="1"/>
  <c r="G60" i="67"/>
  <c r="H60" i="67" s="1"/>
  <c r="G61" i="67"/>
  <c r="H61" i="67" s="1"/>
  <c r="G62" i="67"/>
  <c r="H62" i="67" s="1"/>
  <c r="G63" i="67"/>
  <c r="H63" i="67" s="1"/>
  <c r="G64" i="67"/>
  <c r="H64" i="67" s="1"/>
  <c r="G65" i="67"/>
  <c r="H65" i="67" s="1"/>
  <c r="G66" i="67"/>
  <c r="H66" i="67" s="1"/>
  <c r="G67" i="67"/>
  <c r="H67" i="67" s="1"/>
  <c r="G68" i="67"/>
  <c r="H68" i="67" s="1"/>
  <c r="G69" i="67"/>
  <c r="H69" i="67" s="1"/>
  <c r="G70" i="67"/>
  <c r="H70" i="67" s="1"/>
  <c r="G71" i="67"/>
  <c r="H71" i="67" s="1"/>
  <c r="G72" i="67"/>
  <c r="H72" i="67" s="1"/>
  <c r="G73" i="67"/>
  <c r="H73" i="67" s="1"/>
  <c r="G74" i="67"/>
  <c r="H74" i="67" s="1"/>
  <c r="G75" i="67"/>
  <c r="H75" i="67" s="1"/>
  <c r="G76" i="67"/>
  <c r="H76" i="67" s="1"/>
  <c r="G57" i="67"/>
  <c r="E26" i="46"/>
  <c r="E25" i="46"/>
  <c r="E65" i="45"/>
  <c r="E66" i="45"/>
  <c r="E64" i="45"/>
  <c r="F31" i="45"/>
  <c r="G31" i="45" s="1"/>
  <c r="F32" i="45"/>
  <c r="G32" i="45" s="1"/>
  <c r="F33" i="45"/>
  <c r="G33" i="45" s="1"/>
  <c r="F34" i="45"/>
  <c r="G34" i="45" s="1"/>
  <c r="F35" i="45"/>
  <c r="G35" i="45" s="1"/>
  <c r="F36" i="45"/>
  <c r="G36" i="45" s="1"/>
  <c r="F37" i="45"/>
  <c r="G37" i="45" s="1"/>
  <c r="F38" i="45"/>
  <c r="G38" i="45" s="1"/>
  <c r="F39" i="45"/>
  <c r="G39" i="45" s="1"/>
  <c r="F40" i="45"/>
  <c r="G40" i="45" s="1"/>
  <c r="F41" i="45"/>
  <c r="G41" i="45" s="1"/>
  <c r="F42" i="45"/>
  <c r="G42" i="45" s="1"/>
  <c r="F43" i="45"/>
  <c r="G43" i="45" s="1"/>
  <c r="F44" i="45"/>
  <c r="G44" i="45" s="1"/>
  <c r="F45" i="45"/>
  <c r="G45" i="45" s="1"/>
  <c r="F46" i="45"/>
  <c r="G46" i="45" s="1"/>
  <c r="F47" i="45"/>
  <c r="G47" i="45" s="1"/>
  <c r="F30" i="45"/>
  <c r="E37" i="44"/>
  <c r="E36" i="44"/>
  <c r="F5" i="44"/>
  <c r="E71" i="108"/>
  <c r="E72" i="108"/>
  <c r="E73" i="108"/>
  <c r="E70" i="108"/>
  <c r="F7" i="108"/>
  <c r="F8" i="108"/>
  <c r="F9" i="108"/>
  <c r="F10" i="108"/>
  <c r="F11" i="108"/>
  <c r="F12" i="108"/>
  <c r="F13" i="108"/>
  <c r="F14" i="108"/>
  <c r="F15" i="108"/>
  <c r="F16" i="108"/>
  <c r="F17" i="108"/>
  <c r="F18" i="108"/>
  <c r="F19" i="108"/>
  <c r="F20" i="108"/>
  <c r="F21" i="108"/>
  <c r="F22" i="108"/>
  <c r="F23" i="108"/>
  <c r="F24" i="108"/>
  <c r="F25" i="108"/>
  <c r="F26" i="108"/>
  <c r="F27" i="108"/>
  <c r="F28" i="108"/>
  <c r="F29" i="108"/>
  <c r="F6" i="108"/>
  <c r="E39" i="40"/>
  <c r="E38" i="40"/>
  <c r="F6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5" i="40"/>
  <c r="E41" i="42"/>
  <c r="E42" i="42"/>
  <c r="E40" i="42"/>
  <c r="F6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5" i="42"/>
  <c r="E46" i="168"/>
  <c r="E47" i="168"/>
  <c r="E48" i="168"/>
  <c r="E49" i="168"/>
  <c r="E50" i="168"/>
  <c r="E45" i="168"/>
  <c r="F6" i="168"/>
  <c r="F7" i="168"/>
  <c r="F8" i="168"/>
  <c r="F9" i="168"/>
  <c r="F10" i="168"/>
  <c r="F11" i="168"/>
  <c r="F12" i="168"/>
  <c r="F13" i="168"/>
  <c r="F14" i="168"/>
  <c r="F15" i="168"/>
  <c r="F16" i="168"/>
  <c r="F17" i="168"/>
  <c r="F18" i="168"/>
  <c r="F19" i="168"/>
  <c r="F20" i="168"/>
  <c r="F21" i="168"/>
  <c r="F22" i="168"/>
  <c r="F23" i="168"/>
  <c r="F24" i="168"/>
  <c r="F25" i="168"/>
  <c r="F26" i="168"/>
  <c r="F27" i="168"/>
  <c r="F28" i="168"/>
  <c r="F29" i="168"/>
  <c r="F5" i="168"/>
  <c r="E47" i="138"/>
  <c r="E48" i="138"/>
  <c r="E49" i="138"/>
  <c r="E50" i="138"/>
  <c r="E51" i="138"/>
  <c r="E46" i="138"/>
  <c r="F6" i="138"/>
  <c r="G6" i="138" s="1"/>
  <c r="F7" i="138"/>
  <c r="G7" i="138" s="1"/>
  <c r="F8" i="138"/>
  <c r="G8" i="138" s="1"/>
  <c r="F9" i="138"/>
  <c r="G9" i="138" s="1"/>
  <c r="F10" i="138"/>
  <c r="G10" i="138" s="1"/>
  <c r="F11" i="138"/>
  <c r="G11" i="138" s="1"/>
  <c r="F12" i="138"/>
  <c r="G12" i="138" s="1"/>
  <c r="F13" i="138"/>
  <c r="G13" i="138" s="1"/>
  <c r="F14" i="138"/>
  <c r="G14" i="138" s="1"/>
  <c r="F15" i="138"/>
  <c r="G15" i="138" s="1"/>
  <c r="F16" i="138"/>
  <c r="G16" i="138" s="1"/>
  <c r="F17" i="138"/>
  <c r="G17" i="138" s="1"/>
  <c r="F18" i="138"/>
  <c r="G18" i="138" s="1"/>
  <c r="F19" i="138"/>
  <c r="G19" i="138" s="1"/>
  <c r="F20" i="138"/>
  <c r="G20" i="138" s="1"/>
  <c r="F21" i="138"/>
  <c r="G21" i="138" s="1"/>
  <c r="F22" i="138"/>
  <c r="G22" i="138" s="1"/>
  <c r="F23" i="138"/>
  <c r="G23" i="138" s="1"/>
  <c r="F24" i="138"/>
  <c r="G24" i="138" s="1"/>
  <c r="F25" i="138"/>
  <c r="G25" i="138" s="1"/>
  <c r="F26" i="138"/>
  <c r="G26" i="138" s="1"/>
  <c r="F27" i="138"/>
  <c r="G27" i="138" s="1"/>
  <c r="F28" i="138"/>
  <c r="G28" i="138" s="1"/>
  <c r="F29" i="138"/>
  <c r="G29" i="138" s="1"/>
  <c r="F30" i="138"/>
  <c r="G30" i="138" s="1"/>
  <c r="F5" i="138"/>
  <c r="E47" i="52"/>
  <c r="E48" i="52"/>
  <c r="E49" i="52"/>
  <c r="E50" i="52"/>
  <c r="E51" i="52"/>
  <c r="E46" i="52"/>
  <c r="F6" i="52"/>
  <c r="G6" i="52" s="1"/>
  <c r="F7" i="52"/>
  <c r="G7" i="52" s="1"/>
  <c r="F8" i="52"/>
  <c r="G8" i="52" s="1"/>
  <c r="F9" i="52"/>
  <c r="G9" i="52" s="1"/>
  <c r="F10" i="52"/>
  <c r="G10" i="52" s="1"/>
  <c r="F11" i="52"/>
  <c r="G11" i="52" s="1"/>
  <c r="F12" i="52"/>
  <c r="G12" i="52" s="1"/>
  <c r="F13" i="52"/>
  <c r="G13" i="52" s="1"/>
  <c r="F14" i="52"/>
  <c r="G14" i="52" s="1"/>
  <c r="F15" i="52"/>
  <c r="G15" i="52" s="1"/>
  <c r="F16" i="52"/>
  <c r="G16" i="52" s="1"/>
  <c r="F17" i="52"/>
  <c r="G17" i="52" s="1"/>
  <c r="F18" i="52"/>
  <c r="G18" i="52" s="1"/>
  <c r="F19" i="52"/>
  <c r="G19" i="52" s="1"/>
  <c r="F20" i="52"/>
  <c r="G20" i="52" s="1"/>
  <c r="F21" i="52"/>
  <c r="G21" i="52" s="1"/>
  <c r="F22" i="52"/>
  <c r="G22" i="52" s="1"/>
  <c r="F23" i="52"/>
  <c r="G23" i="52" s="1"/>
  <c r="F24" i="52"/>
  <c r="G24" i="52" s="1"/>
  <c r="F25" i="52"/>
  <c r="G25" i="52" s="1"/>
  <c r="F26" i="52"/>
  <c r="G26" i="52" s="1"/>
  <c r="F27" i="52"/>
  <c r="G27" i="52" s="1"/>
  <c r="F28" i="52"/>
  <c r="G28" i="52" s="1"/>
  <c r="F29" i="52"/>
  <c r="G29" i="52" s="1"/>
  <c r="F30" i="52"/>
  <c r="G30" i="52" s="1"/>
  <c r="F5" i="52"/>
  <c r="E47" i="51"/>
  <c r="E48" i="51"/>
  <c r="E49" i="51"/>
  <c r="E50" i="51"/>
  <c r="E46" i="51"/>
  <c r="F6" i="51"/>
  <c r="F7" i="51"/>
  <c r="F8" i="51"/>
  <c r="F9" i="51"/>
  <c r="F10" i="51"/>
  <c r="F11" i="51"/>
  <c r="F12" i="51"/>
  <c r="F13" i="51"/>
  <c r="F14" i="51"/>
  <c r="F15" i="51"/>
  <c r="F16" i="51"/>
  <c r="F17" i="51"/>
  <c r="F18" i="51"/>
  <c r="F19" i="51"/>
  <c r="F20" i="51"/>
  <c r="F21" i="51"/>
  <c r="F22" i="51"/>
  <c r="F23" i="51"/>
  <c r="F24" i="51"/>
  <c r="F25" i="51"/>
  <c r="F26" i="51"/>
  <c r="F27" i="51"/>
  <c r="F28" i="51"/>
  <c r="F29" i="51"/>
  <c r="F30" i="51"/>
  <c r="F5" i="51"/>
  <c r="E25" i="142"/>
  <c r="E35" i="165"/>
  <c r="E34" i="165"/>
  <c r="F6" i="165"/>
  <c r="F7" i="165"/>
  <c r="F8" i="165"/>
  <c r="F9" i="165"/>
  <c r="F10" i="165"/>
  <c r="F11" i="165"/>
  <c r="F12" i="165"/>
  <c r="F13" i="165"/>
  <c r="F14" i="165"/>
  <c r="F15" i="165"/>
  <c r="F16" i="165"/>
  <c r="F17" i="165"/>
  <c r="F18" i="165"/>
  <c r="F5" i="165"/>
  <c r="E46" i="163"/>
  <c r="E47" i="163"/>
  <c r="E48" i="163"/>
  <c r="E49" i="163"/>
  <c r="E50" i="163"/>
  <c r="E45" i="163"/>
  <c r="F5" i="163"/>
  <c r="E39" i="28"/>
  <c r="F6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5" i="28"/>
  <c r="E39" i="203"/>
  <c r="E40" i="203"/>
  <c r="E38" i="203"/>
  <c r="F6" i="203"/>
  <c r="F8" i="203"/>
  <c r="F9" i="203"/>
  <c r="F10" i="203"/>
  <c r="F11" i="203"/>
  <c r="F12" i="203"/>
  <c r="F13" i="203"/>
  <c r="F14" i="203"/>
  <c r="F15" i="203"/>
  <c r="F16" i="203"/>
  <c r="F17" i="203"/>
  <c r="F18" i="203"/>
  <c r="F19" i="203"/>
  <c r="F20" i="203"/>
  <c r="F21" i="203"/>
  <c r="F22" i="203"/>
  <c r="F5" i="203"/>
  <c r="E39" i="49"/>
  <c r="E40" i="49"/>
  <c r="E41" i="49"/>
  <c r="E38" i="49"/>
  <c r="F6" i="49"/>
  <c r="F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0" i="49"/>
  <c r="F21" i="49"/>
  <c r="F22" i="49"/>
  <c r="F5" i="49"/>
  <c r="E39" i="31"/>
  <c r="E40" i="31"/>
  <c r="E41" i="31"/>
  <c r="E38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5" i="31"/>
  <c r="E46" i="39"/>
  <c r="E47" i="39"/>
  <c r="E48" i="39"/>
  <c r="E49" i="39"/>
  <c r="E50" i="39"/>
  <c r="E45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6" i="39"/>
  <c r="F45" i="26" l="1"/>
  <c r="F12" i="172"/>
  <c r="F23" i="175"/>
  <c r="E41" i="140"/>
  <c r="E41" i="36"/>
  <c r="E42" i="36"/>
  <c r="E39" i="23"/>
  <c r="F5" i="23"/>
  <c r="F5" i="24"/>
  <c r="F5" i="35"/>
  <c r="F7" i="21"/>
  <c r="F15" i="21"/>
  <c r="F15" i="22"/>
  <c r="F7" i="184"/>
  <c r="F15" i="184"/>
  <c r="F20" i="155"/>
  <c r="F20" i="173"/>
  <c r="F20" i="171"/>
  <c r="F20" i="180"/>
  <c r="F20" i="178"/>
  <c r="F20" i="156"/>
  <c r="F20" i="119"/>
  <c r="E34" i="162"/>
  <c r="E35" i="162"/>
  <c r="E36" i="162"/>
  <c r="E33" i="162"/>
  <c r="E37" i="145"/>
  <c r="F18" i="145"/>
  <c r="F18" i="183"/>
  <c r="E35" i="34"/>
  <c r="F18" i="34"/>
  <c r="E40" i="200"/>
  <c r="E41" i="200"/>
  <c r="E42" i="200"/>
  <c r="F10" i="200"/>
  <c r="F11" i="200"/>
  <c r="F18" i="200"/>
  <c r="E40" i="17"/>
  <c r="E41" i="17"/>
  <c r="F10" i="17"/>
  <c r="F11" i="17"/>
  <c r="F18" i="17"/>
  <c r="E41" i="179"/>
  <c r="F10" i="179"/>
  <c r="F11" i="179"/>
  <c r="F18" i="179"/>
  <c r="F10" i="33"/>
  <c r="F11" i="33"/>
  <c r="F18" i="33"/>
  <c r="E40" i="18"/>
  <c r="F10" i="18"/>
  <c r="F11" i="18"/>
  <c r="F18" i="18"/>
  <c r="E40" i="160"/>
  <c r="E41" i="160"/>
  <c r="E42" i="160"/>
  <c r="E43" i="160"/>
  <c r="E39" i="160"/>
  <c r="F7" i="160"/>
  <c r="F7" i="131"/>
  <c r="E22" i="62"/>
  <c r="E36" i="55"/>
  <c r="E37" i="55"/>
  <c r="E38" i="55"/>
  <c r="E39" i="55"/>
  <c r="E40" i="55"/>
  <c r="E35" i="55"/>
  <c r="F11" i="55"/>
  <c r="M11" i="55" s="1"/>
  <c r="F13" i="55"/>
  <c r="F19" i="55"/>
  <c r="E36" i="16"/>
  <c r="E37" i="16"/>
  <c r="E35" i="16"/>
  <c r="F10" i="16"/>
  <c r="F11" i="16"/>
  <c r="E36" i="63"/>
  <c r="E37" i="63"/>
  <c r="E35" i="63"/>
  <c r="F10" i="63"/>
  <c r="F11" i="63"/>
  <c r="E36" i="15"/>
  <c r="E37" i="15"/>
  <c r="E35" i="15"/>
  <c r="E36" i="14"/>
  <c r="E35" i="14"/>
  <c r="F10" i="14"/>
  <c r="F11" i="14"/>
  <c r="F37" i="145" l="1"/>
  <c r="F41" i="36"/>
  <c r="B40" i="36"/>
  <c r="E40" i="36" s="1"/>
  <c r="E37" i="204" l="1"/>
  <c r="F46" i="204"/>
  <c r="F44" i="204"/>
  <c r="F45" i="204"/>
  <c r="F43" i="204"/>
  <c r="K13" i="195"/>
  <c r="L13" i="195"/>
  <c r="B13" i="195"/>
  <c r="E41" i="191"/>
  <c r="E42" i="191"/>
  <c r="E43" i="191"/>
  <c r="E40" i="191"/>
  <c r="F6" i="191"/>
  <c r="F7" i="191"/>
  <c r="F8" i="191"/>
  <c r="F9" i="191"/>
  <c r="F10" i="191"/>
  <c r="F11" i="191"/>
  <c r="F12" i="191"/>
  <c r="F13" i="191"/>
  <c r="F14" i="191"/>
  <c r="F15" i="191"/>
  <c r="F16" i="191"/>
  <c r="F17" i="191"/>
  <c r="F18" i="191"/>
  <c r="F19" i="191"/>
  <c r="F20" i="191"/>
  <c r="F21" i="191"/>
  <c r="F22" i="191"/>
  <c r="F23" i="191"/>
  <c r="F24" i="191"/>
  <c r="F5" i="191"/>
  <c r="E41" i="187"/>
  <c r="E42" i="187"/>
  <c r="E43" i="187"/>
  <c r="E44" i="187"/>
  <c r="E40" i="187"/>
  <c r="M11" i="201"/>
  <c r="M10" i="201"/>
  <c r="M8" i="201"/>
  <c r="M9" i="201"/>
  <c r="G12" i="143"/>
  <c r="E40" i="28"/>
  <c r="F45" i="190"/>
  <c r="F45" i="37"/>
  <c r="K11" i="172"/>
  <c r="B11" i="172"/>
  <c r="K12" i="27"/>
  <c r="L12" i="27"/>
  <c r="G15" i="35"/>
  <c r="G10" i="200"/>
  <c r="G10" i="17"/>
  <c r="G11" i="179"/>
  <c r="G10" i="18"/>
  <c r="G11" i="18"/>
  <c r="G18" i="18"/>
  <c r="G11" i="55"/>
  <c r="G10" i="16"/>
  <c r="G10" i="63"/>
  <c r="E20" i="35"/>
  <c r="K15" i="35"/>
  <c r="G10" i="14"/>
  <c r="K16" i="138"/>
  <c r="K17" i="138"/>
  <c r="K18" i="138"/>
  <c r="K19" i="138"/>
  <c r="K20" i="138"/>
  <c r="K21" i="138"/>
  <c r="K22" i="138"/>
  <c r="K23" i="138"/>
  <c r="K24" i="138"/>
  <c r="K25" i="138"/>
  <c r="K26" i="138"/>
  <c r="K27" i="138"/>
  <c r="K28" i="138"/>
  <c r="K29" i="138"/>
  <c r="K30" i="138"/>
  <c r="K15" i="138"/>
  <c r="K6" i="138"/>
  <c r="K7" i="138"/>
  <c r="K8" i="138"/>
  <c r="K9" i="138"/>
  <c r="K10" i="138"/>
  <c r="K11" i="138"/>
  <c r="K12" i="138"/>
  <c r="K13" i="138"/>
  <c r="K14" i="138"/>
  <c r="K16" i="52"/>
  <c r="K17" i="52"/>
  <c r="K18" i="52"/>
  <c r="K19" i="52"/>
  <c r="K20" i="52"/>
  <c r="K21" i="52"/>
  <c r="K22" i="52"/>
  <c r="K23" i="52"/>
  <c r="K24" i="52"/>
  <c r="K25" i="52"/>
  <c r="K26" i="52"/>
  <c r="K27" i="52"/>
  <c r="K28" i="52"/>
  <c r="K29" i="52"/>
  <c r="K30" i="52"/>
  <c r="K15" i="52"/>
  <c r="K6" i="52"/>
  <c r="K7" i="52"/>
  <c r="K8" i="52"/>
  <c r="K9" i="52"/>
  <c r="K10" i="52"/>
  <c r="K11" i="52"/>
  <c r="K12" i="52"/>
  <c r="K13" i="52"/>
  <c r="K14" i="52"/>
  <c r="K15" i="51"/>
  <c r="L15" i="51"/>
  <c r="E30" i="163"/>
  <c r="E24" i="38"/>
  <c r="E25" i="22"/>
  <c r="K11" i="55"/>
  <c r="L11" i="55"/>
  <c r="K9" i="194"/>
  <c r="L9" i="194"/>
  <c r="G9" i="161"/>
  <c r="K9" i="161"/>
  <c r="L9" i="161"/>
  <c r="K9" i="149"/>
  <c r="L9" i="149"/>
  <c r="K10" i="16"/>
  <c r="K10" i="63"/>
  <c r="K10" i="15"/>
  <c r="K10" i="14"/>
  <c r="L10" i="14"/>
  <c r="K11" i="44"/>
  <c r="K10" i="200"/>
  <c r="K10" i="17"/>
  <c r="K11" i="179"/>
  <c r="K10" i="33"/>
  <c r="K10" i="18"/>
  <c r="K12" i="143"/>
  <c r="L12" i="143"/>
  <c r="H49" i="206"/>
  <c r="H46" i="206"/>
  <c r="L43" i="206"/>
  <c r="L41" i="206"/>
  <c r="F41" i="206"/>
  <c r="J40" i="206"/>
  <c r="F40" i="206"/>
  <c r="J39" i="206"/>
  <c r="F39" i="206"/>
  <c r="L38" i="206"/>
  <c r="J38" i="206"/>
  <c r="F38" i="206"/>
  <c r="F37" i="206"/>
  <c r="E37" i="206"/>
  <c r="L33" i="206"/>
  <c r="L34" i="206" s="1"/>
  <c r="D25" i="206"/>
  <c r="H4" i="206" s="1"/>
  <c r="E23" i="206"/>
  <c r="D23" i="206"/>
  <c r="I22" i="206"/>
  <c r="G22" i="206"/>
  <c r="I21" i="206"/>
  <c r="J21" i="206" s="1"/>
  <c r="G21" i="206"/>
  <c r="I20" i="206"/>
  <c r="J20" i="206" s="1"/>
  <c r="G20" i="206"/>
  <c r="I19" i="206"/>
  <c r="J19" i="206" s="1"/>
  <c r="G19" i="206"/>
  <c r="I18" i="206"/>
  <c r="J18" i="206" s="1"/>
  <c r="G18" i="206"/>
  <c r="I17" i="206"/>
  <c r="G17" i="206"/>
  <c r="I16" i="206"/>
  <c r="G16" i="206"/>
  <c r="I15" i="206"/>
  <c r="J15" i="206" s="1"/>
  <c r="G15" i="206"/>
  <c r="I14" i="206"/>
  <c r="J14" i="206" s="1"/>
  <c r="G14" i="206"/>
  <c r="I13" i="206"/>
  <c r="J13" i="206" s="1"/>
  <c r="G13" i="206"/>
  <c r="I12" i="206"/>
  <c r="J12" i="206" s="1"/>
  <c r="G12" i="206"/>
  <c r="I11" i="206"/>
  <c r="J11" i="206" s="1"/>
  <c r="G11" i="206"/>
  <c r="I10" i="206"/>
  <c r="J10" i="206" s="1"/>
  <c r="G10" i="206"/>
  <c r="I9" i="206"/>
  <c r="J9" i="206" s="1"/>
  <c r="G9" i="206"/>
  <c r="G8" i="206"/>
  <c r="I7" i="206"/>
  <c r="J7" i="206" s="1"/>
  <c r="G7" i="206"/>
  <c r="I6" i="206"/>
  <c r="J6" i="206" s="1"/>
  <c r="G6" i="206"/>
  <c r="I5" i="206"/>
  <c r="J5" i="206" s="1"/>
  <c r="G5" i="206"/>
  <c r="G4" i="206"/>
  <c r="F4" i="206"/>
  <c r="F13" i="195" l="1"/>
  <c r="G13" i="195" s="1"/>
  <c r="F11" i="172"/>
  <c r="G11" i="172" s="1"/>
  <c r="F42" i="206"/>
  <c r="G23" i="206"/>
  <c r="H16" i="206"/>
  <c r="H7" i="206"/>
  <c r="H17" i="206"/>
  <c r="H20" i="206"/>
  <c r="J23" i="206"/>
  <c r="H11" i="206"/>
  <c r="H5" i="206"/>
  <c r="H18" i="206"/>
  <c r="H21" i="206"/>
  <c r="H9" i="206"/>
  <c r="H12" i="206"/>
  <c r="H15" i="206"/>
  <c r="H6" i="206"/>
  <c r="H19" i="206"/>
  <c r="H22" i="206"/>
  <c r="I23" i="206"/>
  <c r="H14" i="206"/>
  <c r="H8" i="206"/>
  <c r="H10" i="206"/>
  <c r="H13" i="206"/>
  <c r="H45" i="206" l="1"/>
  <c r="H47" i="206" s="1"/>
  <c r="G50" i="205"/>
  <c r="G48" i="205"/>
  <c r="C24" i="197"/>
  <c r="F41" i="205"/>
  <c r="F42" i="205"/>
  <c r="F43" i="205"/>
  <c r="F40" i="205"/>
  <c r="G6" i="205"/>
  <c r="G7" i="205"/>
  <c r="G8" i="205"/>
  <c r="G9" i="205"/>
  <c r="G10" i="205"/>
  <c r="G11" i="205"/>
  <c r="G12" i="205"/>
  <c r="G13" i="205"/>
  <c r="G14" i="205"/>
  <c r="G15" i="205"/>
  <c r="G16" i="205"/>
  <c r="G17" i="205"/>
  <c r="G18" i="205"/>
  <c r="G19" i="205"/>
  <c r="G20" i="205"/>
  <c r="G21" i="205"/>
  <c r="G22" i="205"/>
  <c r="G23" i="205"/>
  <c r="G24" i="205"/>
  <c r="G5" i="205"/>
  <c r="J51" i="205"/>
  <c r="G46" i="205"/>
  <c r="F39" i="205"/>
  <c r="E39" i="205"/>
  <c r="F36" i="205"/>
  <c r="F37" i="205" s="1"/>
  <c r="C36" i="205"/>
  <c r="D27" i="205"/>
  <c r="E25" i="205"/>
  <c r="D25" i="205"/>
  <c r="H24" i="205"/>
  <c r="H23" i="205"/>
  <c r="H22" i="205"/>
  <c r="H21" i="205"/>
  <c r="H20" i="205"/>
  <c r="H19" i="205"/>
  <c r="H18" i="205"/>
  <c r="H17" i="205"/>
  <c r="H16" i="205"/>
  <c r="H15" i="205"/>
  <c r="H14" i="205"/>
  <c r="H13" i="205"/>
  <c r="H12" i="205"/>
  <c r="H11" i="205"/>
  <c r="H10" i="205"/>
  <c r="H9" i="205"/>
  <c r="H8" i="205"/>
  <c r="H7" i="205"/>
  <c r="H6" i="205"/>
  <c r="I5" i="205"/>
  <c r="H5" i="205"/>
  <c r="G4" i="205"/>
  <c r="F4" i="205"/>
  <c r="F44" i="205" l="1"/>
  <c r="G25" i="205"/>
  <c r="G47" i="205" l="1"/>
  <c r="G49" i="205" s="1"/>
  <c r="G51" i="205" s="1"/>
  <c r="D82" i="94" s="1"/>
  <c r="B64" i="192" l="1"/>
  <c r="H37" i="197"/>
  <c r="I43" i="204"/>
  <c r="I44" i="204"/>
  <c r="I46" i="204"/>
  <c r="I42" i="204"/>
  <c r="G7" i="204"/>
  <c r="G9" i="204"/>
  <c r="K54" i="204"/>
  <c r="H51" i="204"/>
  <c r="J47" i="204"/>
  <c r="J46" i="204"/>
  <c r="H46" i="204"/>
  <c r="H45" i="204"/>
  <c r="H44" i="204"/>
  <c r="J43" i="204"/>
  <c r="H43" i="204"/>
  <c r="L42" i="204"/>
  <c r="J42" i="204"/>
  <c r="H42" i="204"/>
  <c r="H41" i="204"/>
  <c r="G41" i="204"/>
  <c r="F41" i="204"/>
  <c r="E41" i="204"/>
  <c r="C38" i="204"/>
  <c r="D29" i="204"/>
  <c r="E27" i="204"/>
  <c r="D27" i="204"/>
  <c r="H26" i="204"/>
  <c r="B26" i="204"/>
  <c r="H25" i="204"/>
  <c r="B25" i="204"/>
  <c r="H24" i="204"/>
  <c r="B24" i="204"/>
  <c r="H23" i="204"/>
  <c r="B23" i="204"/>
  <c r="H22" i="204"/>
  <c r="B22" i="204"/>
  <c r="H21" i="204"/>
  <c r="B21" i="204"/>
  <c r="H20" i="204"/>
  <c r="B20" i="204"/>
  <c r="H19" i="204"/>
  <c r="B19" i="204"/>
  <c r="H18" i="204"/>
  <c r="B18" i="204"/>
  <c r="H17" i="204"/>
  <c r="H16" i="204"/>
  <c r="B16" i="204"/>
  <c r="H15" i="204"/>
  <c r="B15" i="204"/>
  <c r="H14" i="204"/>
  <c r="B14" i="204"/>
  <c r="H13" i="204"/>
  <c r="B13" i="204"/>
  <c r="H12" i="204"/>
  <c r="B12" i="204"/>
  <c r="H11" i="204"/>
  <c r="B11" i="204"/>
  <c r="H10" i="204"/>
  <c r="B10" i="204"/>
  <c r="H9" i="204"/>
  <c r="H8" i="204"/>
  <c r="B8" i="204"/>
  <c r="H7" i="204"/>
  <c r="H6" i="204"/>
  <c r="B6" i="204"/>
  <c r="H5" i="204"/>
  <c r="B5" i="204"/>
  <c r="K4" i="204"/>
  <c r="K19" i="204" s="1"/>
  <c r="G4" i="204"/>
  <c r="F4" i="204"/>
  <c r="F18" i="204" l="1"/>
  <c r="G18" i="204" s="1"/>
  <c r="F26" i="204"/>
  <c r="G26" i="204" s="1"/>
  <c r="F14" i="204"/>
  <c r="G14" i="204" s="1"/>
  <c r="H48" i="204"/>
  <c r="F24" i="204"/>
  <c r="G24" i="204" s="1"/>
  <c r="F12" i="204"/>
  <c r="G12" i="204" s="1"/>
  <c r="F8" i="204"/>
  <c r="I8" i="204" s="1"/>
  <c r="F21" i="204"/>
  <c r="G21" i="204" s="1"/>
  <c r="F15" i="204"/>
  <c r="G15" i="204" s="1"/>
  <c r="F11" i="204"/>
  <c r="G11" i="204" s="1"/>
  <c r="F6" i="204"/>
  <c r="I6" i="204" s="1"/>
  <c r="F19" i="204"/>
  <c r="G19" i="204" s="1"/>
  <c r="F25" i="204"/>
  <c r="I25" i="204" s="1"/>
  <c r="F13" i="204"/>
  <c r="G13" i="204" s="1"/>
  <c r="K6" i="204"/>
  <c r="F20" i="204"/>
  <c r="G20" i="204" s="1"/>
  <c r="F10" i="204"/>
  <c r="I10" i="204" s="1"/>
  <c r="F16" i="204"/>
  <c r="G16" i="204" s="1"/>
  <c r="F23" i="204"/>
  <c r="G23" i="204" s="1"/>
  <c r="F22" i="204"/>
  <c r="G22" i="204" s="1"/>
  <c r="F5" i="204"/>
  <c r="G5" i="204" s="1"/>
  <c r="I17" i="204"/>
  <c r="I9" i="204"/>
  <c r="F42" i="204"/>
  <c r="I7" i="204"/>
  <c r="G17" i="204"/>
  <c r="K12" i="204"/>
  <c r="K24" i="204"/>
  <c r="K7" i="204"/>
  <c r="K10" i="204"/>
  <c r="K18" i="204"/>
  <c r="K17" i="204"/>
  <c r="K22" i="204"/>
  <c r="K20" i="204"/>
  <c r="K5" i="204"/>
  <c r="K13" i="204"/>
  <c r="K16" i="204"/>
  <c r="K15" i="204"/>
  <c r="K25" i="204"/>
  <c r="K8" i="204"/>
  <c r="K11" i="204"/>
  <c r="K23" i="204"/>
  <c r="K9" i="204"/>
  <c r="K21" i="204"/>
  <c r="K14" i="204"/>
  <c r="K26" i="204"/>
  <c r="I26" i="204" l="1"/>
  <c r="I18" i="204"/>
  <c r="I20" i="204"/>
  <c r="I11" i="204"/>
  <c r="G8" i="204"/>
  <c r="I24" i="204"/>
  <c r="I13" i="204"/>
  <c r="I12" i="204"/>
  <c r="I21" i="204"/>
  <c r="G25" i="204"/>
  <c r="I15" i="204"/>
  <c r="G10" i="204"/>
  <c r="I19" i="204"/>
  <c r="G6" i="204"/>
  <c r="I14" i="204"/>
  <c r="I16" i="204"/>
  <c r="I23" i="204"/>
  <c r="I22" i="204"/>
  <c r="I5" i="204"/>
  <c r="F48" i="204"/>
  <c r="G27" i="204" l="1"/>
  <c r="H50" i="204" s="1"/>
  <c r="H52" i="204" s="1"/>
  <c r="H54" i="204" s="1"/>
  <c r="D55" i="94" s="1"/>
  <c r="C18" i="193" s="1"/>
  <c r="I27" i="204"/>
  <c r="I48" i="204"/>
  <c r="E34" i="177"/>
  <c r="E35" i="177"/>
  <c r="E36" i="177"/>
  <c r="E37" i="177"/>
  <c r="E38" i="177"/>
  <c r="E33" i="177"/>
  <c r="H35" i="197"/>
  <c r="B30" i="197"/>
  <c r="E30" i="197" s="1"/>
  <c r="M58" i="67"/>
  <c r="M59" i="67"/>
  <c r="M60" i="67"/>
  <c r="M61" i="67"/>
  <c r="M62" i="67"/>
  <c r="M63" i="67"/>
  <c r="M64" i="67"/>
  <c r="M65" i="67"/>
  <c r="M66" i="67"/>
  <c r="M67" i="67"/>
  <c r="M68" i="67"/>
  <c r="M69" i="67"/>
  <c r="M70" i="67"/>
  <c r="M71" i="67"/>
  <c r="M72" i="67"/>
  <c r="M73" i="67"/>
  <c r="M74" i="67"/>
  <c r="M75" i="67"/>
  <c r="M76" i="67"/>
  <c r="M57" i="67"/>
  <c r="I45" i="119" l="1"/>
  <c r="E36" i="202" l="1"/>
  <c r="N58" i="67" l="1"/>
  <c r="N59" i="67"/>
  <c r="N60" i="67"/>
  <c r="N61" i="67"/>
  <c r="N62" i="67"/>
  <c r="N63" i="67"/>
  <c r="N64" i="67"/>
  <c r="N65" i="67"/>
  <c r="N66" i="67"/>
  <c r="N67" i="67"/>
  <c r="N68" i="67"/>
  <c r="N69" i="67"/>
  <c r="N70" i="67"/>
  <c r="N71" i="67"/>
  <c r="N72" i="67"/>
  <c r="N73" i="67"/>
  <c r="N74" i="67"/>
  <c r="N75" i="67"/>
  <c r="N76" i="67"/>
  <c r="N57" i="67"/>
  <c r="E24" i="141"/>
  <c r="N77" i="67" l="1"/>
  <c r="E27" i="161" l="1"/>
  <c r="D49" i="202"/>
  <c r="F39" i="203"/>
  <c r="F40" i="203"/>
  <c r="I38" i="203"/>
  <c r="J6" i="203"/>
  <c r="G9" i="203"/>
  <c r="J10" i="203"/>
  <c r="J11" i="203"/>
  <c r="G12" i="203"/>
  <c r="J13" i="203"/>
  <c r="J14" i="203"/>
  <c r="J16" i="203"/>
  <c r="J17" i="203"/>
  <c r="J18" i="203"/>
  <c r="J19" i="203"/>
  <c r="J20" i="203"/>
  <c r="J21" i="203"/>
  <c r="J5" i="203"/>
  <c r="H47" i="203"/>
  <c r="H45" i="203"/>
  <c r="H43" i="203"/>
  <c r="J40" i="203"/>
  <c r="H40" i="203"/>
  <c r="J39" i="203"/>
  <c r="H39" i="203"/>
  <c r="J38" i="203"/>
  <c r="H38" i="203"/>
  <c r="H37" i="203"/>
  <c r="G37" i="203"/>
  <c r="F37" i="203"/>
  <c r="E37" i="203"/>
  <c r="C34" i="203"/>
  <c r="D25" i="203" s="1"/>
  <c r="K4" i="203" s="1"/>
  <c r="E23" i="203"/>
  <c r="D23" i="203"/>
  <c r="L22" i="203"/>
  <c r="I22" i="203"/>
  <c r="L21" i="203"/>
  <c r="I21" i="203"/>
  <c r="L20" i="203"/>
  <c r="I20" i="203"/>
  <c r="L19" i="203"/>
  <c r="I19" i="203"/>
  <c r="L18" i="203"/>
  <c r="I18" i="203"/>
  <c r="L17" i="203"/>
  <c r="I17" i="203"/>
  <c r="L16" i="203"/>
  <c r="I16" i="203"/>
  <c r="L15" i="203"/>
  <c r="I15" i="203"/>
  <c r="L14" i="203"/>
  <c r="I14" i="203"/>
  <c r="L13" i="203"/>
  <c r="I13" i="203"/>
  <c r="L12" i="203"/>
  <c r="I12" i="203"/>
  <c r="L11" i="203"/>
  <c r="I11" i="203"/>
  <c r="L10" i="203"/>
  <c r="I10" i="203"/>
  <c r="L9" i="203"/>
  <c r="I9" i="203"/>
  <c r="L8" i="203"/>
  <c r="I8" i="203"/>
  <c r="L7" i="203"/>
  <c r="M7" i="203" s="1"/>
  <c r="J7" i="203"/>
  <c r="I7" i="203"/>
  <c r="G7" i="203"/>
  <c r="L6" i="203"/>
  <c r="I6" i="203"/>
  <c r="L5" i="203"/>
  <c r="I5" i="203"/>
  <c r="I4" i="203"/>
  <c r="H4" i="203"/>
  <c r="G4" i="203"/>
  <c r="F4" i="203"/>
  <c r="M10" i="203" l="1"/>
  <c r="G21" i="203"/>
  <c r="M6" i="203"/>
  <c r="M21" i="203"/>
  <c r="G19" i="203"/>
  <c r="M19" i="203"/>
  <c r="M9" i="203"/>
  <c r="M20" i="203"/>
  <c r="M8" i="203"/>
  <c r="M15" i="203"/>
  <c r="M12" i="203"/>
  <c r="M13" i="203"/>
  <c r="G5" i="203"/>
  <c r="I40" i="203"/>
  <c r="F38" i="203"/>
  <c r="F41" i="203" s="1"/>
  <c r="H41" i="203"/>
  <c r="M22" i="203"/>
  <c r="M16" i="203"/>
  <c r="M17" i="203"/>
  <c r="M14" i="203"/>
  <c r="M18" i="203"/>
  <c r="J22" i="203"/>
  <c r="G14" i="203"/>
  <c r="M11" i="203"/>
  <c r="I23" i="203"/>
  <c r="L23" i="203"/>
  <c r="K17" i="203"/>
  <c r="K10" i="203"/>
  <c r="K18" i="203"/>
  <c r="K11" i="203"/>
  <c r="K14" i="203"/>
  <c r="K5" i="203"/>
  <c r="K22" i="203"/>
  <c r="K20" i="203"/>
  <c r="K16" i="203"/>
  <c r="K9" i="203"/>
  <c r="K21" i="203"/>
  <c r="K15" i="203"/>
  <c r="K8" i="203"/>
  <c r="K6" i="203"/>
  <c r="K13" i="203"/>
  <c r="K7" i="203"/>
  <c r="K19" i="203"/>
  <c r="K12" i="203"/>
  <c r="G16" i="203"/>
  <c r="M5" i="203"/>
  <c r="J9" i="203"/>
  <c r="G11" i="203"/>
  <c r="G6" i="203"/>
  <c r="G20" i="203"/>
  <c r="G22" i="203"/>
  <c r="G10" i="203"/>
  <c r="G17" i="203"/>
  <c r="G18" i="203"/>
  <c r="G13" i="203"/>
  <c r="G15" i="203"/>
  <c r="I39" i="203"/>
  <c r="J8" i="203"/>
  <c r="J15" i="203"/>
  <c r="G8" i="203"/>
  <c r="M23" i="203" l="1"/>
  <c r="G23" i="203"/>
  <c r="J23" i="203" s="1"/>
  <c r="I41" i="203"/>
  <c r="H44" i="203" l="1"/>
  <c r="H46" i="203" s="1"/>
  <c r="H48" i="203" s="1"/>
  <c r="D45" i="94" s="1"/>
  <c r="K44" i="203" l="1"/>
  <c r="B39" i="175" l="1"/>
  <c r="E39" i="175" s="1"/>
  <c r="F40" i="18"/>
  <c r="D47" i="202" l="1"/>
  <c r="H4" i="202"/>
  <c r="D51" i="202"/>
  <c r="B43" i="202"/>
  <c r="B42" i="202"/>
  <c r="F41" i="202"/>
  <c r="F40" i="202"/>
  <c r="K39" i="202"/>
  <c r="J40" i="202" s="1"/>
  <c r="F39" i="202"/>
  <c r="F38" i="202"/>
  <c r="E38" i="202"/>
  <c r="C35" i="202"/>
  <c r="D29" i="202"/>
  <c r="E24" i="202"/>
  <c r="D24" i="202"/>
  <c r="G23" i="202"/>
  <c r="G22" i="202"/>
  <c r="G21" i="202"/>
  <c r="B20" i="202"/>
  <c r="B19" i="202"/>
  <c r="G18" i="202"/>
  <c r="B17" i="202"/>
  <c r="B16" i="202"/>
  <c r="G15" i="202"/>
  <c r="B14" i="202"/>
  <c r="G13" i="202"/>
  <c r="B12" i="202"/>
  <c r="G11" i="202"/>
  <c r="G10" i="202"/>
  <c r="B8" i="202"/>
  <c r="B6" i="202"/>
  <c r="B5" i="202"/>
  <c r="F42" i="202" l="1"/>
  <c r="F43" i="202"/>
  <c r="G12" i="202"/>
  <c r="G14" i="202"/>
  <c r="G17" i="202"/>
  <c r="G6" i="202"/>
  <c r="G19" i="202"/>
  <c r="G8" i="202"/>
  <c r="G16" i="202"/>
  <c r="G7" i="202"/>
  <c r="G20" i="202"/>
  <c r="G9" i="202"/>
  <c r="G5" i="202"/>
  <c r="H9" i="202"/>
  <c r="H22" i="202"/>
  <c r="H11" i="202"/>
  <c r="H16" i="202"/>
  <c r="H8" i="202"/>
  <c r="H18" i="202"/>
  <c r="H10" i="202"/>
  <c r="H23" i="202"/>
  <c r="H20" i="202"/>
  <c r="H15" i="202"/>
  <c r="H7" i="202"/>
  <c r="H12" i="202"/>
  <c r="H17" i="202"/>
  <c r="H14" i="202"/>
  <c r="H19" i="202"/>
  <c r="H6" i="202"/>
  <c r="H21" i="202"/>
  <c r="H13" i="202"/>
  <c r="H5" i="202"/>
  <c r="F44" i="202" l="1"/>
  <c r="G24" i="202"/>
  <c r="B19" i="192"/>
  <c r="F20" i="152"/>
  <c r="E21" i="180"/>
  <c r="E21" i="178"/>
  <c r="E21" i="156"/>
  <c r="E21" i="119"/>
  <c r="B19" i="119"/>
  <c r="F19" i="119" s="1"/>
  <c r="L18" i="119"/>
  <c r="B18" i="119"/>
  <c r="F18" i="119" s="1"/>
  <c r="F32" i="155"/>
  <c r="D46" i="202" l="1"/>
  <c r="D48" i="202" s="1"/>
  <c r="D50" i="202" s="1"/>
  <c r="D23" i="94" s="1" a="1"/>
  <c r="D23" i="94" s="1"/>
  <c r="G18" i="119"/>
  <c r="I30" i="37"/>
  <c r="I29" i="37"/>
  <c r="G7" i="184"/>
  <c r="F23" i="196"/>
  <c r="G27" i="185"/>
  <c r="G28" i="185"/>
  <c r="G27" i="186"/>
  <c r="G28" i="186"/>
  <c r="F40" i="200"/>
  <c r="F41" i="17"/>
  <c r="J37" i="177"/>
  <c r="E20" i="16"/>
  <c r="E19" i="165"/>
  <c r="B19" i="33"/>
  <c r="F19" i="33" s="1"/>
  <c r="B20" i="33"/>
  <c r="F20" i="33" s="1"/>
  <c r="B21" i="33"/>
  <c r="F21" i="33" s="1"/>
  <c r="B22" i="33"/>
  <c r="F22" i="33" s="1"/>
  <c r="B23" i="33"/>
  <c r="F23" i="33" s="1"/>
  <c r="J18" i="46"/>
  <c r="J41" i="195"/>
  <c r="J42" i="195" s="1"/>
  <c r="J43" i="195" s="1"/>
  <c r="J44" i="195" s="1"/>
  <c r="H30" i="196"/>
  <c r="L5" i="195"/>
  <c r="E33" i="171"/>
  <c r="F33" i="171"/>
  <c r="B42" i="17"/>
  <c r="E42" i="17" s="1"/>
  <c r="C19" i="192" l="1"/>
  <c r="I6" i="27" a="1"/>
  <c r="I6" i="27" s="1"/>
  <c r="B42" i="179"/>
  <c r="E42" i="179" s="1"/>
  <c r="L38" i="191"/>
  <c r="B19" i="195"/>
  <c r="F19" i="195" s="1"/>
  <c r="B20" i="195"/>
  <c r="F20" i="195" s="1"/>
  <c r="B21" i="195"/>
  <c r="F21" i="195" s="1"/>
  <c r="B22" i="195"/>
  <c r="F22" i="195" s="1"/>
  <c r="B24" i="195"/>
  <c r="F24" i="195" s="1"/>
  <c r="B25" i="195"/>
  <c r="F25" i="195" s="1"/>
  <c r="G14" i="195"/>
  <c r="E26" i="195"/>
  <c r="D26" i="195"/>
  <c r="G11" i="161"/>
  <c r="G19" i="195" l="1"/>
  <c r="G11" i="194"/>
  <c r="E34" i="63" l="1"/>
  <c r="D20" i="63"/>
  <c r="E20" i="63"/>
  <c r="D20" i="15"/>
  <c r="E20" i="15"/>
  <c r="I6" i="14" l="1"/>
  <c r="I7" i="14"/>
  <c r="L6" i="14"/>
  <c r="L7" i="14"/>
  <c r="B6" i="14"/>
  <c r="F6" i="14" s="1"/>
  <c r="B7" i="14"/>
  <c r="F7" i="14" s="1"/>
  <c r="C26" i="193"/>
  <c r="C23" i="193"/>
  <c r="C20" i="193"/>
  <c r="C16" i="193"/>
  <c r="C11" i="193"/>
  <c r="C6" i="193"/>
  <c r="C2" i="193"/>
  <c r="C77" i="192"/>
  <c r="C70" i="192"/>
  <c r="C66" i="192"/>
  <c r="C58" i="192"/>
  <c r="C44" i="192"/>
  <c r="C36" i="192"/>
  <c r="C21" i="192"/>
  <c r="C2" i="192"/>
  <c r="M7" i="14" l="1"/>
  <c r="M6" i="14"/>
  <c r="G6" i="14"/>
  <c r="H53" i="201"/>
  <c r="H51" i="201"/>
  <c r="H49" i="201"/>
  <c r="H48" i="201"/>
  <c r="F47" i="201"/>
  <c r="I47" i="201" s="1"/>
  <c r="F46" i="201"/>
  <c r="I46" i="201" s="1"/>
  <c r="F45" i="201"/>
  <c r="I45" i="201" s="1"/>
  <c r="F44" i="201"/>
  <c r="H43" i="201"/>
  <c r="G43" i="201"/>
  <c r="F43" i="201"/>
  <c r="E43" i="201"/>
  <c r="C40" i="201"/>
  <c r="D31" i="201" s="1"/>
  <c r="K4" i="201" s="1"/>
  <c r="E29" i="201"/>
  <c r="D29" i="201"/>
  <c r="L28" i="201"/>
  <c r="I28" i="201"/>
  <c r="J28" i="201"/>
  <c r="L27" i="201"/>
  <c r="I27" i="201"/>
  <c r="J27" i="201"/>
  <c r="L26" i="201"/>
  <c r="I26" i="201"/>
  <c r="J26" i="201"/>
  <c r="L25" i="201"/>
  <c r="I25" i="201"/>
  <c r="L24" i="201"/>
  <c r="I24" i="201"/>
  <c r="L23" i="201"/>
  <c r="I23" i="201"/>
  <c r="J23" i="201"/>
  <c r="L22" i="201"/>
  <c r="I22" i="201"/>
  <c r="L21" i="201"/>
  <c r="I21" i="201"/>
  <c r="J21" i="201"/>
  <c r="L20" i="201"/>
  <c r="M20" i="201" s="1"/>
  <c r="I20" i="201"/>
  <c r="L19" i="201"/>
  <c r="I19" i="201"/>
  <c r="L18" i="201"/>
  <c r="I18" i="201"/>
  <c r="J18" i="201"/>
  <c r="L17" i="201"/>
  <c r="L16" i="201"/>
  <c r="I16" i="201"/>
  <c r="J16" i="201"/>
  <c r="L15" i="201"/>
  <c r="I15" i="201"/>
  <c r="L14" i="201"/>
  <c r="I14" i="201"/>
  <c r="J14" i="201"/>
  <c r="L13" i="201"/>
  <c r="I13" i="201"/>
  <c r="L12" i="201"/>
  <c r="I12" i="201"/>
  <c r="J12" i="201"/>
  <c r="L10" i="201"/>
  <c r="I10" i="201"/>
  <c r="L7" i="201"/>
  <c r="I7" i="201"/>
  <c r="J7" i="201"/>
  <c r="L6" i="201"/>
  <c r="I6" i="201"/>
  <c r="L5" i="201"/>
  <c r="I5" i="201"/>
  <c r="J5" i="201"/>
  <c r="I4" i="201"/>
  <c r="H4" i="201"/>
  <c r="G4" i="201"/>
  <c r="F4" i="201"/>
  <c r="H48" i="200"/>
  <c r="H46" i="200"/>
  <c r="H44" i="200"/>
  <c r="J42" i="200"/>
  <c r="H42" i="200"/>
  <c r="I42" i="200"/>
  <c r="J41" i="200"/>
  <c r="H41" i="200"/>
  <c r="I41" i="200"/>
  <c r="J39" i="200"/>
  <c r="H39" i="200"/>
  <c r="H43" i="200" s="1"/>
  <c r="B39" i="200"/>
  <c r="E39" i="200" s="1"/>
  <c r="H38" i="200"/>
  <c r="G38" i="200"/>
  <c r="F38" i="200"/>
  <c r="E38" i="200"/>
  <c r="E36" i="200"/>
  <c r="C35" i="200"/>
  <c r="D26" i="200" s="1"/>
  <c r="E24" i="200"/>
  <c r="D24" i="200"/>
  <c r="K23" i="200"/>
  <c r="I23" i="200"/>
  <c r="B23" i="200"/>
  <c r="F23" i="200" s="1"/>
  <c r="K22" i="200"/>
  <c r="I22" i="200"/>
  <c r="B22" i="200"/>
  <c r="F22" i="200" s="1"/>
  <c r="K21" i="200"/>
  <c r="I21" i="200"/>
  <c r="B21" i="200"/>
  <c r="F21" i="200" s="1"/>
  <c r="K20" i="200"/>
  <c r="I20" i="200"/>
  <c r="B20" i="200"/>
  <c r="F20" i="200" s="1"/>
  <c r="K19" i="200"/>
  <c r="I19" i="200"/>
  <c r="B19" i="200"/>
  <c r="F19" i="200" s="1"/>
  <c r="K18" i="200"/>
  <c r="I18" i="200"/>
  <c r="K17" i="200"/>
  <c r="I17" i="200"/>
  <c r="B17" i="200"/>
  <c r="F17" i="200" s="1"/>
  <c r="K16" i="200"/>
  <c r="I16" i="200"/>
  <c r="B16" i="200"/>
  <c r="F16" i="200" s="1"/>
  <c r="K15" i="200"/>
  <c r="I15" i="200"/>
  <c r="B15" i="200"/>
  <c r="F15" i="200" s="1"/>
  <c r="K14" i="200"/>
  <c r="I14" i="200"/>
  <c r="B14" i="200"/>
  <c r="F14" i="200" s="1"/>
  <c r="K13" i="200"/>
  <c r="I13" i="200"/>
  <c r="B13" i="200"/>
  <c r="F13" i="200" s="1"/>
  <c r="K12" i="200"/>
  <c r="I12" i="200"/>
  <c r="B12" i="200"/>
  <c r="F12" i="200" s="1"/>
  <c r="K11" i="200"/>
  <c r="I11" i="200"/>
  <c r="K9" i="200"/>
  <c r="I9" i="200"/>
  <c r="B9" i="200"/>
  <c r="F9" i="200" s="1"/>
  <c r="K8" i="200"/>
  <c r="I8" i="200"/>
  <c r="B8" i="200"/>
  <c r="F8" i="200" s="1"/>
  <c r="K7" i="200"/>
  <c r="I7" i="200"/>
  <c r="B7" i="200"/>
  <c r="F7" i="200" s="1"/>
  <c r="K6" i="200"/>
  <c r="I6" i="200"/>
  <c r="B6" i="200"/>
  <c r="F6" i="200" s="1"/>
  <c r="K5" i="200"/>
  <c r="I5" i="200"/>
  <c r="B5" i="200"/>
  <c r="F5" i="200" s="1"/>
  <c r="I4" i="200"/>
  <c r="H4" i="200"/>
  <c r="G4" i="200"/>
  <c r="F4" i="200"/>
  <c r="K22" i="201" l="1"/>
  <c r="K11" i="201"/>
  <c r="G7" i="14"/>
  <c r="I29" i="201"/>
  <c r="K6" i="201"/>
  <c r="K12" i="201"/>
  <c r="K28" i="201"/>
  <c r="K9" i="201"/>
  <c r="K19" i="201"/>
  <c r="K15" i="201"/>
  <c r="K17" i="201"/>
  <c r="K24" i="201"/>
  <c r="K8" i="201"/>
  <c r="K21" i="201"/>
  <c r="K27" i="201"/>
  <c r="I24" i="200"/>
  <c r="M14" i="201"/>
  <c r="M17" i="201"/>
  <c r="M28" i="201"/>
  <c r="J24" i="201"/>
  <c r="J19" i="201"/>
  <c r="M22" i="201"/>
  <c r="J6" i="201"/>
  <c r="M15" i="201"/>
  <c r="M25" i="201"/>
  <c r="M7" i="201"/>
  <c r="M12" i="201"/>
  <c r="M5" i="201"/>
  <c r="M27" i="201"/>
  <c r="M6" i="201"/>
  <c r="J15" i="201"/>
  <c r="M21" i="201"/>
  <c r="M16" i="201"/>
  <c r="M19" i="201"/>
  <c r="M13" i="201"/>
  <c r="M23" i="201"/>
  <c r="M18" i="201"/>
  <c r="M24" i="201"/>
  <c r="M26" i="201"/>
  <c r="I44" i="201"/>
  <c r="F48" i="201"/>
  <c r="J25" i="201"/>
  <c r="G5" i="201"/>
  <c r="K20" i="201"/>
  <c r="J13" i="201"/>
  <c r="J22" i="201"/>
  <c r="K26" i="201"/>
  <c r="K14" i="201"/>
  <c r="K23" i="201"/>
  <c r="K18" i="201"/>
  <c r="K7" i="201"/>
  <c r="J10" i="201"/>
  <c r="K16" i="201"/>
  <c r="J20" i="201"/>
  <c r="K25" i="201"/>
  <c r="K10" i="201"/>
  <c r="K5" i="201"/>
  <c r="K13" i="201"/>
  <c r="J12" i="200"/>
  <c r="G12" i="200"/>
  <c r="J20" i="200"/>
  <c r="G20" i="200"/>
  <c r="J8" i="200"/>
  <c r="G8" i="200"/>
  <c r="G13" i="200"/>
  <c r="J13" i="200"/>
  <c r="J17" i="200"/>
  <c r="G17" i="200"/>
  <c r="G21" i="200"/>
  <c r="J21" i="200"/>
  <c r="J5" i="200"/>
  <c r="G5" i="200"/>
  <c r="J9" i="200"/>
  <c r="G9" i="200"/>
  <c r="J14" i="200"/>
  <c r="G14" i="200"/>
  <c r="J18" i="200"/>
  <c r="G18" i="200"/>
  <c r="J22" i="200"/>
  <c r="G22" i="200"/>
  <c r="J7" i="200"/>
  <c r="G7" i="200"/>
  <c r="J16" i="200"/>
  <c r="G16" i="200"/>
  <c r="G6" i="200"/>
  <c r="J6" i="200"/>
  <c r="J11" i="200"/>
  <c r="G11" i="200"/>
  <c r="J15" i="200"/>
  <c r="G15" i="200"/>
  <c r="J19" i="200"/>
  <c r="G19" i="200"/>
  <c r="J23" i="200"/>
  <c r="G23" i="200"/>
  <c r="I39" i="200"/>
  <c r="F39" i="200"/>
  <c r="F42" i="200"/>
  <c r="F41" i="200"/>
  <c r="J51" i="199"/>
  <c r="G50" i="199"/>
  <c r="G48" i="199"/>
  <c r="G46" i="199"/>
  <c r="H43" i="199"/>
  <c r="F43" i="199"/>
  <c r="H42" i="199"/>
  <c r="I42" i="199"/>
  <c r="H41" i="199"/>
  <c r="F41" i="199"/>
  <c r="H40" i="199"/>
  <c r="F40" i="199"/>
  <c r="H39" i="199"/>
  <c r="G39" i="199"/>
  <c r="F39" i="199"/>
  <c r="E39" i="199"/>
  <c r="C36" i="199"/>
  <c r="D27" i="199"/>
  <c r="E25" i="199"/>
  <c r="D25" i="199"/>
  <c r="K24" i="199"/>
  <c r="I24" i="199"/>
  <c r="G24" i="199"/>
  <c r="K23" i="199"/>
  <c r="I23" i="199"/>
  <c r="G23" i="199"/>
  <c r="K22" i="199"/>
  <c r="I22" i="199"/>
  <c r="J22" i="199"/>
  <c r="K21" i="199"/>
  <c r="I21" i="199"/>
  <c r="G21" i="199"/>
  <c r="K20" i="199"/>
  <c r="I20" i="199"/>
  <c r="G20" i="199"/>
  <c r="K19" i="199"/>
  <c r="I19" i="199"/>
  <c r="J19" i="199"/>
  <c r="K18" i="199"/>
  <c r="I18" i="199"/>
  <c r="J18" i="199"/>
  <c r="K17" i="199"/>
  <c r="I17" i="199"/>
  <c r="J17" i="199"/>
  <c r="K16" i="199"/>
  <c r="I16" i="199"/>
  <c r="J16" i="199"/>
  <c r="K15" i="199"/>
  <c r="I15" i="199"/>
  <c r="J15" i="199"/>
  <c r="K14" i="199"/>
  <c r="I14" i="199"/>
  <c r="G14" i="199"/>
  <c r="K13" i="199"/>
  <c r="I13" i="199"/>
  <c r="G13" i="199"/>
  <c r="K12" i="199"/>
  <c r="I12" i="199"/>
  <c r="J12" i="199"/>
  <c r="K11" i="199"/>
  <c r="I11" i="199"/>
  <c r="J11" i="199"/>
  <c r="K10" i="199"/>
  <c r="I10" i="199"/>
  <c r="J10" i="199"/>
  <c r="K9" i="199"/>
  <c r="I9" i="199"/>
  <c r="J9" i="199"/>
  <c r="K8" i="199"/>
  <c r="I8" i="199"/>
  <c r="G8" i="199"/>
  <c r="K7" i="199"/>
  <c r="I7" i="199"/>
  <c r="J7" i="199"/>
  <c r="K6" i="199"/>
  <c r="I6" i="199"/>
  <c r="J6" i="199"/>
  <c r="L5" i="199"/>
  <c r="K5" i="199"/>
  <c r="I5" i="199"/>
  <c r="J5" i="199"/>
  <c r="I4" i="199"/>
  <c r="H4" i="199"/>
  <c r="G4" i="199"/>
  <c r="F4" i="199"/>
  <c r="J51" i="198"/>
  <c r="G50" i="198"/>
  <c r="G48" i="198"/>
  <c r="G46" i="198"/>
  <c r="H43" i="198"/>
  <c r="F43" i="198"/>
  <c r="H42" i="198"/>
  <c r="F42" i="198"/>
  <c r="H41" i="198"/>
  <c r="I41" i="198"/>
  <c r="H40" i="198"/>
  <c r="I40" i="198"/>
  <c r="H39" i="198"/>
  <c r="G39" i="198"/>
  <c r="F39" i="198"/>
  <c r="E39" i="198"/>
  <c r="C36" i="198"/>
  <c r="D27" i="198" s="1"/>
  <c r="E25" i="198"/>
  <c r="D25" i="198"/>
  <c r="K24" i="198"/>
  <c r="I24" i="198"/>
  <c r="G24" i="198"/>
  <c r="K23" i="198"/>
  <c r="I23" i="198"/>
  <c r="J23" i="198"/>
  <c r="K22" i="198"/>
  <c r="I22" i="198"/>
  <c r="G22" i="198"/>
  <c r="K21" i="198"/>
  <c r="I21" i="198"/>
  <c r="G21" i="198"/>
  <c r="K20" i="198"/>
  <c r="I20" i="198"/>
  <c r="J20" i="198"/>
  <c r="K19" i="198"/>
  <c r="I19" i="198"/>
  <c r="G19" i="198"/>
  <c r="K18" i="198"/>
  <c r="I18" i="198"/>
  <c r="G18" i="198"/>
  <c r="K17" i="198"/>
  <c r="I17" i="198"/>
  <c r="J17" i="198"/>
  <c r="K16" i="198"/>
  <c r="I16" i="198"/>
  <c r="J16" i="198"/>
  <c r="K15" i="198"/>
  <c r="I15" i="198"/>
  <c r="G15" i="198"/>
  <c r="K14" i="198"/>
  <c r="I14" i="198"/>
  <c r="J14" i="198"/>
  <c r="K13" i="198"/>
  <c r="I13" i="198"/>
  <c r="J13" i="198"/>
  <c r="K12" i="198"/>
  <c r="I12" i="198"/>
  <c r="J12" i="198"/>
  <c r="K11" i="198"/>
  <c r="I11" i="198"/>
  <c r="J11" i="198"/>
  <c r="K10" i="198"/>
  <c r="I10" i="198"/>
  <c r="G10" i="198"/>
  <c r="K9" i="198"/>
  <c r="I9" i="198"/>
  <c r="G9" i="198"/>
  <c r="K8" i="198"/>
  <c r="I8" i="198"/>
  <c r="J8" i="198"/>
  <c r="K7" i="198"/>
  <c r="I7" i="198"/>
  <c r="J7" i="198"/>
  <c r="K6" i="198"/>
  <c r="I6" i="198"/>
  <c r="G6" i="198"/>
  <c r="L5" i="198"/>
  <c r="K5" i="198"/>
  <c r="I5" i="198"/>
  <c r="J5" i="198"/>
  <c r="I4" i="198"/>
  <c r="H4" i="198"/>
  <c r="G4" i="198"/>
  <c r="F4" i="198"/>
  <c r="K38" i="197"/>
  <c r="J31" i="197"/>
  <c r="H31" i="197"/>
  <c r="B31" i="197"/>
  <c r="E31" i="197" s="1"/>
  <c r="J30" i="197"/>
  <c r="H30" i="197"/>
  <c r="H29" i="197"/>
  <c r="B29" i="197"/>
  <c r="E29" i="197" s="1"/>
  <c r="J28" i="197"/>
  <c r="H28" i="197"/>
  <c r="B28" i="197"/>
  <c r="E28" i="197" s="1"/>
  <c r="H27" i="197"/>
  <c r="G27" i="197"/>
  <c r="F27" i="197"/>
  <c r="E27" i="197"/>
  <c r="D15" i="197"/>
  <c r="K4" i="197" s="1"/>
  <c r="E13" i="197"/>
  <c r="L12" i="197" s="1"/>
  <c r="M12" i="197" s="1"/>
  <c r="D13" i="197"/>
  <c r="B12" i="197"/>
  <c r="F12" i="197" s="1"/>
  <c r="L11" i="197"/>
  <c r="B11" i="197"/>
  <c r="F11" i="197" s="1"/>
  <c r="L10" i="197"/>
  <c r="B10" i="197"/>
  <c r="F10" i="197" s="1"/>
  <c r="L9" i="197"/>
  <c r="B9" i="197"/>
  <c r="F9" i="197" s="1"/>
  <c r="L8" i="197"/>
  <c r="B8" i="197"/>
  <c r="F8" i="197" s="1"/>
  <c r="L7" i="197"/>
  <c r="B7" i="197"/>
  <c r="F7" i="197" s="1"/>
  <c r="L6" i="197"/>
  <c r="B6" i="197"/>
  <c r="F6" i="197" s="1"/>
  <c r="L5" i="197"/>
  <c r="B5" i="197"/>
  <c r="F5" i="197" s="1"/>
  <c r="L4" i="197"/>
  <c r="I4" i="197"/>
  <c r="H4" i="197"/>
  <c r="G4" i="197"/>
  <c r="F4" i="197"/>
  <c r="B40" i="29"/>
  <c r="E40" i="29" s="1"/>
  <c r="B39" i="29"/>
  <c r="E39" i="29" s="1"/>
  <c r="B8" i="29"/>
  <c r="F8" i="29" s="1"/>
  <c r="G8" i="29" s="1"/>
  <c r="B9" i="29"/>
  <c r="F9" i="29" s="1"/>
  <c r="G9" i="29" s="1"/>
  <c r="B10" i="29"/>
  <c r="F10" i="29" s="1"/>
  <c r="G10" i="29" s="1"/>
  <c r="B11" i="29"/>
  <c r="F11" i="29" s="1"/>
  <c r="G11" i="29" s="1"/>
  <c r="B12" i="29"/>
  <c r="F12" i="29" s="1"/>
  <c r="G12" i="29" s="1"/>
  <c r="B13" i="29"/>
  <c r="F13" i="29" s="1"/>
  <c r="G13" i="29" s="1"/>
  <c r="B14" i="29"/>
  <c r="F14" i="29" s="1"/>
  <c r="G14" i="29" s="1"/>
  <c r="B15" i="29"/>
  <c r="F15" i="29" s="1"/>
  <c r="G15" i="29" s="1"/>
  <c r="B16" i="29"/>
  <c r="F16" i="29" s="1"/>
  <c r="G16" i="29" s="1"/>
  <c r="B17" i="29"/>
  <c r="F17" i="29" s="1"/>
  <c r="G17" i="29" s="1"/>
  <c r="B18" i="29"/>
  <c r="F18" i="29" s="1"/>
  <c r="G18" i="29" s="1"/>
  <c r="B20" i="29"/>
  <c r="F20" i="29" s="1"/>
  <c r="G20" i="29" s="1"/>
  <c r="B21" i="29"/>
  <c r="F21" i="29" s="1"/>
  <c r="G21" i="29" s="1"/>
  <c r="B22" i="29"/>
  <c r="F22" i="29" s="1"/>
  <c r="G22" i="29" s="1"/>
  <c r="B23" i="29"/>
  <c r="F23" i="29" s="1"/>
  <c r="G23" i="29" s="1"/>
  <c r="B6" i="29"/>
  <c r="F6" i="29" s="1"/>
  <c r="G6" i="29" s="1"/>
  <c r="B5" i="29"/>
  <c r="F5" i="29" s="1"/>
  <c r="B40" i="38"/>
  <c r="E40" i="38" s="1"/>
  <c r="B39" i="38"/>
  <c r="E39" i="38" s="1"/>
  <c r="B8" i="38"/>
  <c r="F8" i="38" s="1"/>
  <c r="G8" i="38" s="1"/>
  <c r="B9" i="38"/>
  <c r="F9" i="38" s="1"/>
  <c r="G9" i="38" s="1"/>
  <c r="B10" i="38"/>
  <c r="F10" i="38" s="1"/>
  <c r="G10" i="38" s="1"/>
  <c r="B11" i="38"/>
  <c r="F11" i="38" s="1"/>
  <c r="G11" i="38" s="1"/>
  <c r="B12" i="38"/>
  <c r="F12" i="38" s="1"/>
  <c r="G12" i="38" s="1"/>
  <c r="B13" i="38"/>
  <c r="F13" i="38" s="1"/>
  <c r="G13" i="38" s="1"/>
  <c r="B14" i="38"/>
  <c r="F14" i="38" s="1"/>
  <c r="G14" i="38" s="1"/>
  <c r="B15" i="38"/>
  <c r="F15" i="38" s="1"/>
  <c r="G15" i="38" s="1"/>
  <c r="B16" i="38"/>
  <c r="F16" i="38" s="1"/>
  <c r="G16" i="38" s="1"/>
  <c r="B17" i="38"/>
  <c r="F17" i="38" s="1"/>
  <c r="G17" i="38" s="1"/>
  <c r="B18" i="38"/>
  <c r="F18" i="38" s="1"/>
  <c r="G18" i="38" s="1"/>
  <c r="B20" i="38"/>
  <c r="F20" i="38" s="1"/>
  <c r="G20" i="38" s="1"/>
  <c r="B21" i="38"/>
  <c r="F21" i="38" s="1"/>
  <c r="G21" i="38" s="1"/>
  <c r="B22" i="38"/>
  <c r="F22" i="38" s="1"/>
  <c r="G22" i="38" s="1"/>
  <c r="B23" i="38"/>
  <c r="F23" i="38" s="1"/>
  <c r="G23" i="38" s="1"/>
  <c r="B6" i="38"/>
  <c r="F6" i="38" s="1"/>
  <c r="G6" i="38" s="1"/>
  <c r="B5" i="38"/>
  <c r="F5" i="38" s="1"/>
  <c r="B52" i="190"/>
  <c r="E52" i="190" s="1"/>
  <c r="B53" i="190"/>
  <c r="E53" i="190" s="1"/>
  <c r="B54" i="190"/>
  <c r="E54" i="190" s="1"/>
  <c r="B51" i="190"/>
  <c r="E51" i="190" s="1"/>
  <c r="B44" i="190"/>
  <c r="F44" i="190" s="1"/>
  <c r="B43" i="190"/>
  <c r="F43" i="190" s="1"/>
  <c r="B6" i="190"/>
  <c r="F6" i="190" s="1"/>
  <c r="B7" i="190"/>
  <c r="F7" i="190" s="1"/>
  <c r="B8" i="190"/>
  <c r="F8" i="190" s="1"/>
  <c r="B9" i="190"/>
  <c r="F9" i="190" s="1"/>
  <c r="B10" i="190"/>
  <c r="F10" i="190" s="1"/>
  <c r="B11" i="190"/>
  <c r="F11" i="190" s="1"/>
  <c r="B12" i="190"/>
  <c r="F12" i="190" s="1"/>
  <c r="B13" i="190"/>
  <c r="F13" i="190" s="1"/>
  <c r="B14" i="190"/>
  <c r="F14" i="190" s="1"/>
  <c r="B15" i="190"/>
  <c r="F15" i="190" s="1"/>
  <c r="B16" i="190"/>
  <c r="F16" i="190" s="1"/>
  <c r="B17" i="190"/>
  <c r="F17" i="190" s="1"/>
  <c r="B18" i="190"/>
  <c r="F18" i="190" s="1"/>
  <c r="B19" i="190"/>
  <c r="F19" i="190" s="1"/>
  <c r="B20" i="190"/>
  <c r="F20" i="190" s="1"/>
  <c r="B21" i="190"/>
  <c r="F21" i="190" s="1"/>
  <c r="B22" i="190"/>
  <c r="F22" i="190" s="1"/>
  <c r="B23" i="190"/>
  <c r="F23" i="190" s="1"/>
  <c r="B24" i="190"/>
  <c r="F24" i="190" s="1"/>
  <c r="B5" i="190"/>
  <c r="F5" i="190" s="1"/>
  <c r="B52" i="37"/>
  <c r="E52" i="37" s="1"/>
  <c r="B53" i="37"/>
  <c r="E53" i="37" s="1"/>
  <c r="B54" i="37"/>
  <c r="E54" i="37" s="1"/>
  <c r="B51" i="37"/>
  <c r="E51" i="37" s="1"/>
  <c r="B44" i="37"/>
  <c r="F44" i="37" s="1"/>
  <c r="B43" i="37"/>
  <c r="F43" i="37" s="1"/>
  <c r="B6" i="37"/>
  <c r="F6" i="37" s="1"/>
  <c r="B7" i="37"/>
  <c r="F7" i="37" s="1"/>
  <c r="B8" i="37"/>
  <c r="F8" i="37" s="1"/>
  <c r="B9" i="37"/>
  <c r="F9" i="37" s="1"/>
  <c r="B10" i="37"/>
  <c r="F10" i="37" s="1"/>
  <c r="B11" i="37"/>
  <c r="F11" i="37" s="1"/>
  <c r="B12" i="37"/>
  <c r="F12" i="37" s="1"/>
  <c r="B13" i="37"/>
  <c r="F13" i="37" s="1"/>
  <c r="B14" i="37"/>
  <c r="F14" i="37" s="1"/>
  <c r="B15" i="37"/>
  <c r="F15" i="37" s="1"/>
  <c r="B16" i="37"/>
  <c r="F16" i="37" s="1"/>
  <c r="B17" i="37"/>
  <c r="F17" i="37" s="1"/>
  <c r="B18" i="37"/>
  <c r="F18" i="37" s="1"/>
  <c r="B19" i="37"/>
  <c r="F19" i="37" s="1"/>
  <c r="B20" i="37"/>
  <c r="F20" i="37" s="1"/>
  <c r="B21" i="37"/>
  <c r="F21" i="37" s="1"/>
  <c r="B22" i="37"/>
  <c r="F22" i="37" s="1"/>
  <c r="B23" i="37"/>
  <c r="F23" i="37" s="1"/>
  <c r="B24" i="37"/>
  <c r="F24" i="37" s="1"/>
  <c r="B5" i="37"/>
  <c r="F5" i="37" s="1"/>
  <c r="B52" i="26"/>
  <c r="E52" i="26" s="1"/>
  <c r="B53" i="26"/>
  <c r="E53" i="26" s="1"/>
  <c r="B54" i="26"/>
  <c r="E54" i="26" s="1"/>
  <c r="B51" i="26"/>
  <c r="E51" i="26" s="1"/>
  <c r="B44" i="26"/>
  <c r="F44" i="26" s="1"/>
  <c r="B43" i="26"/>
  <c r="F43" i="26" s="1"/>
  <c r="B6" i="26"/>
  <c r="F6" i="26" s="1"/>
  <c r="B7" i="26"/>
  <c r="F7" i="26" s="1"/>
  <c r="B8" i="26"/>
  <c r="F8" i="26" s="1"/>
  <c r="B9" i="26"/>
  <c r="F9" i="26" s="1"/>
  <c r="B10" i="26"/>
  <c r="F10" i="26" s="1"/>
  <c r="B11" i="26"/>
  <c r="F11" i="26" s="1"/>
  <c r="B12" i="26"/>
  <c r="F12" i="26" s="1"/>
  <c r="B13" i="26"/>
  <c r="F13" i="26" s="1"/>
  <c r="B14" i="26"/>
  <c r="F14" i="26" s="1"/>
  <c r="B15" i="26"/>
  <c r="F15" i="26" s="1"/>
  <c r="B16" i="26"/>
  <c r="F16" i="26" s="1"/>
  <c r="B17" i="26"/>
  <c r="F17" i="26" s="1"/>
  <c r="B18" i="26"/>
  <c r="F18" i="26" s="1"/>
  <c r="B19" i="26"/>
  <c r="F19" i="26" s="1"/>
  <c r="B20" i="26"/>
  <c r="F20" i="26" s="1"/>
  <c r="B21" i="26"/>
  <c r="F21" i="26" s="1"/>
  <c r="B22" i="26"/>
  <c r="F22" i="26" s="1"/>
  <c r="B23" i="26"/>
  <c r="F23" i="26" s="1"/>
  <c r="B24" i="26"/>
  <c r="F24" i="26" s="1"/>
  <c r="B5" i="26"/>
  <c r="F5" i="26" s="1"/>
  <c r="B39" i="172"/>
  <c r="E39" i="172" s="1"/>
  <c r="B40" i="172"/>
  <c r="E40" i="172" s="1"/>
  <c r="B38" i="172"/>
  <c r="E38" i="172" s="1"/>
  <c r="B9" i="172"/>
  <c r="F9" i="172" s="1"/>
  <c r="B10" i="172"/>
  <c r="F10" i="172" s="1"/>
  <c r="B13" i="172"/>
  <c r="F13" i="172" s="1"/>
  <c r="B14" i="172"/>
  <c r="F14" i="172" s="1"/>
  <c r="B15" i="172"/>
  <c r="F15" i="172" s="1"/>
  <c r="B16" i="172"/>
  <c r="F16" i="172" s="1"/>
  <c r="B17" i="172"/>
  <c r="F17" i="172" s="1"/>
  <c r="B18" i="172"/>
  <c r="F18" i="172" s="1"/>
  <c r="B19" i="172"/>
  <c r="F19" i="172" s="1"/>
  <c r="B20" i="172"/>
  <c r="F20" i="172" s="1"/>
  <c r="B21" i="172"/>
  <c r="F21" i="172" s="1"/>
  <c r="B22" i="172"/>
  <c r="F22" i="172" s="1"/>
  <c r="B6" i="172"/>
  <c r="F6" i="172" s="1"/>
  <c r="B7" i="172"/>
  <c r="F7" i="172" s="1"/>
  <c r="B5" i="172"/>
  <c r="F5" i="172" s="1"/>
  <c r="B39" i="27"/>
  <c r="E39" i="27" s="1"/>
  <c r="B38" i="27"/>
  <c r="E38" i="27" s="1"/>
  <c r="B10" i="27"/>
  <c r="F10" i="27" s="1"/>
  <c r="G10" i="27" s="1"/>
  <c r="B11" i="27"/>
  <c r="F11" i="27" s="1"/>
  <c r="G11" i="27" s="1"/>
  <c r="B13" i="27"/>
  <c r="F13" i="27" s="1"/>
  <c r="G13" i="27" s="1"/>
  <c r="B14" i="27"/>
  <c r="F14" i="27" s="1"/>
  <c r="G14" i="27" s="1"/>
  <c r="B15" i="27"/>
  <c r="F15" i="27" s="1"/>
  <c r="G15" i="27" s="1"/>
  <c r="B16" i="27"/>
  <c r="F16" i="27" s="1"/>
  <c r="G16" i="27" s="1"/>
  <c r="B17" i="27"/>
  <c r="F17" i="27" s="1"/>
  <c r="G17" i="27" s="1"/>
  <c r="B18" i="27"/>
  <c r="F18" i="27" s="1"/>
  <c r="G18" i="27" s="1"/>
  <c r="B19" i="27"/>
  <c r="F19" i="27" s="1"/>
  <c r="G19" i="27" s="1"/>
  <c r="B20" i="27"/>
  <c r="F20" i="27" s="1"/>
  <c r="G20" i="27" s="1"/>
  <c r="B21" i="27"/>
  <c r="F21" i="27" s="1"/>
  <c r="G21" i="27" s="1"/>
  <c r="B22" i="27"/>
  <c r="F22" i="27" s="1"/>
  <c r="G22" i="27" s="1"/>
  <c r="B9" i="27"/>
  <c r="F9" i="27" s="1"/>
  <c r="G9" i="27" s="1"/>
  <c r="B6" i="27"/>
  <c r="F6" i="27" s="1"/>
  <c r="G6" i="27" s="1"/>
  <c r="B7" i="27"/>
  <c r="F7" i="27" s="1"/>
  <c r="G7" i="27" s="1"/>
  <c r="B5" i="27"/>
  <c r="F5" i="27" s="1"/>
  <c r="B40" i="175"/>
  <c r="E40" i="175" s="1"/>
  <c r="B41" i="175"/>
  <c r="E41" i="175" s="1"/>
  <c r="B42" i="175"/>
  <c r="E42" i="175" s="1"/>
  <c r="B6" i="175"/>
  <c r="F6" i="175" s="1"/>
  <c r="B7" i="175"/>
  <c r="F7" i="175" s="1"/>
  <c r="B8" i="175"/>
  <c r="F8" i="175" s="1"/>
  <c r="B9" i="175"/>
  <c r="F9" i="175" s="1"/>
  <c r="B10" i="175"/>
  <c r="F10" i="175" s="1"/>
  <c r="B11" i="175"/>
  <c r="F11" i="175" s="1"/>
  <c r="B12" i="175"/>
  <c r="F12" i="175" s="1"/>
  <c r="B13" i="175"/>
  <c r="F13" i="175" s="1"/>
  <c r="B14" i="175"/>
  <c r="F14" i="175" s="1"/>
  <c r="B15" i="175"/>
  <c r="F15" i="175" s="1"/>
  <c r="B16" i="175"/>
  <c r="F16" i="175" s="1"/>
  <c r="B17" i="175"/>
  <c r="F17" i="175" s="1"/>
  <c r="B18" i="175"/>
  <c r="F18" i="175" s="1"/>
  <c r="B19" i="175"/>
  <c r="F19" i="175" s="1"/>
  <c r="B20" i="175"/>
  <c r="F20" i="175" s="1"/>
  <c r="B21" i="175"/>
  <c r="F21" i="175" s="1"/>
  <c r="B22" i="175"/>
  <c r="F22" i="175" s="1"/>
  <c r="B5" i="175"/>
  <c r="F5" i="175" s="1"/>
  <c r="B40" i="25"/>
  <c r="E40" i="25" s="1"/>
  <c r="B41" i="25"/>
  <c r="E41" i="25" s="1"/>
  <c r="B42" i="25"/>
  <c r="E42" i="25" s="1"/>
  <c r="B43" i="25"/>
  <c r="E43" i="25" s="1"/>
  <c r="B39" i="25"/>
  <c r="E39" i="25" s="1"/>
  <c r="B6" i="25"/>
  <c r="F6" i="25" s="1"/>
  <c r="B7" i="25"/>
  <c r="F7" i="25" s="1"/>
  <c r="B8" i="25"/>
  <c r="F8" i="25" s="1"/>
  <c r="B9" i="25"/>
  <c r="F9" i="25" s="1"/>
  <c r="B10" i="25"/>
  <c r="F10" i="25" s="1"/>
  <c r="B11" i="25"/>
  <c r="F11" i="25" s="1"/>
  <c r="B12" i="25"/>
  <c r="F12" i="25" s="1"/>
  <c r="B13" i="25"/>
  <c r="F13" i="25" s="1"/>
  <c r="B14" i="25"/>
  <c r="F14" i="25" s="1"/>
  <c r="B15" i="25"/>
  <c r="F15" i="25" s="1"/>
  <c r="B16" i="25"/>
  <c r="F16" i="25" s="1"/>
  <c r="B17" i="25"/>
  <c r="F17" i="25" s="1"/>
  <c r="B18" i="25"/>
  <c r="F18" i="25" s="1"/>
  <c r="B19" i="25"/>
  <c r="F19" i="25" s="1"/>
  <c r="B20" i="25"/>
  <c r="F20" i="25" s="1"/>
  <c r="B21" i="25"/>
  <c r="F21" i="25" s="1"/>
  <c r="B22" i="25"/>
  <c r="F22" i="25" s="1"/>
  <c r="B5" i="25"/>
  <c r="F5" i="25" s="1"/>
  <c r="B40" i="140"/>
  <c r="E40" i="140" s="1"/>
  <c r="B42" i="140"/>
  <c r="E42" i="140" s="1"/>
  <c r="B43" i="140"/>
  <c r="E43" i="140" s="1"/>
  <c r="B39" i="140"/>
  <c r="E39" i="140" s="1"/>
  <c r="B6" i="140"/>
  <c r="F6" i="140" s="1"/>
  <c r="G6" i="140" s="1"/>
  <c r="B7" i="140"/>
  <c r="F7" i="140" s="1"/>
  <c r="G7" i="140" s="1"/>
  <c r="B8" i="140"/>
  <c r="F8" i="140" s="1"/>
  <c r="G8" i="140" s="1"/>
  <c r="B9" i="140"/>
  <c r="F9" i="140" s="1"/>
  <c r="G9" i="140" s="1"/>
  <c r="B10" i="140"/>
  <c r="F10" i="140" s="1"/>
  <c r="G10" i="140" s="1"/>
  <c r="B11" i="140"/>
  <c r="F11" i="140" s="1"/>
  <c r="G11" i="140" s="1"/>
  <c r="B12" i="140"/>
  <c r="F12" i="140" s="1"/>
  <c r="G12" i="140" s="1"/>
  <c r="B13" i="140"/>
  <c r="F13" i="140" s="1"/>
  <c r="G13" i="140" s="1"/>
  <c r="B14" i="140"/>
  <c r="F14" i="140" s="1"/>
  <c r="G14" i="140" s="1"/>
  <c r="B15" i="140"/>
  <c r="F15" i="140" s="1"/>
  <c r="G15" i="140" s="1"/>
  <c r="B16" i="140"/>
  <c r="F16" i="140" s="1"/>
  <c r="G16" i="140" s="1"/>
  <c r="B17" i="140"/>
  <c r="F17" i="140" s="1"/>
  <c r="G17" i="140" s="1"/>
  <c r="B18" i="140"/>
  <c r="F18" i="140" s="1"/>
  <c r="G18" i="140" s="1"/>
  <c r="B19" i="140"/>
  <c r="F19" i="140" s="1"/>
  <c r="G19" i="140" s="1"/>
  <c r="B20" i="140"/>
  <c r="F20" i="140" s="1"/>
  <c r="G20" i="140" s="1"/>
  <c r="B21" i="140"/>
  <c r="F21" i="140" s="1"/>
  <c r="G21" i="140" s="1"/>
  <c r="B22" i="140"/>
  <c r="F22" i="140" s="1"/>
  <c r="G22" i="140" s="1"/>
  <c r="B23" i="140"/>
  <c r="B5" i="140"/>
  <c r="F5" i="140" s="1"/>
  <c r="B39" i="36"/>
  <c r="E39" i="36" s="1"/>
  <c r="B6" i="36"/>
  <c r="F6" i="36" s="1"/>
  <c r="G6" i="36" s="1"/>
  <c r="B7" i="36"/>
  <c r="F7" i="36" s="1"/>
  <c r="G7" i="36" s="1"/>
  <c r="B8" i="36"/>
  <c r="F8" i="36" s="1"/>
  <c r="G8" i="36" s="1"/>
  <c r="B9" i="36"/>
  <c r="F9" i="36" s="1"/>
  <c r="G9" i="36" s="1"/>
  <c r="B10" i="36"/>
  <c r="F10" i="36" s="1"/>
  <c r="G10" i="36" s="1"/>
  <c r="B11" i="36"/>
  <c r="F11" i="36" s="1"/>
  <c r="G11" i="36" s="1"/>
  <c r="B12" i="36"/>
  <c r="F12" i="36" s="1"/>
  <c r="G12" i="36" s="1"/>
  <c r="B13" i="36"/>
  <c r="F13" i="36" s="1"/>
  <c r="G13" i="36" s="1"/>
  <c r="B14" i="36"/>
  <c r="F14" i="36" s="1"/>
  <c r="G14" i="36" s="1"/>
  <c r="B15" i="36"/>
  <c r="F15" i="36" s="1"/>
  <c r="G15" i="36" s="1"/>
  <c r="B16" i="36"/>
  <c r="F16" i="36" s="1"/>
  <c r="G16" i="36" s="1"/>
  <c r="B17" i="36"/>
  <c r="F17" i="36" s="1"/>
  <c r="G17" i="36" s="1"/>
  <c r="B18" i="36"/>
  <c r="F18" i="36" s="1"/>
  <c r="G18" i="36" s="1"/>
  <c r="B19" i="36"/>
  <c r="F19" i="36" s="1"/>
  <c r="G19" i="36" s="1"/>
  <c r="B20" i="36"/>
  <c r="F20" i="36" s="1"/>
  <c r="G20" i="36" s="1"/>
  <c r="B21" i="36"/>
  <c r="F21" i="36" s="1"/>
  <c r="G21" i="36" s="1"/>
  <c r="B22" i="36"/>
  <c r="F22" i="36" s="1"/>
  <c r="G22" i="36" s="1"/>
  <c r="B5" i="36"/>
  <c r="F5" i="36" s="1"/>
  <c r="B29" i="137"/>
  <c r="E29" i="137" s="1"/>
  <c r="B30" i="137"/>
  <c r="E30" i="137" s="1"/>
  <c r="B31" i="137"/>
  <c r="E31" i="137" s="1"/>
  <c r="B32" i="137"/>
  <c r="E32" i="137" s="1"/>
  <c r="B28" i="137"/>
  <c r="E28" i="137" s="1"/>
  <c r="B6" i="137"/>
  <c r="F6" i="137" s="1"/>
  <c r="B7" i="137"/>
  <c r="F7" i="137" s="1"/>
  <c r="B8" i="137"/>
  <c r="F8" i="137" s="1"/>
  <c r="B9" i="137"/>
  <c r="F9" i="137" s="1"/>
  <c r="B10" i="137"/>
  <c r="F10" i="137" s="1"/>
  <c r="B11" i="137"/>
  <c r="F11" i="137" s="1"/>
  <c r="B12" i="137"/>
  <c r="F12" i="137" s="1"/>
  <c r="B5" i="137"/>
  <c r="F5" i="137" s="1"/>
  <c r="B29" i="136"/>
  <c r="E29" i="136" s="1"/>
  <c r="B30" i="136"/>
  <c r="E30" i="136" s="1"/>
  <c r="B28" i="136"/>
  <c r="E28" i="136" s="1"/>
  <c r="B6" i="136"/>
  <c r="F6" i="136" s="1"/>
  <c r="G6" i="136" s="1"/>
  <c r="B7" i="136"/>
  <c r="F7" i="136" s="1"/>
  <c r="G7" i="136" s="1"/>
  <c r="B8" i="136"/>
  <c r="F8" i="136" s="1"/>
  <c r="G8" i="136" s="1"/>
  <c r="B9" i="136"/>
  <c r="F9" i="136" s="1"/>
  <c r="G9" i="136" s="1"/>
  <c r="B10" i="136"/>
  <c r="F10" i="136" s="1"/>
  <c r="G10" i="136" s="1"/>
  <c r="B11" i="136"/>
  <c r="F11" i="136" s="1"/>
  <c r="G11" i="136" s="1"/>
  <c r="B12" i="136"/>
  <c r="F12" i="136" s="1"/>
  <c r="G12" i="136" s="1"/>
  <c r="B5" i="136"/>
  <c r="F5" i="136" s="1"/>
  <c r="B40" i="23"/>
  <c r="E40" i="23" s="1"/>
  <c r="B41" i="23"/>
  <c r="E41" i="23" s="1"/>
  <c r="B38" i="23"/>
  <c r="E38" i="23" s="1"/>
  <c r="B6" i="23"/>
  <c r="F6" i="23" s="1"/>
  <c r="B7" i="23"/>
  <c r="F7" i="23" s="1"/>
  <c r="B8" i="23"/>
  <c r="F8" i="23" s="1"/>
  <c r="B9" i="23"/>
  <c r="F9" i="23" s="1"/>
  <c r="B10" i="23"/>
  <c r="F10" i="23" s="1"/>
  <c r="B11" i="23"/>
  <c r="F11" i="23" s="1"/>
  <c r="B12" i="23"/>
  <c r="F12" i="23" s="1"/>
  <c r="B13" i="23"/>
  <c r="F13" i="23" s="1"/>
  <c r="B14" i="23"/>
  <c r="F14" i="23" s="1"/>
  <c r="B15" i="23"/>
  <c r="F15" i="23" s="1"/>
  <c r="B16" i="23"/>
  <c r="F16" i="23" s="1"/>
  <c r="B17" i="23"/>
  <c r="F17" i="23" s="1"/>
  <c r="B18" i="23"/>
  <c r="F18" i="23" s="1"/>
  <c r="B19" i="23"/>
  <c r="F19" i="23" s="1"/>
  <c r="B20" i="23"/>
  <c r="F20" i="23" s="1"/>
  <c r="B21" i="23"/>
  <c r="F21" i="23" s="1"/>
  <c r="B22" i="23"/>
  <c r="F22" i="23" s="1"/>
  <c r="B36" i="24"/>
  <c r="E36" i="24" s="1"/>
  <c r="B35" i="24"/>
  <c r="E35" i="24" s="1"/>
  <c r="B6" i="24"/>
  <c r="F6" i="24" s="1"/>
  <c r="B7" i="24"/>
  <c r="F7" i="24" s="1"/>
  <c r="G6" i="24" s="1"/>
  <c r="B8" i="24"/>
  <c r="F8" i="24" s="1"/>
  <c r="G7" i="24" s="1"/>
  <c r="B9" i="24"/>
  <c r="F9" i="24" s="1"/>
  <c r="G8" i="24" s="1"/>
  <c r="B10" i="24"/>
  <c r="F10" i="24" s="1"/>
  <c r="G9" i="24" s="1"/>
  <c r="B11" i="24"/>
  <c r="F11" i="24" s="1"/>
  <c r="G10" i="24" s="1"/>
  <c r="B12" i="24"/>
  <c r="F12" i="24" s="1"/>
  <c r="G11" i="24" s="1"/>
  <c r="B13" i="24"/>
  <c r="F13" i="24" s="1"/>
  <c r="G12" i="24" s="1"/>
  <c r="B14" i="24"/>
  <c r="F14" i="24" s="1"/>
  <c r="G13" i="24" s="1"/>
  <c r="B16" i="24"/>
  <c r="F16" i="24" s="1"/>
  <c r="G15" i="24" s="1"/>
  <c r="B18" i="24"/>
  <c r="F18" i="24" s="1"/>
  <c r="G17" i="24" s="1"/>
  <c r="B19" i="24"/>
  <c r="F19" i="24" s="1"/>
  <c r="G18" i="24" s="1"/>
  <c r="B36" i="35"/>
  <c r="E36" i="35" s="1"/>
  <c r="B35" i="35"/>
  <c r="E35" i="35" s="1"/>
  <c r="B6" i="35"/>
  <c r="F6" i="35" s="1"/>
  <c r="B7" i="35"/>
  <c r="F7" i="35" s="1"/>
  <c r="B8" i="35"/>
  <c r="F8" i="35" s="1"/>
  <c r="B9" i="35"/>
  <c r="F9" i="35" s="1"/>
  <c r="B10" i="35"/>
  <c r="F10" i="35" s="1"/>
  <c r="B11" i="35"/>
  <c r="F11" i="35" s="1"/>
  <c r="B12" i="35"/>
  <c r="F12" i="35" s="1"/>
  <c r="B13" i="35"/>
  <c r="F13" i="35" s="1"/>
  <c r="B14" i="35"/>
  <c r="F14" i="35" s="1"/>
  <c r="B16" i="35"/>
  <c r="F16" i="35" s="1"/>
  <c r="B18" i="35"/>
  <c r="F18" i="35" s="1"/>
  <c r="B19" i="35"/>
  <c r="F19" i="35" s="1"/>
  <c r="B41" i="21"/>
  <c r="E41" i="21" s="1"/>
  <c r="B42" i="21"/>
  <c r="E42" i="21" s="1"/>
  <c r="B43" i="21"/>
  <c r="E43" i="21" s="1"/>
  <c r="B44" i="21"/>
  <c r="E44" i="21" s="1"/>
  <c r="B45" i="21"/>
  <c r="E45" i="21" s="1"/>
  <c r="B40" i="21"/>
  <c r="E40" i="21" s="1"/>
  <c r="B6" i="21"/>
  <c r="F6" i="21" s="1"/>
  <c r="B8" i="21"/>
  <c r="F8" i="21" s="1"/>
  <c r="B9" i="21"/>
  <c r="F9" i="21" s="1"/>
  <c r="B10" i="21"/>
  <c r="F10" i="21" s="1"/>
  <c r="B11" i="21"/>
  <c r="F11" i="21" s="1"/>
  <c r="B12" i="21"/>
  <c r="F12" i="21" s="1"/>
  <c r="B13" i="21"/>
  <c r="F13" i="21" s="1"/>
  <c r="B14" i="21"/>
  <c r="F14" i="21" s="1"/>
  <c r="B16" i="21"/>
  <c r="F16" i="21" s="1"/>
  <c r="B17" i="21"/>
  <c r="F17" i="21" s="1"/>
  <c r="B18" i="21"/>
  <c r="F18" i="21" s="1"/>
  <c r="B19" i="21"/>
  <c r="F19" i="21" s="1"/>
  <c r="B20" i="21"/>
  <c r="F20" i="21" s="1"/>
  <c r="B21" i="21"/>
  <c r="F21" i="21" s="1"/>
  <c r="B22" i="21"/>
  <c r="F22" i="21" s="1"/>
  <c r="B23" i="21"/>
  <c r="F23" i="21" s="1"/>
  <c r="B24" i="21"/>
  <c r="F24" i="21" s="1"/>
  <c r="B5" i="21"/>
  <c r="F5" i="21" s="1"/>
  <c r="B41" i="22"/>
  <c r="E41" i="22" s="1"/>
  <c r="B42" i="22"/>
  <c r="E42" i="22" s="1"/>
  <c r="B43" i="22"/>
  <c r="E43" i="22" s="1"/>
  <c r="B44" i="22"/>
  <c r="E44" i="22" s="1"/>
  <c r="B45" i="22"/>
  <c r="E45" i="22" s="1"/>
  <c r="B40" i="22"/>
  <c r="E40" i="22" s="1"/>
  <c r="B6" i="22"/>
  <c r="F6" i="22" s="1"/>
  <c r="B7" i="22"/>
  <c r="F7" i="22" s="1"/>
  <c r="B8" i="22"/>
  <c r="F8" i="22" s="1"/>
  <c r="B9" i="22"/>
  <c r="F9" i="22" s="1"/>
  <c r="B10" i="22"/>
  <c r="F10" i="22" s="1"/>
  <c r="B11" i="22"/>
  <c r="F11" i="22" s="1"/>
  <c r="B12" i="22"/>
  <c r="F12" i="22" s="1"/>
  <c r="B13" i="22"/>
  <c r="F13" i="22" s="1"/>
  <c r="B14" i="22"/>
  <c r="F14" i="22" s="1"/>
  <c r="B16" i="22"/>
  <c r="F16" i="22" s="1"/>
  <c r="B17" i="22"/>
  <c r="F17" i="22" s="1"/>
  <c r="B18" i="22"/>
  <c r="F18" i="22" s="1"/>
  <c r="B19" i="22"/>
  <c r="F19" i="22" s="1"/>
  <c r="B20" i="22"/>
  <c r="F20" i="22" s="1"/>
  <c r="B21" i="22"/>
  <c r="F21" i="22" s="1"/>
  <c r="B22" i="22"/>
  <c r="F22" i="22" s="1"/>
  <c r="B23" i="22"/>
  <c r="F23" i="22" s="1"/>
  <c r="B24" i="22"/>
  <c r="F24" i="22" s="1"/>
  <c r="B5" i="22"/>
  <c r="F5" i="22" s="1"/>
  <c r="B41" i="184"/>
  <c r="E41" i="184" s="1"/>
  <c r="B42" i="184"/>
  <c r="E42" i="184" s="1"/>
  <c r="B43" i="184"/>
  <c r="E43" i="184" s="1"/>
  <c r="B44" i="184"/>
  <c r="E44" i="184" s="1"/>
  <c r="B40" i="184"/>
  <c r="E40" i="184" s="1"/>
  <c r="B6" i="184"/>
  <c r="F6" i="184" s="1"/>
  <c r="B8" i="184"/>
  <c r="F8" i="184" s="1"/>
  <c r="B9" i="184"/>
  <c r="F9" i="184" s="1"/>
  <c r="B10" i="184"/>
  <c r="F10" i="184" s="1"/>
  <c r="B11" i="184"/>
  <c r="F11" i="184" s="1"/>
  <c r="B12" i="184"/>
  <c r="F12" i="184" s="1"/>
  <c r="B13" i="184"/>
  <c r="F13" i="184" s="1"/>
  <c r="B14" i="184"/>
  <c r="F14" i="184" s="1"/>
  <c r="B16" i="184"/>
  <c r="F16" i="184" s="1"/>
  <c r="B17" i="184"/>
  <c r="F17" i="184" s="1"/>
  <c r="B18" i="184"/>
  <c r="F18" i="184" s="1"/>
  <c r="B19" i="184"/>
  <c r="F19" i="184" s="1"/>
  <c r="B20" i="184"/>
  <c r="F20" i="184" s="1"/>
  <c r="B21" i="184"/>
  <c r="F21" i="184" s="1"/>
  <c r="B22" i="184"/>
  <c r="F22" i="184" s="1"/>
  <c r="B23" i="184"/>
  <c r="F23" i="184" s="1"/>
  <c r="B24" i="184"/>
  <c r="F24" i="184" s="1"/>
  <c r="B5" i="184"/>
  <c r="F5" i="184" s="1"/>
  <c r="B37" i="155"/>
  <c r="E37" i="155" s="1"/>
  <c r="B38" i="155"/>
  <c r="E38" i="155" s="1"/>
  <c r="B39" i="155"/>
  <c r="E39" i="155" s="1"/>
  <c r="B36" i="155"/>
  <c r="E36" i="155" s="1"/>
  <c r="B6" i="155"/>
  <c r="F6" i="155" s="1"/>
  <c r="B7" i="155"/>
  <c r="F7" i="155" s="1"/>
  <c r="B8" i="155"/>
  <c r="F8" i="155" s="1"/>
  <c r="B9" i="155"/>
  <c r="F9" i="155" s="1"/>
  <c r="B10" i="155"/>
  <c r="F10" i="155" s="1"/>
  <c r="B11" i="155"/>
  <c r="F11" i="155" s="1"/>
  <c r="B12" i="155"/>
  <c r="F12" i="155" s="1"/>
  <c r="B13" i="155"/>
  <c r="F13" i="155" s="1"/>
  <c r="B14" i="155"/>
  <c r="F14" i="155" s="1"/>
  <c r="B15" i="155"/>
  <c r="F15" i="155" s="1"/>
  <c r="B16" i="155"/>
  <c r="F16" i="155" s="1"/>
  <c r="B17" i="155"/>
  <c r="F17" i="155" s="1"/>
  <c r="B18" i="155"/>
  <c r="F18" i="155" s="1"/>
  <c r="B19" i="155"/>
  <c r="F19" i="155" s="1"/>
  <c r="B5" i="155"/>
  <c r="F5" i="155" s="1"/>
  <c r="B37" i="173"/>
  <c r="E37" i="173" s="1"/>
  <c r="B38" i="173"/>
  <c r="E38" i="173" s="1"/>
  <c r="B39" i="173"/>
  <c r="E39" i="173" s="1"/>
  <c r="B36" i="173"/>
  <c r="E36" i="173" s="1"/>
  <c r="B6" i="173"/>
  <c r="F6" i="173" s="1"/>
  <c r="B7" i="173"/>
  <c r="F7" i="173" s="1"/>
  <c r="B8" i="173"/>
  <c r="F8" i="173" s="1"/>
  <c r="B9" i="173"/>
  <c r="F9" i="173" s="1"/>
  <c r="B10" i="173"/>
  <c r="F10" i="173" s="1"/>
  <c r="B11" i="173"/>
  <c r="F11" i="173" s="1"/>
  <c r="B12" i="173"/>
  <c r="F12" i="173" s="1"/>
  <c r="B13" i="173"/>
  <c r="F13" i="173" s="1"/>
  <c r="B14" i="173"/>
  <c r="F14" i="173" s="1"/>
  <c r="B15" i="173"/>
  <c r="F15" i="173" s="1"/>
  <c r="B16" i="173"/>
  <c r="F16" i="173" s="1"/>
  <c r="B17" i="173"/>
  <c r="F17" i="173" s="1"/>
  <c r="B18" i="173"/>
  <c r="F18" i="173" s="1"/>
  <c r="B19" i="173"/>
  <c r="F19" i="173" s="1"/>
  <c r="B5" i="173"/>
  <c r="F5" i="173" s="1"/>
  <c r="B37" i="171"/>
  <c r="E37" i="171" s="1"/>
  <c r="B38" i="171"/>
  <c r="E38" i="171" s="1"/>
  <c r="B39" i="171"/>
  <c r="E39" i="171" s="1"/>
  <c r="B36" i="171"/>
  <c r="E36" i="171" s="1"/>
  <c r="B6" i="171"/>
  <c r="F6" i="171" s="1"/>
  <c r="B7" i="171"/>
  <c r="F7" i="171" s="1"/>
  <c r="B8" i="171"/>
  <c r="F8" i="171" s="1"/>
  <c r="B9" i="171"/>
  <c r="F9" i="171" s="1"/>
  <c r="B10" i="171"/>
  <c r="F10" i="171" s="1"/>
  <c r="B11" i="171"/>
  <c r="F11" i="171" s="1"/>
  <c r="B12" i="171"/>
  <c r="F12" i="171" s="1"/>
  <c r="B13" i="171"/>
  <c r="F13" i="171" s="1"/>
  <c r="B14" i="171"/>
  <c r="F14" i="171" s="1"/>
  <c r="B15" i="171"/>
  <c r="F15" i="171" s="1"/>
  <c r="B16" i="171"/>
  <c r="F16" i="171" s="1"/>
  <c r="B17" i="171"/>
  <c r="F17" i="171" s="1"/>
  <c r="B18" i="171"/>
  <c r="F18" i="171" s="1"/>
  <c r="B19" i="171"/>
  <c r="F19" i="171" s="1"/>
  <c r="B5" i="171"/>
  <c r="F5" i="171" s="1"/>
  <c r="B37" i="180"/>
  <c r="E37" i="180" s="1"/>
  <c r="B38" i="180"/>
  <c r="E38" i="180" s="1"/>
  <c r="B39" i="180"/>
  <c r="E39" i="180" s="1"/>
  <c r="B40" i="180"/>
  <c r="E40" i="180" s="1"/>
  <c r="B36" i="180"/>
  <c r="E36" i="180" s="1"/>
  <c r="B6" i="180"/>
  <c r="F6" i="180" s="1"/>
  <c r="B7" i="180"/>
  <c r="F7" i="180" s="1"/>
  <c r="B8" i="180"/>
  <c r="F8" i="180" s="1"/>
  <c r="B9" i="180"/>
  <c r="F9" i="180" s="1"/>
  <c r="B10" i="180"/>
  <c r="F10" i="180" s="1"/>
  <c r="B11" i="180"/>
  <c r="F11" i="180" s="1"/>
  <c r="B12" i="180"/>
  <c r="F12" i="180" s="1"/>
  <c r="B13" i="180"/>
  <c r="F13" i="180" s="1"/>
  <c r="B14" i="180"/>
  <c r="F14" i="180" s="1"/>
  <c r="B15" i="180"/>
  <c r="F15" i="180" s="1"/>
  <c r="B16" i="180"/>
  <c r="F16" i="180" s="1"/>
  <c r="B17" i="180"/>
  <c r="F17" i="180" s="1"/>
  <c r="B18" i="180"/>
  <c r="F18" i="180" s="1"/>
  <c r="B19" i="180"/>
  <c r="F19" i="180" s="1"/>
  <c r="B5" i="180"/>
  <c r="F5" i="180" s="1"/>
  <c r="B37" i="178"/>
  <c r="E37" i="178" s="1"/>
  <c r="B38" i="178"/>
  <c r="E38" i="178" s="1"/>
  <c r="B39" i="178"/>
  <c r="E39" i="178" s="1"/>
  <c r="B36" i="178"/>
  <c r="E36" i="178" s="1"/>
  <c r="B6" i="178"/>
  <c r="F6" i="178" s="1"/>
  <c r="B7" i="178"/>
  <c r="F7" i="178" s="1"/>
  <c r="B8" i="178"/>
  <c r="F8" i="178" s="1"/>
  <c r="B9" i="178"/>
  <c r="F9" i="178" s="1"/>
  <c r="B10" i="178"/>
  <c r="F10" i="178" s="1"/>
  <c r="B11" i="178"/>
  <c r="F11" i="178" s="1"/>
  <c r="B12" i="178"/>
  <c r="F12" i="178" s="1"/>
  <c r="B13" i="178"/>
  <c r="F13" i="178" s="1"/>
  <c r="B14" i="178"/>
  <c r="F14" i="178" s="1"/>
  <c r="B15" i="178"/>
  <c r="F15" i="178" s="1"/>
  <c r="B16" i="178"/>
  <c r="F16" i="178" s="1"/>
  <c r="B17" i="178"/>
  <c r="F17" i="178" s="1"/>
  <c r="B18" i="178"/>
  <c r="F18" i="178" s="1"/>
  <c r="B19" i="178"/>
  <c r="F19" i="178" s="1"/>
  <c r="B5" i="178"/>
  <c r="F5" i="178" s="1"/>
  <c r="B37" i="156"/>
  <c r="E37" i="156" s="1"/>
  <c r="B38" i="156"/>
  <c r="E38" i="156" s="1"/>
  <c r="B39" i="156"/>
  <c r="E39" i="156" s="1"/>
  <c r="B36" i="156"/>
  <c r="E36" i="156" s="1"/>
  <c r="B6" i="156"/>
  <c r="F6" i="156" s="1"/>
  <c r="B7" i="156"/>
  <c r="F7" i="156" s="1"/>
  <c r="B8" i="156"/>
  <c r="F8" i="156" s="1"/>
  <c r="B9" i="156"/>
  <c r="F9" i="156" s="1"/>
  <c r="B10" i="156"/>
  <c r="F10" i="156" s="1"/>
  <c r="B11" i="156"/>
  <c r="F11" i="156" s="1"/>
  <c r="B12" i="156"/>
  <c r="F12" i="156" s="1"/>
  <c r="B13" i="156"/>
  <c r="F13" i="156" s="1"/>
  <c r="B14" i="156"/>
  <c r="F14" i="156" s="1"/>
  <c r="B15" i="156"/>
  <c r="F15" i="156" s="1"/>
  <c r="B16" i="156"/>
  <c r="F16" i="156" s="1"/>
  <c r="B17" i="156"/>
  <c r="F17" i="156" s="1"/>
  <c r="B18" i="156"/>
  <c r="F18" i="156" s="1"/>
  <c r="B19" i="156"/>
  <c r="F19" i="156" s="1"/>
  <c r="B5" i="156"/>
  <c r="F5" i="156" s="1"/>
  <c r="B37" i="119"/>
  <c r="E37" i="119" s="1"/>
  <c r="B38" i="119"/>
  <c r="E38" i="119" s="1"/>
  <c r="B39" i="119"/>
  <c r="E39" i="119" s="1"/>
  <c r="B36" i="119"/>
  <c r="E36" i="119" s="1"/>
  <c r="B6" i="119"/>
  <c r="F6" i="119" s="1"/>
  <c r="B7" i="119"/>
  <c r="F7" i="119" s="1"/>
  <c r="B8" i="119"/>
  <c r="F8" i="119" s="1"/>
  <c r="B9" i="119"/>
  <c r="F9" i="119" s="1"/>
  <c r="B10" i="119"/>
  <c r="F10" i="119" s="1"/>
  <c r="B11" i="119"/>
  <c r="F11" i="119" s="1"/>
  <c r="B12" i="119"/>
  <c r="F12" i="119" s="1"/>
  <c r="B13" i="119"/>
  <c r="F13" i="119" s="1"/>
  <c r="B14" i="119"/>
  <c r="F14" i="119" s="1"/>
  <c r="B15" i="119"/>
  <c r="F15" i="119" s="1"/>
  <c r="B16" i="119"/>
  <c r="F16" i="119" s="1"/>
  <c r="B17" i="119"/>
  <c r="F17" i="119" s="1"/>
  <c r="B5" i="119"/>
  <c r="F5" i="119" s="1"/>
  <c r="B36" i="182"/>
  <c r="E36" i="182" s="1"/>
  <c r="B37" i="182"/>
  <c r="E37" i="182" s="1"/>
  <c r="B35" i="182"/>
  <c r="E35" i="182" s="1"/>
  <c r="B6" i="182"/>
  <c r="F6" i="182" s="1"/>
  <c r="B7" i="182"/>
  <c r="F7" i="182" s="1"/>
  <c r="B8" i="182"/>
  <c r="F8" i="182" s="1"/>
  <c r="B9" i="182"/>
  <c r="F9" i="182" s="1"/>
  <c r="B10" i="182"/>
  <c r="F10" i="182" s="1"/>
  <c r="B11" i="182"/>
  <c r="F11" i="182" s="1"/>
  <c r="B12" i="182"/>
  <c r="F12" i="182" s="1"/>
  <c r="B13" i="182"/>
  <c r="F13" i="182" s="1"/>
  <c r="B14" i="182"/>
  <c r="F14" i="182" s="1"/>
  <c r="B15" i="182"/>
  <c r="F15" i="182" s="1"/>
  <c r="B16" i="182"/>
  <c r="F16" i="182" s="1"/>
  <c r="B17" i="182"/>
  <c r="F17" i="182" s="1"/>
  <c r="B18" i="182"/>
  <c r="F18" i="182" s="1"/>
  <c r="B19" i="182"/>
  <c r="F19" i="182" s="1"/>
  <c r="B5" i="182"/>
  <c r="F5" i="182" s="1"/>
  <c r="B36" i="146"/>
  <c r="E36" i="146" s="1"/>
  <c r="B37" i="146"/>
  <c r="E37" i="146" s="1"/>
  <c r="B38" i="146"/>
  <c r="E38" i="146" s="1"/>
  <c r="B39" i="146"/>
  <c r="E39" i="146" s="1"/>
  <c r="B35" i="146"/>
  <c r="E35" i="146" s="1"/>
  <c r="B6" i="146"/>
  <c r="F6" i="146" s="1"/>
  <c r="B7" i="146"/>
  <c r="F7" i="146" s="1"/>
  <c r="B8" i="146"/>
  <c r="F8" i="146" s="1"/>
  <c r="B9" i="146"/>
  <c r="F9" i="146" s="1"/>
  <c r="B10" i="146"/>
  <c r="F10" i="146" s="1"/>
  <c r="B11" i="146"/>
  <c r="F11" i="146" s="1"/>
  <c r="B12" i="146"/>
  <c r="F12" i="146" s="1"/>
  <c r="B13" i="146"/>
  <c r="F13" i="146" s="1"/>
  <c r="B14" i="146"/>
  <c r="F14" i="146" s="1"/>
  <c r="B15" i="146"/>
  <c r="F15" i="146" s="1"/>
  <c r="B16" i="146"/>
  <c r="F16" i="146" s="1"/>
  <c r="B17" i="146"/>
  <c r="F17" i="146" s="1"/>
  <c r="B18" i="146"/>
  <c r="F18" i="146" s="1"/>
  <c r="B19" i="146"/>
  <c r="F19" i="146" s="1"/>
  <c r="B5" i="146"/>
  <c r="F5" i="146" s="1"/>
  <c r="B36" i="157"/>
  <c r="E36" i="157" s="1"/>
  <c r="B37" i="157"/>
  <c r="E37" i="157" s="1"/>
  <c r="B38" i="157"/>
  <c r="E38" i="157" s="1"/>
  <c r="B39" i="157"/>
  <c r="E39" i="157" s="1"/>
  <c r="B35" i="157"/>
  <c r="E35" i="157" s="1"/>
  <c r="B6" i="157"/>
  <c r="F6" i="157" s="1"/>
  <c r="B7" i="157"/>
  <c r="F7" i="157" s="1"/>
  <c r="B8" i="157"/>
  <c r="F8" i="157" s="1"/>
  <c r="B9" i="157"/>
  <c r="F9" i="157" s="1"/>
  <c r="B10" i="157"/>
  <c r="F10" i="157" s="1"/>
  <c r="B11" i="157"/>
  <c r="F11" i="157" s="1"/>
  <c r="B12" i="157"/>
  <c r="F12" i="157" s="1"/>
  <c r="B13" i="157"/>
  <c r="F13" i="157" s="1"/>
  <c r="B14" i="157"/>
  <c r="F14" i="157" s="1"/>
  <c r="B15" i="157"/>
  <c r="F15" i="157" s="1"/>
  <c r="B16" i="157"/>
  <c r="F16" i="157" s="1"/>
  <c r="B17" i="157"/>
  <c r="F17" i="157" s="1"/>
  <c r="B18" i="157"/>
  <c r="F18" i="157" s="1"/>
  <c r="B19" i="157"/>
  <c r="F19" i="157" s="1"/>
  <c r="B5" i="157"/>
  <c r="F5" i="157" s="1"/>
  <c r="B36" i="181"/>
  <c r="E36" i="181" s="1"/>
  <c r="B37" i="181"/>
  <c r="E37" i="181" s="1"/>
  <c r="B35" i="181"/>
  <c r="E35" i="181" s="1"/>
  <c r="B6" i="181"/>
  <c r="F6" i="181" s="1"/>
  <c r="B7" i="181"/>
  <c r="F7" i="181" s="1"/>
  <c r="B8" i="181"/>
  <c r="F8" i="181" s="1"/>
  <c r="B9" i="181"/>
  <c r="F9" i="181" s="1"/>
  <c r="B10" i="181"/>
  <c r="F10" i="181" s="1"/>
  <c r="B11" i="181"/>
  <c r="F11" i="181" s="1"/>
  <c r="B12" i="181"/>
  <c r="F12" i="181" s="1"/>
  <c r="B13" i="181"/>
  <c r="F13" i="181" s="1"/>
  <c r="B14" i="181"/>
  <c r="F14" i="181" s="1"/>
  <c r="B15" i="181"/>
  <c r="F15" i="181" s="1"/>
  <c r="B16" i="181"/>
  <c r="F16" i="181" s="1"/>
  <c r="B17" i="181"/>
  <c r="F17" i="181" s="1"/>
  <c r="B18" i="181"/>
  <c r="F18" i="181" s="1"/>
  <c r="B19" i="181"/>
  <c r="F19" i="181" s="1"/>
  <c r="B5" i="181"/>
  <c r="F5" i="181" s="1"/>
  <c r="B6" i="162"/>
  <c r="F6" i="162" s="1"/>
  <c r="B7" i="162"/>
  <c r="F7" i="162" s="1"/>
  <c r="B8" i="162"/>
  <c r="F8" i="162" s="1"/>
  <c r="B9" i="162"/>
  <c r="F9" i="162" s="1"/>
  <c r="B10" i="162"/>
  <c r="F10" i="162" s="1"/>
  <c r="B11" i="162"/>
  <c r="F11" i="162" s="1"/>
  <c r="B12" i="162"/>
  <c r="F12" i="162" s="1"/>
  <c r="B13" i="162"/>
  <c r="F13" i="162" s="1"/>
  <c r="B14" i="162"/>
  <c r="F14" i="162" s="1"/>
  <c r="B15" i="162"/>
  <c r="F15" i="162" s="1"/>
  <c r="B16" i="162"/>
  <c r="F16" i="162" s="1"/>
  <c r="B17" i="162"/>
  <c r="F17" i="162" s="1"/>
  <c r="B5" i="162"/>
  <c r="F5" i="162" s="1"/>
  <c r="B35" i="145"/>
  <c r="E35" i="145" s="1"/>
  <c r="B36" i="145"/>
  <c r="E36" i="145" s="1"/>
  <c r="B38" i="145"/>
  <c r="E38" i="145" s="1"/>
  <c r="B34" i="145"/>
  <c r="E34" i="145" s="1"/>
  <c r="B6" i="145"/>
  <c r="F6" i="145" s="1"/>
  <c r="B7" i="145"/>
  <c r="F7" i="145" s="1"/>
  <c r="B8" i="145"/>
  <c r="F8" i="145" s="1"/>
  <c r="B9" i="145"/>
  <c r="F9" i="145" s="1"/>
  <c r="B10" i="145"/>
  <c r="F10" i="145" s="1"/>
  <c r="B11" i="145"/>
  <c r="F11" i="145" s="1"/>
  <c r="B12" i="145"/>
  <c r="F12" i="145" s="1"/>
  <c r="B13" i="145"/>
  <c r="F13" i="145" s="1"/>
  <c r="B14" i="145"/>
  <c r="F14" i="145" s="1"/>
  <c r="B15" i="145"/>
  <c r="F15" i="145" s="1"/>
  <c r="B16" i="145"/>
  <c r="F16" i="145" s="1"/>
  <c r="B17" i="145"/>
  <c r="F17" i="145" s="1"/>
  <c r="B5" i="145"/>
  <c r="F5" i="145" s="1"/>
  <c r="B35" i="183"/>
  <c r="E35" i="183" s="1"/>
  <c r="B36" i="183"/>
  <c r="E36" i="183" s="1"/>
  <c r="B37" i="183"/>
  <c r="E37" i="183" s="1"/>
  <c r="B34" i="183"/>
  <c r="E34" i="183" s="1"/>
  <c r="B6" i="183"/>
  <c r="F6" i="183" s="1"/>
  <c r="B7" i="183"/>
  <c r="F7" i="183" s="1"/>
  <c r="B8" i="183"/>
  <c r="F8" i="183" s="1"/>
  <c r="B9" i="183"/>
  <c r="F9" i="183" s="1"/>
  <c r="B10" i="183"/>
  <c r="F10" i="183" s="1"/>
  <c r="B11" i="183"/>
  <c r="F11" i="183" s="1"/>
  <c r="B12" i="183"/>
  <c r="F12" i="183" s="1"/>
  <c r="B13" i="183"/>
  <c r="F13" i="183" s="1"/>
  <c r="B14" i="183"/>
  <c r="F14" i="183" s="1"/>
  <c r="B15" i="183"/>
  <c r="F15" i="183" s="1"/>
  <c r="B16" i="183"/>
  <c r="F16" i="183" s="1"/>
  <c r="B17" i="183"/>
  <c r="F17" i="183" s="1"/>
  <c r="B5" i="183"/>
  <c r="F5" i="183" s="1"/>
  <c r="B36" i="34"/>
  <c r="E36" i="34" s="1"/>
  <c r="B37" i="34"/>
  <c r="E37" i="34" s="1"/>
  <c r="B34" i="34"/>
  <c r="E34" i="34" s="1"/>
  <c r="B6" i="34"/>
  <c r="F6" i="34" s="1"/>
  <c r="B7" i="34"/>
  <c r="F7" i="34" s="1"/>
  <c r="B8" i="34"/>
  <c r="F8" i="34" s="1"/>
  <c r="B9" i="34"/>
  <c r="F9" i="34" s="1"/>
  <c r="B10" i="34"/>
  <c r="F10" i="34" s="1"/>
  <c r="B11" i="34"/>
  <c r="F11" i="34" s="1"/>
  <c r="B12" i="34"/>
  <c r="F12" i="34" s="1"/>
  <c r="B13" i="34"/>
  <c r="F13" i="34" s="1"/>
  <c r="B14" i="34"/>
  <c r="F14" i="34" s="1"/>
  <c r="B15" i="34"/>
  <c r="F15" i="34" s="1"/>
  <c r="B16" i="34"/>
  <c r="F16" i="34" s="1"/>
  <c r="B17" i="34"/>
  <c r="F17" i="34" s="1"/>
  <c r="B5" i="34"/>
  <c r="F5" i="34" s="1"/>
  <c r="B39" i="17"/>
  <c r="E39" i="17" s="1"/>
  <c r="B6" i="17"/>
  <c r="F6" i="17" s="1"/>
  <c r="B7" i="17"/>
  <c r="F7" i="17" s="1"/>
  <c r="B8" i="17"/>
  <c r="F8" i="17" s="1"/>
  <c r="B9" i="17"/>
  <c r="F9" i="17" s="1"/>
  <c r="B12" i="17"/>
  <c r="F12" i="17" s="1"/>
  <c r="B13" i="17"/>
  <c r="F13" i="17" s="1"/>
  <c r="B14" i="17"/>
  <c r="F14" i="17" s="1"/>
  <c r="B15" i="17"/>
  <c r="F15" i="17" s="1"/>
  <c r="B16" i="17"/>
  <c r="F16" i="17" s="1"/>
  <c r="B17" i="17"/>
  <c r="F17" i="17" s="1"/>
  <c r="B19" i="17"/>
  <c r="F19" i="17" s="1"/>
  <c r="B20" i="17"/>
  <c r="F20" i="17" s="1"/>
  <c r="B21" i="17"/>
  <c r="F21" i="17" s="1"/>
  <c r="B22" i="17"/>
  <c r="F22" i="17" s="1"/>
  <c r="B23" i="17"/>
  <c r="F23" i="17" s="1"/>
  <c r="B5" i="17"/>
  <c r="F5" i="17" s="1"/>
  <c r="B40" i="179"/>
  <c r="E40" i="179" s="1"/>
  <c r="B39" i="179"/>
  <c r="E39" i="179" s="1"/>
  <c r="B6" i="179"/>
  <c r="F6" i="179" s="1"/>
  <c r="B7" i="179"/>
  <c r="F7" i="179" s="1"/>
  <c r="B8" i="179"/>
  <c r="F8" i="179" s="1"/>
  <c r="B9" i="179"/>
  <c r="F9" i="179" s="1"/>
  <c r="B12" i="179"/>
  <c r="F12" i="179" s="1"/>
  <c r="B13" i="179"/>
  <c r="F13" i="179" s="1"/>
  <c r="B14" i="179"/>
  <c r="F14" i="179" s="1"/>
  <c r="B15" i="179"/>
  <c r="F15" i="179" s="1"/>
  <c r="B16" i="179"/>
  <c r="F16" i="179" s="1"/>
  <c r="B17" i="179"/>
  <c r="F17" i="179" s="1"/>
  <c r="B19" i="179"/>
  <c r="F19" i="179" s="1"/>
  <c r="B20" i="179"/>
  <c r="F20" i="179" s="1"/>
  <c r="B21" i="179"/>
  <c r="F21" i="179" s="1"/>
  <c r="B22" i="179"/>
  <c r="F22" i="179" s="1"/>
  <c r="B23" i="179"/>
  <c r="F23" i="179" s="1"/>
  <c r="B5" i="179"/>
  <c r="F5" i="179" s="1"/>
  <c r="B40" i="33"/>
  <c r="E40" i="33" s="1"/>
  <c r="B41" i="33"/>
  <c r="E41" i="33" s="1"/>
  <c r="B42" i="33"/>
  <c r="E42" i="33" s="1"/>
  <c r="B39" i="33"/>
  <c r="E39" i="33" s="1"/>
  <c r="B6" i="33"/>
  <c r="F6" i="33" s="1"/>
  <c r="B7" i="33"/>
  <c r="F7" i="33" s="1"/>
  <c r="B8" i="33"/>
  <c r="F8" i="33" s="1"/>
  <c r="B9" i="33"/>
  <c r="F9" i="33" s="1"/>
  <c r="B12" i="33"/>
  <c r="F12" i="33" s="1"/>
  <c r="B13" i="33"/>
  <c r="F13" i="33" s="1"/>
  <c r="B14" i="33"/>
  <c r="F14" i="33" s="1"/>
  <c r="B15" i="33"/>
  <c r="F15" i="33" s="1"/>
  <c r="B16" i="33"/>
  <c r="F16" i="33" s="1"/>
  <c r="B17" i="33"/>
  <c r="F17" i="33" s="1"/>
  <c r="B5" i="33"/>
  <c r="F5" i="33" s="1"/>
  <c r="B41" i="18"/>
  <c r="E41" i="18" s="1"/>
  <c r="B42" i="18"/>
  <c r="E42" i="18" s="1"/>
  <c r="B39" i="18"/>
  <c r="E39" i="18" s="1"/>
  <c r="B6" i="18"/>
  <c r="F6" i="18" s="1"/>
  <c r="B7" i="18"/>
  <c r="F7" i="18" s="1"/>
  <c r="B8" i="18"/>
  <c r="F8" i="18" s="1"/>
  <c r="B9" i="18"/>
  <c r="F9" i="18" s="1"/>
  <c r="B12" i="18"/>
  <c r="F12" i="18" s="1"/>
  <c r="B13" i="18"/>
  <c r="F13" i="18" s="1"/>
  <c r="B14" i="18"/>
  <c r="F14" i="18" s="1"/>
  <c r="B15" i="18"/>
  <c r="F15" i="18" s="1"/>
  <c r="B16" i="18"/>
  <c r="F16" i="18" s="1"/>
  <c r="B17" i="18"/>
  <c r="F17" i="18" s="1"/>
  <c r="B19" i="18"/>
  <c r="F19" i="18" s="1"/>
  <c r="B20" i="18"/>
  <c r="F20" i="18" s="1"/>
  <c r="B21" i="18"/>
  <c r="F21" i="18" s="1"/>
  <c r="B22" i="18"/>
  <c r="F22" i="18" s="1"/>
  <c r="B23" i="18"/>
  <c r="F23" i="18" s="1"/>
  <c r="B5" i="18"/>
  <c r="F5" i="18" s="1"/>
  <c r="B6" i="160"/>
  <c r="F6" i="160" s="1"/>
  <c r="B8" i="160"/>
  <c r="F8" i="160" s="1"/>
  <c r="B9" i="160"/>
  <c r="F9" i="160" s="1"/>
  <c r="B10" i="160"/>
  <c r="F10" i="160" s="1"/>
  <c r="B11" i="160"/>
  <c r="F11" i="160" s="1"/>
  <c r="B12" i="160"/>
  <c r="F12" i="160" s="1"/>
  <c r="B13" i="160"/>
  <c r="F13" i="160" s="1"/>
  <c r="B14" i="160"/>
  <c r="F14" i="160" s="1"/>
  <c r="B15" i="160"/>
  <c r="F15" i="160" s="1"/>
  <c r="B16" i="160"/>
  <c r="F16" i="160" s="1"/>
  <c r="B17" i="160"/>
  <c r="F17" i="160" s="1"/>
  <c r="B18" i="160"/>
  <c r="F18" i="160" s="1"/>
  <c r="B19" i="160"/>
  <c r="F19" i="160" s="1"/>
  <c r="B20" i="160"/>
  <c r="F20" i="160" s="1"/>
  <c r="B21" i="160"/>
  <c r="F21" i="160" s="1"/>
  <c r="B22" i="160"/>
  <c r="F22" i="160" s="1"/>
  <c r="B23" i="160"/>
  <c r="F23" i="160" s="1"/>
  <c r="B5" i="160"/>
  <c r="F5" i="160" s="1"/>
  <c r="B40" i="131"/>
  <c r="E40" i="131" s="1"/>
  <c r="B41" i="131"/>
  <c r="E41" i="131" s="1"/>
  <c r="B42" i="131"/>
  <c r="E42" i="131" s="1"/>
  <c r="B39" i="131"/>
  <c r="E39" i="131" s="1"/>
  <c r="B6" i="131"/>
  <c r="F6" i="131" s="1"/>
  <c r="B8" i="131"/>
  <c r="F8" i="131" s="1"/>
  <c r="B9" i="131"/>
  <c r="F9" i="131" s="1"/>
  <c r="B10" i="131"/>
  <c r="F10" i="131" s="1"/>
  <c r="B11" i="131"/>
  <c r="F11" i="131" s="1"/>
  <c r="B12" i="131"/>
  <c r="F12" i="131" s="1"/>
  <c r="B13" i="131"/>
  <c r="F13" i="131" s="1"/>
  <c r="B14" i="131"/>
  <c r="F14" i="131" s="1"/>
  <c r="B15" i="131"/>
  <c r="F15" i="131" s="1"/>
  <c r="B16" i="131"/>
  <c r="F16" i="131" s="1"/>
  <c r="B17" i="131"/>
  <c r="F17" i="131" s="1"/>
  <c r="B18" i="131"/>
  <c r="F18" i="131" s="1"/>
  <c r="B19" i="131"/>
  <c r="F19" i="131" s="1"/>
  <c r="B20" i="131"/>
  <c r="F20" i="131" s="1"/>
  <c r="B21" i="131"/>
  <c r="F21" i="131" s="1"/>
  <c r="B22" i="131"/>
  <c r="F22" i="131" s="1"/>
  <c r="B23" i="131"/>
  <c r="F23" i="131" s="1"/>
  <c r="B5" i="131"/>
  <c r="F5" i="131" s="1"/>
  <c r="B6" i="55"/>
  <c r="F6" i="55" s="1"/>
  <c r="B7" i="55"/>
  <c r="F7" i="55" s="1"/>
  <c r="B8" i="55"/>
  <c r="F8" i="55" s="1"/>
  <c r="B9" i="55"/>
  <c r="F9" i="55" s="1"/>
  <c r="B10" i="55"/>
  <c r="F10" i="55" s="1"/>
  <c r="B12" i="55"/>
  <c r="F12" i="55" s="1"/>
  <c r="B14" i="55"/>
  <c r="F14" i="55" s="1"/>
  <c r="B15" i="55"/>
  <c r="F15" i="55" s="1"/>
  <c r="B16" i="55"/>
  <c r="F16" i="55" s="1"/>
  <c r="B17" i="55"/>
  <c r="F17" i="55" s="1"/>
  <c r="B18" i="55"/>
  <c r="F18" i="55" s="1"/>
  <c r="B5" i="55"/>
  <c r="F5" i="55" s="1"/>
  <c r="B6" i="16"/>
  <c r="F6" i="16" s="1"/>
  <c r="B7" i="16"/>
  <c r="F7" i="16" s="1"/>
  <c r="B8" i="16"/>
  <c r="F8" i="16" s="1"/>
  <c r="B9" i="16"/>
  <c r="F9" i="16" s="1"/>
  <c r="B12" i="16"/>
  <c r="F12" i="16" s="1"/>
  <c r="B13" i="16"/>
  <c r="F13" i="16" s="1"/>
  <c r="B14" i="16"/>
  <c r="F14" i="16" s="1"/>
  <c r="B15" i="16"/>
  <c r="F15" i="16" s="1"/>
  <c r="B16" i="16"/>
  <c r="F16" i="16" s="1"/>
  <c r="B17" i="16"/>
  <c r="F17" i="16" s="1"/>
  <c r="B18" i="16"/>
  <c r="F18" i="16" s="1"/>
  <c r="B19" i="16"/>
  <c r="F19" i="16" s="1"/>
  <c r="B5" i="16"/>
  <c r="F5" i="16" s="1"/>
  <c r="G13" i="18" l="1"/>
  <c r="G15" i="55"/>
  <c r="G23" i="18"/>
  <c r="G14" i="18"/>
  <c r="G20" i="18"/>
  <c r="G22" i="18"/>
  <c r="G19" i="18"/>
  <c r="G12" i="18"/>
  <c r="G17" i="18"/>
  <c r="G16" i="18"/>
  <c r="G21" i="18"/>
  <c r="G15" i="18"/>
  <c r="J16" i="184"/>
  <c r="J13" i="184"/>
  <c r="J12" i="184"/>
  <c r="J24" i="184"/>
  <c r="J11" i="184"/>
  <c r="J23" i="184"/>
  <c r="J10" i="184"/>
  <c r="J22" i="184"/>
  <c r="F41" i="33"/>
  <c r="J21" i="184"/>
  <c r="F51" i="26"/>
  <c r="F42" i="33"/>
  <c r="F40" i="33"/>
  <c r="J20" i="184"/>
  <c r="F54" i="26"/>
  <c r="J19" i="184"/>
  <c r="F53" i="26"/>
  <c r="J14" i="184"/>
  <c r="J18" i="184"/>
  <c r="F52" i="26"/>
  <c r="J17" i="184"/>
  <c r="J15" i="184"/>
  <c r="F39" i="33"/>
  <c r="J9" i="184"/>
  <c r="G9" i="184"/>
  <c r="I25" i="199"/>
  <c r="G7" i="162"/>
  <c r="F51" i="37"/>
  <c r="F54" i="37"/>
  <c r="F53" i="37"/>
  <c r="F51" i="190"/>
  <c r="F52" i="37"/>
  <c r="F54" i="190"/>
  <c r="F53" i="190"/>
  <c r="F52" i="190"/>
  <c r="G5" i="178"/>
  <c r="G7" i="197"/>
  <c r="J10" i="197"/>
  <c r="H44" i="198"/>
  <c r="I25" i="198"/>
  <c r="M29" i="201"/>
  <c r="I40" i="199"/>
  <c r="H44" i="199"/>
  <c r="I48" i="201"/>
  <c r="G29" i="201"/>
  <c r="J29" i="201" s="1"/>
  <c r="F43" i="200"/>
  <c r="G24" i="200"/>
  <c r="J24" i="200" s="1"/>
  <c r="J6" i="198"/>
  <c r="G14" i="198"/>
  <c r="G23" i="198"/>
  <c r="J8" i="199"/>
  <c r="J18" i="198"/>
  <c r="J13" i="199"/>
  <c r="J20" i="199"/>
  <c r="J9" i="198"/>
  <c r="G16" i="198"/>
  <c r="J23" i="199"/>
  <c r="G11" i="199"/>
  <c r="G18" i="199"/>
  <c r="J21" i="198"/>
  <c r="G6" i="199"/>
  <c r="G11" i="198"/>
  <c r="G9" i="199"/>
  <c r="G7" i="199"/>
  <c r="G19" i="199"/>
  <c r="J21" i="199"/>
  <c r="G5" i="199"/>
  <c r="G12" i="199"/>
  <c r="J14" i="199"/>
  <c r="G17" i="199"/>
  <c r="I41" i="199"/>
  <c r="G10" i="199"/>
  <c r="G22" i="199"/>
  <c r="G15" i="199"/>
  <c r="F42" i="199"/>
  <c r="F44" i="199" s="1"/>
  <c r="G16" i="199"/>
  <c r="J19" i="198"/>
  <c r="F41" i="198"/>
  <c r="G8" i="198"/>
  <c r="J10" i="198"/>
  <c r="G20" i="198"/>
  <c r="J22" i="198"/>
  <c r="G13" i="198"/>
  <c r="J15" i="198"/>
  <c r="G7" i="198"/>
  <c r="G5" i="198"/>
  <c r="G12" i="198"/>
  <c r="G17" i="198"/>
  <c r="F40" i="198"/>
  <c r="M7" i="197"/>
  <c r="M4" i="197"/>
  <c r="M10" i="197"/>
  <c r="M8" i="197"/>
  <c r="H32" i="197"/>
  <c r="I13" i="197"/>
  <c r="K7" i="197"/>
  <c r="K5" i="197"/>
  <c r="K8" i="197"/>
  <c r="K11" i="197"/>
  <c r="J6" i="197"/>
  <c r="G6" i="197"/>
  <c r="J11" i="197"/>
  <c r="G11" i="197"/>
  <c r="I28" i="197"/>
  <c r="F28" i="197"/>
  <c r="J5" i="197"/>
  <c r="G5" i="197"/>
  <c r="M11" i="197"/>
  <c r="I30" i="197"/>
  <c r="F30" i="197"/>
  <c r="I31" i="197"/>
  <c r="F31" i="197"/>
  <c r="J8" i="197"/>
  <c r="G8" i="197"/>
  <c r="G12" i="197"/>
  <c r="J12" i="197"/>
  <c r="I29" i="197"/>
  <c r="F29" i="197"/>
  <c r="M5" i="197"/>
  <c r="G9" i="197"/>
  <c r="J9" i="197"/>
  <c r="K6" i="197"/>
  <c r="K9" i="197"/>
  <c r="K12" i="197"/>
  <c r="K10" i="197"/>
  <c r="B6" i="63"/>
  <c r="F6" i="63" s="1"/>
  <c r="B7" i="63"/>
  <c r="F7" i="63" s="1"/>
  <c r="B8" i="63"/>
  <c r="F8" i="63" s="1"/>
  <c r="B9" i="63"/>
  <c r="F9" i="63" s="1"/>
  <c r="B12" i="63"/>
  <c r="F12" i="63" s="1"/>
  <c r="B13" i="63"/>
  <c r="F13" i="63" s="1"/>
  <c r="B14" i="63"/>
  <c r="F14" i="63" s="1"/>
  <c r="B15" i="63"/>
  <c r="F15" i="63" s="1"/>
  <c r="B16" i="63"/>
  <c r="F16" i="63" s="1"/>
  <c r="B17" i="63"/>
  <c r="F17" i="63" s="1"/>
  <c r="B18" i="63"/>
  <c r="F18" i="63" s="1"/>
  <c r="B19" i="63"/>
  <c r="F19" i="63" s="1"/>
  <c r="B5" i="63"/>
  <c r="F5" i="63" s="1"/>
  <c r="B6" i="15"/>
  <c r="F6" i="15" s="1"/>
  <c r="G6" i="15" s="1"/>
  <c r="B7" i="15"/>
  <c r="F7" i="15" s="1"/>
  <c r="G7" i="15" s="1"/>
  <c r="B8" i="15"/>
  <c r="F8" i="15" s="1"/>
  <c r="G8" i="15" s="1"/>
  <c r="B9" i="15"/>
  <c r="F9" i="15" s="1"/>
  <c r="G9" i="15" s="1"/>
  <c r="B12" i="15"/>
  <c r="F12" i="15" s="1"/>
  <c r="G12" i="15" s="1"/>
  <c r="B13" i="15"/>
  <c r="F13" i="15" s="1"/>
  <c r="G13" i="15" s="1"/>
  <c r="B14" i="15"/>
  <c r="F14" i="15" s="1"/>
  <c r="G14" i="15" s="1"/>
  <c r="B15" i="15"/>
  <c r="F15" i="15" s="1"/>
  <c r="G15" i="15" s="1"/>
  <c r="B16" i="15"/>
  <c r="F16" i="15" s="1"/>
  <c r="G16" i="15" s="1"/>
  <c r="B17" i="15"/>
  <c r="F17" i="15" s="1"/>
  <c r="G17" i="15" s="1"/>
  <c r="B18" i="15"/>
  <c r="F18" i="15" s="1"/>
  <c r="G18" i="15" s="1"/>
  <c r="B19" i="15"/>
  <c r="F19" i="15" s="1"/>
  <c r="G19" i="15" s="1"/>
  <c r="B5" i="15"/>
  <c r="F5" i="15" s="1"/>
  <c r="G5" i="15" s="1"/>
  <c r="G20" i="15" l="1"/>
  <c r="F55" i="26"/>
  <c r="M6" i="197"/>
  <c r="J7" i="197"/>
  <c r="F55" i="190"/>
  <c r="F55" i="37"/>
  <c r="M9" i="197"/>
  <c r="G10" i="197"/>
  <c r="G13" i="197" s="1"/>
  <c r="J13" i="197" s="1"/>
  <c r="G25" i="199"/>
  <c r="J25" i="199" s="1"/>
  <c r="H50" i="201"/>
  <c r="H52" i="201" s="1"/>
  <c r="H54" i="201" s="1"/>
  <c r="D20" i="94" s="1"/>
  <c r="H45" i="200"/>
  <c r="H47" i="200" s="1"/>
  <c r="H49" i="200" s="1"/>
  <c r="D10" i="94" s="1"/>
  <c r="I43" i="200"/>
  <c r="F44" i="198"/>
  <c r="I44" i="198" s="1"/>
  <c r="I44" i="199"/>
  <c r="G25" i="198"/>
  <c r="J25" i="198" s="1"/>
  <c r="F32" i="197"/>
  <c r="B8" i="14"/>
  <c r="F8" i="14" s="1"/>
  <c r="B9" i="14"/>
  <c r="B12" i="14"/>
  <c r="F12" i="14" s="1"/>
  <c r="B13" i="14"/>
  <c r="F13" i="14" s="1"/>
  <c r="B14" i="14"/>
  <c r="F14" i="14" s="1"/>
  <c r="B15" i="14"/>
  <c r="F15" i="14" s="1"/>
  <c r="B16" i="14"/>
  <c r="F16" i="14" s="1"/>
  <c r="B17" i="14"/>
  <c r="F17" i="14" s="1"/>
  <c r="B18" i="14"/>
  <c r="F18" i="14" s="1"/>
  <c r="B19" i="14"/>
  <c r="F19" i="14" s="1"/>
  <c r="B5" i="14"/>
  <c r="F5" i="14" s="1"/>
  <c r="B44" i="195"/>
  <c r="E44" i="195" s="1"/>
  <c r="B45" i="195"/>
  <c r="E45" i="195" s="1"/>
  <c r="I43" i="195"/>
  <c r="B42" i="195"/>
  <c r="E42" i="195" s="1"/>
  <c r="L19" i="195"/>
  <c r="M19" i="195" s="1"/>
  <c r="L20" i="195"/>
  <c r="L21" i="195"/>
  <c r="L22" i="195"/>
  <c r="L23" i="195"/>
  <c r="L24" i="195"/>
  <c r="L25" i="195"/>
  <c r="B6" i="195"/>
  <c r="F6" i="195" s="1"/>
  <c r="B7" i="195"/>
  <c r="F7" i="195" s="1"/>
  <c r="B8" i="195"/>
  <c r="F8" i="195" s="1"/>
  <c r="B9" i="195"/>
  <c r="F9" i="195" s="1"/>
  <c r="B10" i="195"/>
  <c r="F10" i="195" s="1"/>
  <c r="B11" i="195"/>
  <c r="F11" i="195" s="1"/>
  <c r="B12" i="195"/>
  <c r="F12" i="195" s="1"/>
  <c r="B15" i="195"/>
  <c r="F15" i="195" s="1"/>
  <c r="B16" i="195"/>
  <c r="F16" i="195" s="1"/>
  <c r="B17" i="195"/>
  <c r="F17" i="195" s="1"/>
  <c r="B18" i="195"/>
  <c r="F18" i="195" s="1"/>
  <c r="G20" i="195"/>
  <c r="G21" i="195"/>
  <c r="G22" i="195"/>
  <c r="G23" i="195"/>
  <c r="G24" i="195"/>
  <c r="G25" i="195"/>
  <c r="B5" i="195"/>
  <c r="F5" i="195" s="1"/>
  <c r="H26" i="196"/>
  <c r="H22" i="196"/>
  <c r="H24" i="196" s="1"/>
  <c r="F22" i="196"/>
  <c r="F24" i="196" s="1"/>
  <c r="H21" i="196"/>
  <c r="G21" i="196"/>
  <c r="F21" i="196"/>
  <c r="E21" i="196"/>
  <c r="C18" i="196"/>
  <c r="I7" i="196"/>
  <c r="D7" i="196"/>
  <c r="E5" i="196" s="1"/>
  <c r="E7" i="196" s="1"/>
  <c r="J6" i="196"/>
  <c r="I4" i="196"/>
  <c r="H4" i="196"/>
  <c r="G4" i="196"/>
  <c r="F4" i="196"/>
  <c r="K51" i="195"/>
  <c r="H49" i="195"/>
  <c r="H47" i="195"/>
  <c r="H45" i="195"/>
  <c r="H44" i="195"/>
  <c r="H43" i="195"/>
  <c r="H42" i="195"/>
  <c r="J45" i="195"/>
  <c r="H41" i="195"/>
  <c r="H40" i="195"/>
  <c r="G40" i="195"/>
  <c r="F40" i="195"/>
  <c r="E40" i="195"/>
  <c r="C37" i="195"/>
  <c r="D28" i="195" s="1"/>
  <c r="K4" i="195" s="1"/>
  <c r="I19" i="195"/>
  <c r="L18" i="195"/>
  <c r="I18" i="195"/>
  <c r="L17" i="195"/>
  <c r="I17" i="195"/>
  <c r="L16" i="195"/>
  <c r="I16" i="195"/>
  <c r="L15" i="195"/>
  <c r="L14" i="195"/>
  <c r="M14" i="195" s="1"/>
  <c r="I14" i="195"/>
  <c r="L12" i="195"/>
  <c r="I12" i="195"/>
  <c r="L11" i="195"/>
  <c r="I11" i="195"/>
  <c r="L10" i="195"/>
  <c r="I10" i="195"/>
  <c r="L9" i="195"/>
  <c r="I9" i="195"/>
  <c r="L8" i="195"/>
  <c r="I8" i="195"/>
  <c r="L7" i="195"/>
  <c r="I7" i="195"/>
  <c r="L6" i="195"/>
  <c r="I6" i="195"/>
  <c r="I5" i="195"/>
  <c r="I4" i="195"/>
  <c r="H4" i="195"/>
  <c r="G4" i="195"/>
  <c r="F4" i="195"/>
  <c r="F9" i="14" l="1"/>
  <c r="G9" i="14" s="1"/>
  <c r="M5" i="195"/>
  <c r="M13" i="197"/>
  <c r="G11" i="195"/>
  <c r="G16" i="195"/>
  <c r="G12" i="195"/>
  <c r="M10" i="195"/>
  <c r="G9" i="195"/>
  <c r="M8" i="195"/>
  <c r="G7" i="195"/>
  <c r="G15" i="195"/>
  <c r="G18" i="195"/>
  <c r="G17" i="195"/>
  <c r="G6" i="195"/>
  <c r="M6" i="195"/>
  <c r="M11" i="195"/>
  <c r="K22" i="195"/>
  <c r="K19" i="195"/>
  <c r="I44" i="195"/>
  <c r="I41" i="195"/>
  <c r="F42" i="195"/>
  <c r="F45" i="195"/>
  <c r="G16" i="14"/>
  <c r="G11" i="14"/>
  <c r="G18" i="14"/>
  <c r="G14" i="14"/>
  <c r="G12" i="14"/>
  <c r="G8" i="14"/>
  <c r="G19" i="14"/>
  <c r="G17" i="14"/>
  <c r="G15" i="14"/>
  <c r="G13" i="14"/>
  <c r="G47" i="198"/>
  <c r="G49" i="198" s="1"/>
  <c r="G51" i="198" s="1"/>
  <c r="D81" i="94" s="1"/>
  <c r="G47" i="199"/>
  <c r="G49" i="199" s="1"/>
  <c r="G51" i="199" s="1"/>
  <c r="D83" i="94" s="1"/>
  <c r="F43" i="195"/>
  <c r="M21" i="195"/>
  <c r="I32" i="197"/>
  <c r="H34" i="197"/>
  <c r="H36" i="197" s="1"/>
  <c r="H38" i="197" s="1"/>
  <c r="D72" i="94" s="1"/>
  <c r="C64" i="192" s="1"/>
  <c r="K12" i="195"/>
  <c r="K11" i="195"/>
  <c r="M25" i="195"/>
  <c r="M23" i="195"/>
  <c r="M24" i="195"/>
  <c r="K10" i="195"/>
  <c r="K9" i="195"/>
  <c r="K8" i="195"/>
  <c r="K7" i="195"/>
  <c r="K6" i="195"/>
  <c r="K25" i="195"/>
  <c r="K5" i="195"/>
  <c r="K21" i="195"/>
  <c r="K18" i="195"/>
  <c r="K20" i="195"/>
  <c r="K24" i="195"/>
  <c r="K17" i="195"/>
  <c r="H46" i="195"/>
  <c r="K15" i="195"/>
  <c r="K16" i="195"/>
  <c r="K23" i="195"/>
  <c r="K14" i="195"/>
  <c r="I26" i="195"/>
  <c r="G50" i="191"/>
  <c r="M9" i="195" l="1"/>
  <c r="M12" i="195"/>
  <c r="M7" i="195"/>
  <c r="M18" i="195"/>
  <c r="M15" i="195"/>
  <c r="G10" i="195"/>
  <c r="G8" i="195"/>
  <c r="M17" i="195"/>
  <c r="M16" i="195"/>
  <c r="F41" i="195"/>
  <c r="F44" i="195"/>
  <c r="I42" i="195"/>
  <c r="I45" i="195"/>
  <c r="M20" i="195"/>
  <c r="M22" i="195"/>
  <c r="F36" i="162"/>
  <c r="G10" i="143"/>
  <c r="E30" i="143"/>
  <c r="L10" i="143"/>
  <c r="G7" i="143"/>
  <c r="G29" i="168"/>
  <c r="G30" i="51"/>
  <c r="L30" i="51"/>
  <c r="G26" i="195" l="1"/>
  <c r="J26" i="195" s="1"/>
  <c r="F46" i="195"/>
  <c r="I46" i="195" s="1"/>
  <c r="M26" i="195"/>
  <c r="H46" i="194"/>
  <c r="H44" i="194"/>
  <c r="H42" i="194"/>
  <c r="H40" i="194"/>
  <c r="H39" i="194"/>
  <c r="H38" i="194"/>
  <c r="H37" i="194"/>
  <c r="H36" i="194"/>
  <c r="G36" i="194"/>
  <c r="F36" i="194"/>
  <c r="E36" i="194"/>
  <c r="F34" i="194"/>
  <c r="C33" i="194"/>
  <c r="D24" i="194" s="1"/>
  <c r="K4" i="194" s="1"/>
  <c r="E22" i="194"/>
  <c r="D22" i="194"/>
  <c r="L21" i="194"/>
  <c r="I21" i="194"/>
  <c r="L20" i="194"/>
  <c r="I20" i="194"/>
  <c r="L19" i="194"/>
  <c r="I19" i="194"/>
  <c r="L18" i="194"/>
  <c r="I18" i="194"/>
  <c r="L17" i="194"/>
  <c r="I17" i="194"/>
  <c r="L16" i="194"/>
  <c r="I16" i="194"/>
  <c r="L15" i="194"/>
  <c r="I15" i="194"/>
  <c r="L14" i="194"/>
  <c r="I14" i="194"/>
  <c r="L13" i="194"/>
  <c r="I13" i="194"/>
  <c r="L12" i="194"/>
  <c r="I12" i="194"/>
  <c r="L11" i="194"/>
  <c r="L10" i="194"/>
  <c r="I10" i="194"/>
  <c r="L8" i="194"/>
  <c r="I8" i="194"/>
  <c r="L7" i="194"/>
  <c r="I7" i="194"/>
  <c r="L6" i="194"/>
  <c r="I6" i="194"/>
  <c r="L5" i="194"/>
  <c r="I5" i="194"/>
  <c r="I4" i="194"/>
  <c r="H4" i="194"/>
  <c r="G4" i="194"/>
  <c r="F4" i="194"/>
  <c r="I18" i="143"/>
  <c r="I19" i="143"/>
  <c r="I20" i="143"/>
  <c r="I21" i="143"/>
  <c r="I22" i="143"/>
  <c r="I23" i="143"/>
  <c r="I24" i="143"/>
  <c r="I25" i="143"/>
  <c r="I26" i="143"/>
  <c r="I27" i="143"/>
  <c r="I28" i="143"/>
  <c r="I29" i="143"/>
  <c r="I6" i="143"/>
  <c r="I8" i="143"/>
  <c r="I9" i="143"/>
  <c r="I11" i="143"/>
  <c r="I13" i="143"/>
  <c r="I14" i="143"/>
  <c r="I15" i="143"/>
  <c r="I16" i="143"/>
  <c r="I17" i="143"/>
  <c r="I5" i="143"/>
  <c r="J76" i="67"/>
  <c r="I6" i="46"/>
  <c r="I7" i="46"/>
  <c r="I8" i="46"/>
  <c r="I5" i="46"/>
  <c r="I7" i="44"/>
  <c r="I8" i="44"/>
  <c r="I9" i="44"/>
  <c r="I10" i="44"/>
  <c r="I12" i="44"/>
  <c r="I13" i="44"/>
  <c r="I14" i="44"/>
  <c r="I15" i="44"/>
  <c r="I16" i="44"/>
  <c r="I17" i="44"/>
  <c r="I18" i="44"/>
  <c r="I19" i="44"/>
  <c r="I20" i="44"/>
  <c r="I7" i="108"/>
  <c r="I8" i="108"/>
  <c r="I9" i="108"/>
  <c r="I10" i="108"/>
  <c r="I11" i="108"/>
  <c r="I12" i="108"/>
  <c r="I13" i="108"/>
  <c r="I14" i="108"/>
  <c r="I15" i="108"/>
  <c r="I16" i="108"/>
  <c r="I17" i="108"/>
  <c r="I18" i="108"/>
  <c r="I19" i="108"/>
  <c r="I20" i="108"/>
  <c r="I21" i="108"/>
  <c r="I22" i="108"/>
  <c r="I23" i="108"/>
  <c r="I24" i="108"/>
  <c r="I25" i="108"/>
  <c r="I26" i="108"/>
  <c r="I27" i="108"/>
  <c r="I28" i="108"/>
  <c r="I29" i="108"/>
  <c r="I6" i="108"/>
  <c r="G17" i="108"/>
  <c r="G18" i="108"/>
  <c r="G26" i="108"/>
  <c r="H46" i="168"/>
  <c r="H47" i="168"/>
  <c r="H48" i="168"/>
  <c r="H49" i="168"/>
  <c r="H50" i="168"/>
  <c r="H47" i="138"/>
  <c r="H48" i="138"/>
  <c r="H49" i="138"/>
  <c r="H50" i="138"/>
  <c r="H51" i="138"/>
  <c r="H46" i="138"/>
  <c r="H50" i="52"/>
  <c r="H51" i="52"/>
  <c r="H47" i="52"/>
  <c r="H48" i="52"/>
  <c r="H49" i="52"/>
  <c r="H46" i="52"/>
  <c r="I6" i="51"/>
  <c r="I7" i="51"/>
  <c r="I8" i="51"/>
  <c r="I9" i="51"/>
  <c r="I10" i="51"/>
  <c r="I11" i="51"/>
  <c r="I12" i="51"/>
  <c r="I13" i="51"/>
  <c r="I14" i="51"/>
  <c r="I16" i="51"/>
  <c r="I17" i="51"/>
  <c r="I18" i="51"/>
  <c r="I19" i="51"/>
  <c r="I20" i="51"/>
  <c r="I21" i="51"/>
  <c r="I22" i="51"/>
  <c r="I23" i="51"/>
  <c r="I24" i="51"/>
  <c r="I25" i="51"/>
  <c r="I26" i="51"/>
  <c r="I27" i="51"/>
  <c r="I28" i="51"/>
  <c r="I29" i="51"/>
  <c r="I5" i="51"/>
  <c r="I6" i="142"/>
  <c r="I7" i="142"/>
  <c r="I8" i="142"/>
  <c r="I9" i="142"/>
  <c r="I5" i="142"/>
  <c r="I6" i="141"/>
  <c r="I7" i="141"/>
  <c r="I5" i="141"/>
  <c r="H43" i="21"/>
  <c r="H40" i="21"/>
  <c r="I24" i="21"/>
  <c r="I6" i="119"/>
  <c r="I7" i="119"/>
  <c r="I8" i="119"/>
  <c r="I9" i="119"/>
  <c r="I10" i="119"/>
  <c r="I11" i="119"/>
  <c r="I12" i="119"/>
  <c r="I13" i="119"/>
  <c r="I14" i="119"/>
  <c r="I15" i="119"/>
  <c r="I16" i="119"/>
  <c r="I17" i="119"/>
  <c r="I20" i="119"/>
  <c r="I19" i="119"/>
  <c r="I5" i="119"/>
  <c r="D30" i="108"/>
  <c r="L7" i="108"/>
  <c r="L8" i="108"/>
  <c r="L9" i="108"/>
  <c r="L10" i="108"/>
  <c r="L11" i="108"/>
  <c r="L12" i="108"/>
  <c r="L13" i="108"/>
  <c r="L14" i="108"/>
  <c r="L15" i="108"/>
  <c r="L16" i="108"/>
  <c r="L17" i="108"/>
  <c r="M17" i="108" s="1"/>
  <c r="L18" i="108"/>
  <c r="M18" i="108" s="1"/>
  <c r="L19" i="108"/>
  <c r="L20" i="108"/>
  <c r="L21" i="108"/>
  <c r="L22" i="108"/>
  <c r="L23" i="108"/>
  <c r="L24" i="108"/>
  <c r="L25" i="108"/>
  <c r="L26" i="108"/>
  <c r="M26" i="108" s="1"/>
  <c r="L27" i="108"/>
  <c r="L28" i="108"/>
  <c r="L29" i="108"/>
  <c r="L6" i="108"/>
  <c r="E30" i="108"/>
  <c r="M19" i="55"/>
  <c r="L6" i="55"/>
  <c r="L7" i="55"/>
  <c r="L8" i="55"/>
  <c r="L9" i="55"/>
  <c r="L10" i="55"/>
  <c r="L12" i="55"/>
  <c r="L13" i="55"/>
  <c r="L14" i="55"/>
  <c r="L15" i="55"/>
  <c r="M15" i="55" s="1"/>
  <c r="L16" i="55"/>
  <c r="L17" i="55"/>
  <c r="L18" i="55"/>
  <c r="L5" i="55"/>
  <c r="G24" i="21"/>
  <c r="G24" i="22"/>
  <c r="E25" i="21"/>
  <c r="E25" i="184"/>
  <c r="F43" i="21"/>
  <c r="F45" i="21"/>
  <c r="H41" i="194" l="1"/>
  <c r="H48" i="195"/>
  <c r="H50" i="195" s="1"/>
  <c r="F5" i="196" s="1"/>
  <c r="J5" i="196" s="1"/>
  <c r="I30" i="108"/>
  <c r="I21" i="119"/>
  <c r="F37" i="194"/>
  <c r="F39" i="194"/>
  <c r="I39" i="194" s="1"/>
  <c r="F38" i="194"/>
  <c r="I38" i="194" s="1"/>
  <c r="F40" i="194"/>
  <c r="I40" i="194" s="1"/>
  <c r="I30" i="143"/>
  <c r="I31" i="51"/>
  <c r="G24" i="184"/>
  <c r="M6" i="194"/>
  <c r="M14" i="194"/>
  <c r="M11" i="194"/>
  <c r="I22" i="194"/>
  <c r="J13" i="194"/>
  <c r="M13" i="194"/>
  <c r="G13" i="194"/>
  <c r="G17" i="194"/>
  <c r="J17" i="194"/>
  <c r="G8" i="194"/>
  <c r="J8" i="194"/>
  <c r="M17" i="194"/>
  <c r="J12" i="194"/>
  <c r="G12" i="194"/>
  <c r="M12" i="194"/>
  <c r="M7" i="194"/>
  <c r="K20" i="194"/>
  <c r="K14" i="194"/>
  <c r="K10" i="194"/>
  <c r="K6" i="194"/>
  <c r="K18" i="194"/>
  <c r="K15" i="194"/>
  <c r="K12" i="194"/>
  <c r="K17" i="194"/>
  <c r="K11" i="194"/>
  <c r="K8" i="194"/>
  <c r="K5" i="194"/>
  <c r="K21" i="194"/>
  <c r="K19" i="194"/>
  <c r="K16" i="194"/>
  <c r="K13" i="194"/>
  <c r="K7" i="194"/>
  <c r="M8" i="194"/>
  <c r="J14" i="194"/>
  <c r="G14" i="194"/>
  <c r="J18" i="194"/>
  <c r="G18" i="194"/>
  <c r="M18" i="194"/>
  <c r="J21" i="194"/>
  <c r="M21" i="194"/>
  <c r="G21" i="194"/>
  <c r="M16" i="194"/>
  <c r="J16" i="194"/>
  <c r="G16" i="194"/>
  <c r="J20" i="194"/>
  <c r="G20" i="194"/>
  <c r="J7" i="194"/>
  <c r="G7" i="194"/>
  <c r="M20" i="194"/>
  <c r="G5" i="194"/>
  <c r="J5" i="194"/>
  <c r="J10" i="194"/>
  <c r="G10" i="194"/>
  <c r="M5" i="194"/>
  <c r="M10" i="194"/>
  <c r="J15" i="194"/>
  <c r="G15" i="194"/>
  <c r="M15" i="194"/>
  <c r="J19" i="194"/>
  <c r="M19" i="194"/>
  <c r="G19" i="194"/>
  <c r="J6" i="194"/>
  <c r="G6" i="194"/>
  <c r="F47" i="39"/>
  <c r="G22" i="194" l="1"/>
  <c r="J22" i="194" s="1"/>
  <c r="G5" i="196"/>
  <c r="G7" i="196" s="1"/>
  <c r="J7" i="196" s="1"/>
  <c r="I37" i="194"/>
  <c r="F41" i="194"/>
  <c r="I41" i="194" s="1"/>
  <c r="M22" i="194"/>
  <c r="F32" i="181"/>
  <c r="L11" i="181"/>
  <c r="D57" i="108"/>
  <c r="K5" i="108" s="1"/>
  <c r="H27" i="196" l="1"/>
  <c r="H29" i="196" s="1"/>
  <c r="H31" i="196" s="1"/>
  <c r="H43" i="194"/>
  <c r="H45" i="194" s="1"/>
  <c r="H47" i="194" s="1"/>
  <c r="D41" i="94" s="1"/>
  <c r="G29" i="108"/>
  <c r="G26" i="39"/>
  <c r="G17" i="39"/>
  <c r="D51" i="94" l="1"/>
  <c r="F51" i="94" s="1"/>
  <c r="G13" i="108"/>
  <c r="G12" i="108"/>
  <c r="G25" i="108"/>
  <c r="G11" i="108"/>
  <c r="G24" i="108"/>
  <c r="G22" i="108"/>
  <c r="G8" i="108"/>
  <c r="G14" i="108"/>
  <c r="G10" i="108"/>
  <c r="G23" i="108"/>
  <c r="G9" i="108"/>
  <c r="G21" i="108"/>
  <c r="G7" i="108"/>
  <c r="G19" i="108"/>
  <c r="G16" i="108"/>
  <c r="G15" i="108"/>
  <c r="G28" i="108"/>
  <c r="G27" i="108"/>
  <c r="G20" i="108"/>
  <c r="G13" i="39"/>
  <c r="E30" i="39"/>
  <c r="C14" i="193" l="1"/>
  <c r="C9" i="193"/>
  <c r="F41" i="94"/>
  <c r="M9" i="108"/>
  <c r="M15" i="108"/>
  <c r="M23" i="108"/>
  <c r="M11" i="108"/>
  <c r="M27" i="108"/>
  <c r="M21" i="108"/>
  <c r="M22" i="108"/>
  <c r="M28" i="108"/>
  <c r="M24" i="108"/>
  <c r="M16" i="108"/>
  <c r="M10" i="108"/>
  <c r="M25" i="108"/>
  <c r="M19" i="108"/>
  <c r="M14" i="108"/>
  <c r="M12" i="108"/>
  <c r="M20" i="108"/>
  <c r="M7" i="108"/>
  <c r="M8" i="108"/>
  <c r="M13" i="108"/>
  <c r="M29" i="108"/>
  <c r="F42" i="25"/>
  <c r="J51" i="191" l="1"/>
  <c r="G48" i="191"/>
  <c r="G46" i="191"/>
  <c r="H43" i="191"/>
  <c r="H42" i="191"/>
  <c r="H41" i="191"/>
  <c r="H40" i="191"/>
  <c r="H39" i="191"/>
  <c r="G39" i="191"/>
  <c r="F39" i="191"/>
  <c r="E39" i="191"/>
  <c r="C36" i="191"/>
  <c r="D27" i="191" s="1"/>
  <c r="E25" i="191"/>
  <c r="D25" i="191"/>
  <c r="K24" i="191"/>
  <c r="I24" i="191"/>
  <c r="K23" i="191"/>
  <c r="I23" i="191"/>
  <c r="K22" i="191"/>
  <c r="I22" i="191"/>
  <c r="K21" i="191"/>
  <c r="I21" i="191"/>
  <c r="K20" i="191"/>
  <c r="I20" i="191"/>
  <c r="K19" i="191"/>
  <c r="I19" i="191"/>
  <c r="K18" i="191"/>
  <c r="I18" i="191"/>
  <c r="K17" i="191"/>
  <c r="I17" i="191"/>
  <c r="K16" i="191"/>
  <c r="I16" i="191"/>
  <c r="K15" i="191"/>
  <c r="I15" i="191"/>
  <c r="K14" i="191"/>
  <c r="I14" i="191"/>
  <c r="K13" i="191"/>
  <c r="I13" i="191"/>
  <c r="K12" i="191"/>
  <c r="I12" i="191"/>
  <c r="K11" i="191"/>
  <c r="I11" i="191"/>
  <c r="K10" i="191"/>
  <c r="I10" i="191"/>
  <c r="K9" i="191"/>
  <c r="I9" i="191"/>
  <c r="K8" i="191"/>
  <c r="I8" i="191"/>
  <c r="K7" i="191"/>
  <c r="I7" i="191"/>
  <c r="K6" i="191"/>
  <c r="I6" i="191"/>
  <c r="L5" i="191"/>
  <c r="K5" i="191"/>
  <c r="I5" i="191"/>
  <c r="I4" i="191"/>
  <c r="H4" i="191"/>
  <c r="G4" i="191"/>
  <c r="F4" i="191"/>
  <c r="F77" i="67"/>
  <c r="H60" i="190"/>
  <c r="E48" i="37"/>
  <c r="E48" i="190"/>
  <c r="C37" i="37"/>
  <c r="K61" i="190"/>
  <c r="H58" i="190"/>
  <c r="H56" i="190"/>
  <c r="J54" i="190"/>
  <c r="H54" i="190"/>
  <c r="J53" i="190"/>
  <c r="H53" i="190"/>
  <c r="J52" i="190"/>
  <c r="H52" i="190"/>
  <c r="J51" i="190"/>
  <c r="H51" i="190"/>
  <c r="H50" i="190"/>
  <c r="G50" i="190"/>
  <c r="F50" i="190"/>
  <c r="E50" i="190"/>
  <c r="D46" i="190"/>
  <c r="E44" i="190" s="1"/>
  <c r="K44" i="190" s="1"/>
  <c r="I44" i="190"/>
  <c r="I43" i="190"/>
  <c r="I42" i="190"/>
  <c r="I41" i="190"/>
  <c r="H41" i="190"/>
  <c r="G41" i="190"/>
  <c r="F41" i="190"/>
  <c r="C37" i="190"/>
  <c r="D29" i="190" s="1"/>
  <c r="H31" i="190"/>
  <c r="I30" i="190" s="1"/>
  <c r="K30" i="190" s="1"/>
  <c r="E25" i="190"/>
  <c r="D25" i="190"/>
  <c r="K24" i="190"/>
  <c r="I24" i="190"/>
  <c r="K23" i="190"/>
  <c r="I23" i="190"/>
  <c r="K22" i="190"/>
  <c r="I22" i="190"/>
  <c r="K21" i="190"/>
  <c r="I21" i="190"/>
  <c r="K20" i="190"/>
  <c r="I20" i="190"/>
  <c r="K19" i="190"/>
  <c r="I19" i="190"/>
  <c r="K18" i="190"/>
  <c r="I18" i="190"/>
  <c r="K17" i="190"/>
  <c r="I17" i="190"/>
  <c r="K16" i="190"/>
  <c r="I16" i="190"/>
  <c r="K15" i="190"/>
  <c r="I15" i="190"/>
  <c r="K14" i="190"/>
  <c r="I14" i="190"/>
  <c r="K13" i="190"/>
  <c r="I13" i="190"/>
  <c r="K12" i="190"/>
  <c r="I12" i="190"/>
  <c r="K11" i="190"/>
  <c r="I11" i="190"/>
  <c r="K10" i="190"/>
  <c r="I10" i="190"/>
  <c r="K9" i="190"/>
  <c r="I9" i="190"/>
  <c r="K8" i="190"/>
  <c r="I8" i="190"/>
  <c r="K7" i="190"/>
  <c r="I7" i="190"/>
  <c r="K6" i="190"/>
  <c r="I6" i="190"/>
  <c r="K5" i="190"/>
  <c r="I5" i="190"/>
  <c r="I4" i="190"/>
  <c r="H4" i="190"/>
  <c r="G4" i="190"/>
  <c r="F4" i="190"/>
  <c r="L18" i="143"/>
  <c r="E43" i="190" l="1"/>
  <c r="K43" i="190" s="1"/>
  <c r="I25" i="191"/>
  <c r="J16" i="190"/>
  <c r="G7" i="191"/>
  <c r="I25" i="190"/>
  <c r="F43" i="191"/>
  <c r="G19" i="191"/>
  <c r="G9" i="191"/>
  <c r="G17" i="191"/>
  <c r="G21" i="191"/>
  <c r="G11" i="191"/>
  <c r="G15" i="191"/>
  <c r="J23" i="191"/>
  <c r="J5" i="191"/>
  <c r="J13" i="191"/>
  <c r="I41" i="191"/>
  <c r="G24" i="191"/>
  <c r="H44" i="191"/>
  <c r="J10" i="191"/>
  <c r="G10" i="191"/>
  <c r="J14" i="191"/>
  <c r="G14" i="191"/>
  <c r="J18" i="191"/>
  <c r="G18" i="191"/>
  <c r="J22" i="191"/>
  <c r="G22" i="191"/>
  <c r="J12" i="191"/>
  <c r="G12" i="191"/>
  <c r="J16" i="191"/>
  <c r="G16" i="191"/>
  <c r="I40" i="191"/>
  <c r="F40" i="191"/>
  <c r="J6" i="191"/>
  <c r="G6" i="191"/>
  <c r="F42" i="191"/>
  <c r="I42" i="191"/>
  <c r="J8" i="191"/>
  <c r="G8" i="191"/>
  <c r="J20" i="191"/>
  <c r="G20" i="191"/>
  <c r="H55" i="190"/>
  <c r="I46" i="190"/>
  <c r="G6" i="190"/>
  <c r="J6" i="190"/>
  <c r="M6" i="190"/>
  <c r="G14" i="190"/>
  <c r="M14" i="190"/>
  <c r="J14" i="190"/>
  <c r="G18" i="190"/>
  <c r="M18" i="190"/>
  <c r="J18" i="190"/>
  <c r="M22" i="190"/>
  <c r="J22" i="190"/>
  <c r="G22" i="190"/>
  <c r="G7" i="190"/>
  <c r="M7" i="190"/>
  <c r="J7" i="190"/>
  <c r="M15" i="190"/>
  <c r="J15" i="190"/>
  <c r="G15" i="190"/>
  <c r="J19" i="190"/>
  <c r="G19" i="190"/>
  <c r="M19" i="190"/>
  <c r="M8" i="190"/>
  <c r="G8" i="190"/>
  <c r="J8" i="190"/>
  <c r="J12" i="190"/>
  <c r="G12" i="190"/>
  <c r="M12" i="190"/>
  <c r="M20" i="190"/>
  <c r="J20" i="190"/>
  <c r="G20" i="190"/>
  <c r="J24" i="190"/>
  <c r="G24" i="190"/>
  <c r="M24" i="190"/>
  <c r="J43" i="190"/>
  <c r="G43" i="190"/>
  <c r="J5" i="190"/>
  <c r="G5" i="190"/>
  <c r="M5" i="190"/>
  <c r="M9" i="190"/>
  <c r="J9" i="190"/>
  <c r="G9" i="190"/>
  <c r="M13" i="190"/>
  <c r="J13" i="190"/>
  <c r="G13" i="190"/>
  <c r="I54" i="190"/>
  <c r="J17" i="190"/>
  <c r="M17" i="190"/>
  <c r="G17" i="190"/>
  <c r="G21" i="190"/>
  <c r="M21" i="190"/>
  <c r="J21" i="190"/>
  <c r="G44" i="190"/>
  <c r="J44" i="190"/>
  <c r="I52" i="190"/>
  <c r="M10" i="190"/>
  <c r="J10" i="190"/>
  <c r="G10" i="190"/>
  <c r="I53" i="190"/>
  <c r="G11" i="190"/>
  <c r="M11" i="190"/>
  <c r="J11" i="190"/>
  <c r="M23" i="190"/>
  <c r="J23" i="190"/>
  <c r="G23" i="190"/>
  <c r="I51" i="190"/>
  <c r="E42" i="190"/>
  <c r="I29" i="190"/>
  <c r="K29" i="190" s="1"/>
  <c r="K31" i="190" s="1"/>
  <c r="L15" i="186"/>
  <c r="L6" i="186"/>
  <c r="L7" i="186"/>
  <c r="L8" i="186"/>
  <c r="L10" i="186"/>
  <c r="L11" i="186"/>
  <c r="L12" i="186"/>
  <c r="L13" i="186"/>
  <c r="L14" i="186"/>
  <c r="L16" i="186"/>
  <c r="L17" i="186"/>
  <c r="L18" i="186"/>
  <c r="L19" i="186"/>
  <c r="L20" i="186"/>
  <c r="L21" i="186"/>
  <c r="L22" i="186"/>
  <c r="L23" i="186"/>
  <c r="L24" i="186"/>
  <c r="L25" i="186"/>
  <c r="L26" i="186"/>
  <c r="L5" i="186"/>
  <c r="G16" i="190" l="1"/>
  <c r="G25" i="190" s="1"/>
  <c r="F42" i="190" s="1"/>
  <c r="M16" i="190"/>
  <c r="M25" i="190" s="1"/>
  <c r="J7" i="191"/>
  <c r="G15" i="186"/>
  <c r="J21" i="191"/>
  <c r="J17" i="191"/>
  <c r="J9" i="191"/>
  <c r="J19" i="191"/>
  <c r="J15" i="191"/>
  <c r="J11" i="191"/>
  <c r="G13" i="191"/>
  <c r="F41" i="191"/>
  <c r="F44" i="191" s="1"/>
  <c r="G5" i="191"/>
  <c r="G23" i="191"/>
  <c r="E46" i="190"/>
  <c r="K42" i="190"/>
  <c r="I55" i="190"/>
  <c r="G5" i="45"/>
  <c r="I5" i="45"/>
  <c r="J5" i="45"/>
  <c r="G6" i="45"/>
  <c r="I6" i="45"/>
  <c r="J6" i="45"/>
  <c r="G7" i="45"/>
  <c r="I7" i="45"/>
  <c r="J7" i="45"/>
  <c r="G8" i="45"/>
  <c r="I8" i="45"/>
  <c r="J8" i="45"/>
  <c r="G9" i="45"/>
  <c r="I9" i="45"/>
  <c r="J9" i="45"/>
  <c r="G10" i="45"/>
  <c r="I10" i="45"/>
  <c r="J10" i="45"/>
  <c r="G11" i="45"/>
  <c r="I11" i="45"/>
  <c r="J11" i="45"/>
  <c r="G12" i="45"/>
  <c r="I12" i="45"/>
  <c r="J12" i="45"/>
  <c r="G13" i="45"/>
  <c r="I13" i="45"/>
  <c r="J13" i="45"/>
  <c r="G14" i="45"/>
  <c r="I14" i="45"/>
  <c r="J14" i="45"/>
  <c r="G15" i="45"/>
  <c r="I15" i="45"/>
  <c r="J15" i="45"/>
  <c r="G16" i="45"/>
  <c r="I16" i="45"/>
  <c r="J16" i="45"/>
  <c r="G17" i="45"/>
  <c r="I17" i="45"/>
  <c r="J17" i="45"/>
  <c r="G18" i="45"/>
  <c r="I18" i="45"/>
  <c r="J18" i="45"/>
  <c r="G19" i="45"/>
  <c r="I19" i="45"/>
  <c r="J19" i="45"/>
  <c r="G20" i="45"/>
  <c r="I20" i="45"/>
  <c r="J20" i="45"/>
  <c r="G21" i="45"/>
  <c r="I21" i="45"/>
  <c r="J21" i="45"/>
  <c r="G22" i="45"/>
  <c r="I22" i="45"/>
  <c r="J22" i="45"/>
  <c r="G23" i="45"/>
  <c r="I23" i="45"/>
  <c r="J23" i="45"/>
  <c r="F29" i="45"/>
  <c r="G29" i="45"/>
  <c r="H29" i="45"/>
  <c r="I29" i="45"/>
  <c r="I30" i="45"/>
  <c r="I31" i="45"/>
  <c r="I32" i="45"/>
  <c r="I33" i="45"/>
  <c r="I34" i="45"/>
  <c r="I35" i="45"/>
  <c r="I36" i="45"/>
  <c r="I37" i="45"/>
  <c r="I38" i="45"/>
  <c r="I39" i="45"/>
  <c r="I40" i="45"/>
  <c r="I41" i="45"/>
  <c r="I42" i="45"/>
  <c r="I43" i="45"/>
  <c r="I44" i="45"/>
  <c r="I45" i="45"/>
  <c r="I46" i="45"/>
  <c r="I47" i="45"/>
  <c r="F63" i="45"/>
  <c r="G63" i="45"/>
  <c r="H63" i="45"/>
  <c r="H64" i="45"/>
  <c r="J64" i="45"/>
  <c r="H65" i="45"/>
  <c r="J65" i="45"/>
  <c r="H66" i="45"/>
  <c r="J66" i="45"/>
  <c r="H69" i="45"/>
  <c r="H71" i="45"/>
  <c r="I74" i="45"/>
  <c r="F48" i="163"/>
  <c r="H44" i="187"/>
  <c r="I24" i="187"/>
  <c r="H48" i="51"/>
  <c r="G41" i="185"/>
  <c r="L15" i="185"/>
  <c r="L6" i="185"/>
  <c r="L7" i="185"/>
  <c r="L8" i="185"/>
  <c r="L9" i="185"/>
  <c r="L10" i="185"/>
  <c r="L11" i="185"/>
  <c r="L12" i="185"/>
  <c r="L13" i="185"/>
  <c r="L14" i="185"/>
  <c r="L16" i="185"/>
  <c r="L17" i="185"/>
  <c r="L18" i="185"/>
  <c r="L19" i="185"/>
  <c r="L20" i="185"/>
  <c r="L21" i="185"/>
  <c r="L22" i="185"/>
  <c r="L23" i="185"/>
  <c r="L24" i="185"/>
  <c r="L25" i="185"/>
  <c r="L26" i="185"/>
  <c r="L5" i="185"/>
  <c r="F39" i="161"/>
  <c r="L12" i="161"/>
  <c r="L13" i="161"/>
  <c r="L14" i="161"/>
  <c r="L15" i="161"/>
  <c r="L16" i="161"/>
  <c r="L17" i="161"/>
  <c r="L18" i="161"/>
  <c r="L19" i="161"/>
  <c r="L20" i="161"/>
  <c r="L21" i="161"/>
  <c r="L22" i="161"/>
  <c r="L23" i="161"/>
  <c r="L24" i="161"/>
  <c r="L25" i="161"/>
  <c r="L26" i="161"/>
  <c r="L11" i="161"/>
  <c r="L6" i="161"/>
  <c r="L7" i="161"/>
  <c r="L8" i="161"/>
  <c r="L10" i="161"/>
  <c r="L5" i="161"/>
  <c r="L6" i="143"/>
  <c r="L8" i="143"/>
  <c r="L9" i="143"/>
  <c r="L11" i="143"/>
  <c r="L13" i="143"/>
  <c r="L14" i="143"/>
  <c r="L15" i="143"/>
  <c r="L16" i="143"/>
  <c r="L17" i="143"/>
  <c r="L19" i="143"/>
  <c r="L20" i="143"/>
  <c r="L21" i="143"/>
  <c r="L22" i="143"/>
  <c r="L23" i="143"/>
  <c r="L24" i="143"/>
  <c r="L25" i="143"/>
  <c r="L26" i="143"/>
  <c r="L27" i="143"/>
  <c r="L28" i="143"/>
  <c r="L29" i="143"/>
  <c r="L5" i="143"/>
  <c r="F4" i="94"/>
  <c r="F6" i="94"/>
  <c r="G4" i="63"/>
  <c r="G25" i="45" l="1"/>
  <c r="I25" i="45"/>
  <c r="M15" i="186"/>
  <c r="F44" i="21"/>
  <c r="H67" i="45"/>
  <c r="I48" i="45"/>
  <c r="G25" i="191"/>
  <c r="J25" i="191" s="1"/>
  <c r="F50" i="52"/>
  <c r="F48" i="51"/>
  <c r="F50" i="138"/>
  <c r="F49" i="168"/>
  <c r="I44" i="191"/>
  <c r="F43" i="22"/>
  <c r="J25" i="190"/>
  <c r="G18" i="143"/>
  <c r="M18" i="143"/>
  <c r="M15" i="185"/>
  <c r="G15" i="185"/>
  <c r="C36" i="187"/>
  <c r="J25" i="45" l="1"/>
  <c r="G47" i="191"/>
  <c r="G49" i="191" s="1"/>
  <c r="G51" i="191" s="1"/>
  <c r="J42" i="190"/>
  <c r="G42" i="190"/>
  <c r="G46" i="190" s="1"/>
  <c r="H53" i="185"/>
  <c r="J46" i="190" l="1"/>
  <c r="H57" i="190"/>
  <c r="H59" i="190" s="1"/>
  <c r="H61" i="190" s="1"/>
  <c r="D64" i="94" s="1"/>
  <c r="G51" i="187"/>
  <c r="F32" i="131"/>
  <c r="H53" i="186"/>
  <c r="D75" i="152"/>
  <c r="D75" i="153"/>
  <c r="H49" i="161"/>
  <c r="D77" i="153"/>
  <c r="E67" i="108" l="1"/>
  <c r="M11" i="161"/>
  <c r="C54" i="192" l="1"/>
  <c r="F64" i="94"/>
  <c r="I6" i="178"/>
  <c r="I7" i="178"/>
  <c r="I8" i="178"/>
  <c r="I9" i="178"/>
  <c r="I10" i="178"/>
  <c r="I11" i="178"/>
  <c r="I12" i="178"/>
  <c r="I13" i="178"/>
  <c r="I14" i="178"/>
  <c r="I15" i="178"/>
  <c r="I16" i="178"/>
  <c r="I17" i="178"/>
  <c r="I18" i="178"/>
  <c r="I19" i="178"/>
  <c r="I20" i="178"/>
  <c r="I5" i="178"/>
  <c r="G49" i="187"/>
  <c r="K24" i="187"/>
  <c r="J52" i="187"/>
  <c r="G47" i="187"/>
  <c r="H43" i="187"/>
  <c r="H42" i="187"/>
  <c r="H41" i="187"/>
  <c r="H40" i="187"/>
  <c r="H39" i="187"/>
  <c r="G39" i="187"/>
  <c r="F39" i="187"/>
  <c r="E39" i="187"/>
  <c r="D27" i="187"/>
  <c r="E25" i="187"/>
  <c r="D25" i="187"/>
  <c r="K23" i="187"/>
  <c r="I23" i="187"/>
  <c r="K22" i="187"/>
  <c r="I22" i="187"/>
  <c r="K21" i="187"/>
  <c r="I21" i="187"/>
  <c r="K20" i="187"/>
  <c r="I20" i="187"/>
  <c r="K19" i="187"/>
  <c r="I19" i="187"/>
  <c r="K18" i="187"/>
  <c r="I18" i="187"/>
  <c r="K17" i="187"/>
  <c r="I17" i="187"/>
  <c r="K16" i="187"/>
  <c r="I16" i="187"/>
  <c r="K15" i="187"/>
  <c r="I15" i="187"/>
  <c r="K14" i="187"/>
  <c r="I14" i="187"/>
  <c r="K13" i="187"/>
  <c r="I13" i="187"/>
  <c r="K12" i="187"/>
  <c r="I12" i="187"/>
  <c r="K11" i="187"/>
  <c r="I11" i="187"/>
  <c r="K10" i="187"/>
  <c r="I10" i="187"/>
  <c r="K9" i="187"/>
  <c r="I9" i="187"/>
  <c r="K8" i="187"/>
  <c r="I8" i="187"/>
  <c r="K7" i="187"/>
  <c r="I7" i="187"/>
  <c r="K6" i="187"/>
  <c r="I6" i="187"/>
  <c r="L5" i="187"/>
  <c r="K5" i="187"/>
  <c r="I5" i="187"/>
  <c r="I4" i="187"/>
  <c r="H4" i="187"/>
  <c r="G4" i="187"/>
  <c r="F4" i="187"/>
  <c r="H33" i="46"/>
  <c r="H45" i="187" l="1"/>
  <c r="F44" i="187"/>
  <c r="G24" i="187"/>
  <c r="F43" i="187"/>
  <c r="I25" i="187"/>
  <c r="G21" i="187"/>
  <c r="J21" i="187"/>
  <c r="G9" i="187"/>
  <c r="J9" i="187"/>
  <c r="G13" i="187"/>
  <c r="J13" i="187"/>
  <c r="G17" i="187"/>
  <c r="J17" i="187"/>
  <c r="G11" i="187"/>
  <c r="J11" i="187"/>
  <c r="G15" i="187"/>
  <c r="J15" i="187"/>
  <c r="G19" i="187"/>
  <c r="J19" i="187"/>
  <c r="G23" i="187"/>
  <c r="J23" i="187"/>
  <c r="G18" i="187"/>
  <c r="J18" i="187"/>
  <c r="J22" i="187"/>
  <c r="G22" i="187"/>
  <c r="G7" i="187"/>
  <c r="J7" i="187"/>
  <c r="I40" i="187"/>
  <c r="F40" i="187"/>
  <c r="F41" i="187"/>
  <c r="I41" i="187"/>
  <c r="I42" i="187"/>
  <c r="F42" i="187"/>
  <c r="J10" i="187"/>
  <c r="G10" i="187"/>
  <c r="J16" i="187"/>
  <c r="G16" i="187"/>
  <c r="J14" i="187"/>
  <c r="G14" i="187"/>
  <c r="J20" i="187"/>
  <c r="G20" i="187"/>
  <c r="G5" i="187"/>
  <c r="J5" i="187"/>
  <c r="G12" i="187"/>
  <c r="J12" i="187"/>
  <c r="G6" i="187"/>
  <c r="J6" i="187"/>
  <c r="J8" i="187"/>
  <c r="G8" i="187"/>
  <c r="H51" i="185"/>
  <c r="H51" i="186"/>
  <c r="H49" i="186"/>
  <c r="H48" i="186"/>
  <c r="D44" i="186"/>
  <c r="H43" i="186"/>
  <c r="G43" i="186"/>
  <c r="F43" i="186"/>
  <c r="E43" i="186"/>
  <c r="C40" i="186"/>
  <c r="D31" i="186" s="1"/>
  <c r="K4" i="186" s="1"/>
  <c r="D29" i="186"/>
  <c r="I26" i="186"/>
  <c r="I25" i="186"/>
  <c r="I24" i="186"/>
  <c r="I23" i="186"/>
  <c r="I22" i="186"/>
  <c r="I21" i="186"/>
  <c r="I20" i="186"/>
  <c r="I19" i="186"/>
  <c r="I18" i="186"/>
  <c r="I17" i="186"/>
  <c r="I16" i="186"/>
  <c r="I14" i="186"/>
  <c r="I13" i="186"/>
  <c r="I12" i="186"/>
  <c r="I11" i="186"/>
  <c r="I10" i="186"/>
  <c r="I9" i="186"/>
  <c r="M9" i="186"/>
  <c r="I8" i="186"/>
  <c r="I7" i="186"/>
  <c r="I6" i="186"/>
  <c r="I5" i="186"/>
  <c r="I4" i="186"/>
  <c r="H4" i="186"/>
  <c r="G4" i="186"/>
  <c r="F4" i="186"/>
  <c r="D44" i="185"/>
  <c r="H49" i="185"/>
  <c r="H48" i="185"/>
  <c r="H43" i="185"/>
  <c r="G43" i="185"/>
  <c r="F43" i="185"/>
  <c r="E43" i="185"/>
  <c r="C40" i="185"/>
  <c r="D31" i="185" s="1"/>
  <c r="K4" i="185" s="1"/>
  <c r="D29" i="185"/>
  <c r="I4" i="185"/>
  <c r="H4" i="185"/>
  <c r="G4" i="185"/>
  <c r="F4" i="185"/>
  <c r="K15" i="185" l="1"/>
  <c r="K27" i="185"/>
  <c r="K28" i="185"/>
  <c r="K15" i="186"/>
  <c r="K27" i="186"/>
  <c r="K28" i="186"/>
  <c r="G25" i="187"/>
  <c r="J25" i="187" s="1"/>
  <c r="M7" i="161"/>
  <c r="M6" i="161"/>
  <c r="M19" i="161"/>
  <c r="M21" i="161"/>
  <c r="J21" i="186"/>
  <c r="M17" i="161"/>
  <c r="M16" i="161"/>
  <c r="M15" i="161"/>
  <c r="M20" i="161"/>
  <c r="M14" i="186"/>
  <c r="M5" i="161"/>
  <c r="M26" i="161"/>
  <c r="M14" i="161"/>
  <c r="M10" i="186"/>
  <c r="M17" i="186"/>
  <c r="J23" i="186"/>
  <c r="M18" i="161"/>
  <c r="M8" i="186"/>
  <c r="M25" i="161"/>
  <c r="M13" i="161"/>
  <c r="M24" i="161"/>
  <c r="M12" i="161"/>
  <c r="G26" i="186"/>
  <c r="M23" i="161"/>
  <c r="M10" i="161"/>
  <c r="M22" i="161"/>
  <c r="M8" i="161"/>
  <c r="J6" i="186"/>
  <c r="M12" i="186"/>
  <c r="M19" i="186"/>
  <c r="M25" i="186"/>
  <c r="M23" i="143"/>
  <c r="M23" i="185"/>
  <c r="M22" i="186"/>
  <c r="M5" i="185"/>
  <c r="J19" i="185"/>
  <c r="M18" i="186"/>
  <c r="M28" i="143"/>
  <c r="M16" i="143"/>
  <c r="M7" i="185"/>
  <c r="M13" i="185"/>
  <c r="J20" i="185"/>
  <c r="F46" i="186"/>
  <c r="I46" i="186" s="1"/>
  <c r="M22" i="143"/>
  <c r="M6" i="143"/>
  <c r="J9" i="186"/>
  <c r="M21" i="143"/>
  <c r="J11" i="185"/>
  <c r="M18" i="185"/>
  <c r="M19" i="143"/>
  <c r="J12" i="185"/>
  <c r="M11" i="186"/>
  <c r="M9" i="143"/>
  <c r="F45" i="186"/>
  <c r="I45" i="186" s="1"/>
  <c r="M8" i="143"/>
  <c r="J10" i="185"/>
  <c r="F47" i="186"/>
  <c r="I47" i="186" s="1"/>
  <c r="M25" i="185"/>
  <c r="M29" i="143"/>
  <c r="M24" i="186"/>
  <c r="M15" i="143"/>
  <c r="M14" i="143"/>
  <c r="M8" i="185"/>
  <c r="M14" i="185"/>
  <c r="J21" i="185"/>
  <c r="M26" i="185"/>
  <c r="M16" i="186"/>
  <c r="J6" i="185"/>
  <c r="M17" i="143"/>
  <c r="M5" i="186"/>
  <c r="M27" i="143"/>
  <c r="M7" i="186"/>
  <c r="M13" i="186"/>
  <c r="M20" i="186"/>
  <c r="M24" i="143"/>
  <c r="J17" i="185"/>
  <c r="M24" i="185"/>
  <c r="M20" i="143"/>
  <c r="M5" i="143"/>
  <c r="M26" i="143"/>
  <c r="M13" i="143"/>
  <c r="M25" i="143"/>
  <c r="M11" i="143"/>
  <c r="M9" i="185"/>
  <c r="M16" i="185"/>
  <c r="J22" i="185"/>
  <c r="F45" i="187"/>
  <c r="F46" i="185"/>
  <c r="I46" i="185" s="1"/>
  <c r="F45" i="185"/>
  <c r="I45" i="185" s="1"/>
  <c r="F47" i="185"/>
  <c r="I47" i="185" s="1"/>
  <c r="I29" i="185"/>
  <c r="I29" i="186"/>
  <c r="F44" i="186"/>
  <c r="K26" i="186"/>
  <c r="K25" i="186"/>
  <c r="K23" i="186"/>
  <c r="K21" i="186"/>
  <c r="K19" i="186"/>
  <c r="K17" i="186"/>
  <c r="K14" i="186"/>
  <c r="K12" i="186"/>
  <c r="K10" i="186"/>
  <c r="K8" i="186"/>
  <c r="K6" i="186"/>
  <c r="K24" i="186"/>
  <c r="K22" i="186"/>
  <c r="K20" i="186"/>
  <c r="K18" i="186"/>
  <c r="K16" i="186"/>
  <c r="K11" i="186"/>
  <c r="K9" i="186"/>
  <c r="K5" i="186"/>
  <c r="K13" i="186"/>
  <c r="K7" i="186"/>
  <c r="G22" i="186"/>
  <c r="F44" i="185"/>
  <c r="G10" i="185"/>
  <c r="G23" i="185"/>
  <c r="K26" i="185"/>
  <c r="K25" i="185"/>
  <c r="K23" i="185"/>
  <c r="K21" i="185"/>
  <c r="K19" i="185"/>
  <c r="K17" i="185"/>
  <c r="K14" i="185"/>
  <c r="K12" i="185"/>
  <c r="K10" i="185"/>
  <c r="K8" i="185"/>
  <c r="K6" i="185"/>
  <c r="K22" i="185"/>
  <c r="K20" i="185"/>
  <c r="K18" i="185"/>
  <c r="K16" i="185"/>
  <c r="K13" i="185"/>
  <c r="K11" i="185"/>
  <c r="K9" i="185"/>
  <c r="K7" i="185"/>
  <c r="K5" i="185"/>
  <c r="K24" i="185"/>
  <c r="J26" i="185"/>
  <c r="J24" i="185"/>
  <c r="G24" i="185"/>
  <c r="H46" i="163"/>
  <c r="H47" i="163"/>
  <c r="H49" i="163"/>
  <c r="H50" i="163"/>
  <c r="H45" i="163"/>
  <c r="J33" i="45" l="1"/>
  <c r="G6" i="108"/>
  <c r="G30" i="108" s="1"/>
  <c r="J26" i="186"/>
  <c r="G17" i="186"/>
  <c r="G12" i="186"/>
  <c r="G10" i="186"/>
  <c r="J10" i="186"/>
  <c r="G8" i="186"/>
  <c r="J12" i="186"/>
  <c r="M21" i="186"/>
  <c r="G21" i="186"/>
  <c r="G25" i="186"/>
  <c r="M6" i="186"/>
  <c r="J25" i="186"/>
  <c r="G19" i="186"/>
  <c r="G14" i="186"/>
  <c r="G6" i="186"/>
  <c r="M26" i="186"/>
  <c r="J45" i="45"/>
  <c r="J42" i="45"/>
  <c r="J14" i="186"/>
  <c r="J19" i="186"/>
  <c r="J17" i="186"/>
  <c r="M23" i="186"/>
  <c r="J43" i="45"/>
  <c r="J41" i="45"/>
  <c r="G23" i="186"/>
  <c r="J44" i="45"/>
  <c r="J40" i="45"/>
  <c r="J47" i="45"/>
  <c r="J39" i="45"/>
  <c r="J35" i="45"/>
  <c r="J31" i="45"/>
  <c r="J38" i="45"/>
  <c r="J46" i="45"/>
  <c r="J32" i="45"/>
  <c r="G30" i="45"/>
  <c r="J37" i="45"/>
  <c r="J34" i="45"/>
  <c r="J8" i="186"/>
  <c r="J36" i="45"/>
  <c r="M30" i="143"/>
  <c r="J13" i="186"/>
  <c r="J24" i="186"/>
  <c r="G18" i="186"/>
  <c r="J22" i="186"/>
  <c r="J16" i="186"/>
  <c r="J11" i="186"/>
  <c r="J20" i="186"/>
  <c r="J7" i="186"/>
  <c r="J5" i="186"/>
  <c r="G26" i="185"/>
  <c r="G16" i="186"/>
  <c r="J9" i="185"/>
  <c r="G9" i="185"/>
  <c r="F64" i="45"/>
  <c r="I64" i="45"/>
  <c r="F65" i="45"/>
  <c r="I65" i="45"/>
  <c r="I66" i="45"/>
  <c r="F66" i="45"/>
  <c r="G16" i="185"/>
  <c r="J16" i="185"/>
  <c r="G24" i="186"/>
  <c r="G18" i="185"/>
  <c r="G14" i="185"/>
  <c r="G8" i="185"/>
  <c r="G5" i="185"/>
  <c r="J5" i="185"/>
  <c r="G20" i="186"/>
  <c r="G7" i="185"/>
  <c r="G13" i="185"/>
  <c r="J13" i="185"/>
  <c r="G13" i="186"/>
  <c r="J7" i="185"/>
  <c r="J14" i="185"/>
  <c r="M20" i="185"/>
  <c r="M19" i="185"/>
  <c r="G20" i="185"/>
  <c r="G19" i="185"/>
  <c r="G11" i="186"/>
  <c r="F48" i="186"/>
  <c r="I48" i="186" s="1"/>
  <c r="J18" i="185"/>
  <c r="J23" i="185"/>
  <c r="G9" i="186"/>
  <c r="M6" i="185"/>
  <c r="M12" i="185"/>
  <c r="M21" i="185"/>
  <c r="M11" i="185"/>
  <c r="J18" i="186"/>
  <c r="G21" i="185"/>
  <c r="G11" i="185"/>
  <c r="G12" i="185"/>
  <c r="G17" i="185"/>
  <c r="G25" i="185"/>
  <c r="G7" i="186"/>
  <c r="M17" i="185"/>
  <c r="J25" i="185"/>
  <c r="G5" i="186"/>
  <c r="M10" i="185"/>
  <c r="J8" i="185"/>
  <c r="M22" i="185"/>
  <c r="G22" i="185"/>
  <c r="G6" i="185"/>
  <c r="F48" i="185"/>
  <c r="I48" i="185" s="1"/>
  <c r="I45" i="187"/>
  <c r="G48" i="187"/>
  <c r="G50" i="187" s="1"/>
  <c r="G52" i="187" s="1"/>
  <c r="C73" i="192" s="1"/>
  <c r="I44" i="186"/>
  <c r="I44" i="185"/>
  <c r="G29" i="185" l="1"/>
  <c r="J29" i="185" s="1"/>
  <c r="G29" i="186"/>
  <c r="J29" i="186" s="1"/>
  <c r="M6" i="108"/>
  <c r="M30" i="108" s="1"/>
  <c r="M29" i="186"/>
  <c r="J30" i="45"/>
  <c r="G48" i="45"/>
  <c r="J48" i="45" s="1"/>
  <c r="F81" i="94"/>
  <c r="F83" i="94"/>
  <c r="F67" i="45"/>
  <c r="I67" i="45" s="1"/>
  <c r="M29" i="185"/>
  <c r="F42" i="21" l="1"/>
  <c r="F41" i="21"/>
  <c r="H70" i="45"/>
  <c r="H50" i="186"/>
  <c r="H52" i="186" s="1"/>
  <c r="H50" i="185"/>
  <c r="H52" i="185" s="1"/>
  <c r="H54" i="185" s="1"/>
  <c r="G7" i="181"/>
  <c r="H72" i="45" l="1"/>
  <c r="F5" i="46"/>
  <c r="D21" i="94"/>
  <c r="C17" i="192" s="1"/>
  <c r="G17" i="181"/>
  <c r="G18" i="181"/>
  <c r="G6" i="181"/>
  <c r="G16" i="181"/>
  <c r="G8" i="181"/>
  <c r="G15" i="181"/>
  <c r="G13" i="181"/>
  <c r="G12" i="181"/>
  <c r="G5" i="181"/>
  <c r="G10" i="181"/>
  <c r="G19" i="181"/>
  <c r="G9" i="181"/>
  <c r="M11" i="181"/>
  <c r="G11" i="181"/>
  <c r="G14" i="181"/>
  <c r="F21" i="94" l="1"/>
  <c r="G20" i="181"/>
  <c r="M13" i="55"/>
  <c r="M14" i="55"/>
  <c r="M16" i="55" l="1"/>
  <c r="M12" i="55"/>
  <c r="M10" i="55"/>
  <c r="M9" i="55"/>
  <c r="M8" i="55"/>
  <c r="M7" i="55"/>
  <c r="M6" i="55"/>
  <c r="M5" i="55"/>
  <c r="M18" i="55"/>
  <c r="M17" i="55"/>
  <c r="M20" i="55" l="1"/>
  <c r="G7" i="63"/>
  <c r="G17" i="63"/>
  <c r="G15" i="63"/>
  <c r="G14" i="63"/>
  <c r="G13" i="63"/>
  <c r="G12" i="63"/>
  <c r="G11" i="63"/>
  <c r="G9" i="63"/>
  <c r="G8" i="63"/>
  <c r="G18" i="63"/>
  <c r="G16" i="63"/>
  <c r="J5" i="63"/>
  <c r="G19" i="63"/>
  <c r="G6" i="63"/>
  <c r="J12" i="39"/>
  <c r="I37" i="34"/>
  <c r="G7" i="49"/>
  <c r="J8" i="49"/>
  <c r="G9" i="49"/>
  <c r="G10" i="49"/>
  <c r="J11" i="49"/>
  <c r="J12" i="49"/>
  <c r="J13" i="49"/>
  <c r="J14" i="49"/>
  <c r="J15" i="49"/>
  <c r="G17" i="49"/>
  <c r="J18" i="49"/>
  <c r="J19" i="49"/>
  <c r="G20" i="49"/>
  <c r="J21" i="49"/>
  <c r="J22" i="49"/>
  <c r="J5" i="49"/>
  <c r="G6" i="31"/>
  <c r="J7" i="31"/>
  <c r="G9" i="31"/>
  <c r="J10" i="31"/>
  <c r="J12" i="31"/>
  <c r="G13" i="31"/>
  <c r="J18" i="31"/>
  <c r="G19" i="31"/>
  <c r="G20" i="31"/>
  <c r="G21" i="31"/>
  <c r="L6" i="165"/>
  <c r="L8" i="165"/>
  <c r="L9" i="165"/>
  <c r="M9" i="165" s="1"/>
  <c r="L10" i="165"/>
  <c r="L11" i="165"/>
  <c r="M11" i="165" s="1"/>
  <c r="L12" i="165"/>
  <c r="L13" i="165"/>
  <c r="M13" i="165" s="1"/>
  <c r="L14" i="165"/>
  <c r="L15" i="165"/>
  <c r="L16" i="165"/>
  <c r="L17" i="165"/>
  <c r="L18" i="165"/>
  <c r="L5" i="165"/>
  <c r="M5" i="165" s="1"/>
  <c r="I49" i="51"/>
  <c r="F25" i="142"/>
  <c r="F26" i="142" s="1"/>
  <c r="I39" i="49"/>
  <c r="F41" i="49"/>
  <c r="J6" i="49"/>
  <c r="E50" i="26"/>
  <c r="I58" i="87"/>
  <c r="D55" i="87"/>
  <c r="I51" i="87"/>
  <c r="H51" i="87"/>
  <c r="F51" i="87"/>
  <c r="I50" i="87"/>
  <c r="H50" i="87"/>
  <c r="F50" i="87"/>
  <c r="I49" i="87"/>
  <c r="H49" i="87"/>
  <c r="F49" i="87"/>
  <c r="C44" i="87"/>
  <c r="D33" i="87"/>
  <c r="E29" i="87" s="1"/>
  <c r="J31" i="87"/>
  <c r="I31" i="87"/>
  <c r="G31" i="87"/>
  <c r="J30" i="87"/>
  <c r="I30" i="87"/>
  <c r="G30" i="87"/>
  <c r="M29" i="87"/>
  <c r="L29" i="87"/>
  <c r="K29" i="87"/>
  <c r="J29" i="87"/>
  <c r="I29" i="87"/>
  <c r="G29" i="87"/>
  <c r="J28" i="87"/>
  <c r="I28" i="87"/>
  <c r="G28" i="87"/>
  <c r="J27" i="87"/>
  <c r="I27" i="87"/>
  <c r="G27" i="87"/>
  <c r="J26" i="87"/>
  <c r="I26" i="87"/>
  <c r="G26" i="87"/>
  <c r="J25" i="87"/>
  <c r="I25" i="87"/>
  <c r="G25" i="87"/>
  <c r="D20" i="87"/>
  <c r="E18" i="87" s="1"/>
  <c r="J18" i="87"/>
  <c r="I18" i="87"/>
  <c r="I20" i="87" s="1"/>
  <c r="G18" i="87"/>
  <c r="J17" i="87"/>
  <c r="I17" i="87"/>
  <c r="G17" i="87"/>
  <c r="D12" i="87"/>
  <c r="E5" i="87" s="1"/>
  <c r="K5" i="87" s="1"/>
  <c r="J10" i="87"/>
  <c r="I10" i="87"/>
  <c r="G10" i="87"/>
  <c r="J9" i="87"/>
  <c r="I9" i="87"/>
  <c r="G9" i="87"/>
  <c r="E9" i="87"/>
  <c r="K9" i="87" s="1"/>
  <c r="J8" i="87"/>
  <c r="I8" i="87"/>
  <c r="G8" i="87"/>
  <c r="J7" i="87"/>
  <c r="I7" i="87"/>
  <c r="G7" i="87"/>
  <c r="J6" i="87"/>
  <c r="I6" i="87"/>
  <c r="G6" i="87"/>
  <c r="J5" i="87"/>
  <c r="I5" i="87"/>
  <c r="G5" i="87"/>
  <c r="D37" i="86"/>
  <c r="G35" i="86"/>
  <c r="G34" i="86"/>
  <c r="G33" i="86"/>
  <c r="G32" i="86"/>
  <c r="G31" i="86"/>
  <c r="G30" i="86"/>
  <c r="G37" i="86" s="1"/>
  <c r="D25" i="86"/>
  <c r="G24" i="86"/>
  <c r="G23" i="86"/>
  <c r="G22" i="86"/>
  <c r="G21" i="86"/>
  <c r="G20" i="86"/>
  <c r="D6" i="86"/>
  <c r="D8" i="86" s="1"/>
  <c r="S3" i="73"/>
  <c r="Q3" i="73"/>
  <c r="O3" i="73"/>
  <c r="I3" i="73"/>
  <c r="G3" i="73"/>
  <c r="E3" i="73"/>
  <c r="S2" i="73"/>
  <c r="Q2" i="73"/>
  <c r="O2" i="73"/>
  <c r="M2" i="73"/>
  <c r="K2" i="73"/>
  <c r="I2" i="73"/>
  <c r="G2" i="73"/>
  <c r="E2" i="73"/>
  <c r="I4" i="69"/>
  <c r="G4" i="69"/>
  <c r="E4" i="69"/>
  <c r="F4" i="69" s="1"/>
  <c r="M3" i="69"/>
  <c r="K3" i="69"/>
  <c r="D3" i="69"/>
  <c r="D4" i="69" s="1"/>
  <c r="K2" i="69"/>
  <c r="L2" i="69" s="1"/>
  <c r="J2" i="69"/>
  <c r="H2" i="69"/>
  <c r="F2" i="69"/>
  <c r="D2" i="69"/>
  <c r="G55" i="68"/>
  <c r="D50" i="68"/>
  <c r="F46" i="68"/>
  <c r="F45" i="68"/>
  <c r="F44" i="68"/>
  <c r="F43" i="68"/>
  <c r="F42" i="68"/>
  <c r="C37" i="68"/>
  <c r="D26" i="68"/>
  <c r="G24" i="68"/>
  <c r="G23" i="68"/>
  <c r="G22" i="68"/>
  <c r="G21" i="68"/>
  <c r="G20" i="68"/>
  <c r="G19" i="68"/>
  <c r="G18" i="68"/>
  <c r="G17" i="68"/>
  <c r="G16" i="68"/>
  <c r="G15" i="68"/>
  <c r="G14" i="68"/>
  <c r="G13" i="68"/>
  <c r="G12" i="68"/>
  <c r="G11" i="68"/>
  <c r="G10" i="68"/>
  <c r="G9" i="68"/>
  <c r="E9" i="68"/>
  <c r="H9" i="68" s="1"/>
  <c r="G8" i="68"/>
  <c r="G7" i="68"/>
  <c r="G6" i="68"/>
  <c r="G26" i="68" s="1"/>
  <c r="G5" i="68"/>
  <c r="G55" i="59"/>
  <c r="D50" i="59"/>
  <c r="F46" i="59"/>
  <c r="F45" i="59"/>
  <c r="F44" i="59"/>
  <c r="F43" i="59"/>
  <c r="F42" i="59"/>
  <c r="C37" i="59"/>
  <c r="D26" i="59"/>
  <c r="G24" i="59"/>
  <c r="E24" i="59"/>
  <c r="H24" i="59" s="1"/>
  <c r="G23" i="59"/>
  <c r="G22" i="59"/>
  <c r="G21" i="59"/>
  <c r="G20" i="59"/>
  <c r="E20" i="59"/>
  <c r="H20" i="59" s="1"/>
  <c r="G19" i="59"/>
  <c r="G18" i="59"/>
  <c r="G17" i="59"/>
  <c r="G16" i="59"/>
  <c r="G15" i="59"/>
  <c r="E15" i="59"/>
  <c r="H15" i="59" s="1"/>
  <c r="G14" i="59"/>
  <c r="G13" i="59"/>
  <c r="G12" i="59"/>
  <c r="G11" i="59"/>
  <c r="E11" i="59"/>
  <c r="H11" i="59" s="1"/>
  <c r="G10" i="59"/>
  <c r="G9" i="59"/>
  <c r="G8" i="59"/>
  <c r="G7" i="59"/>
  <c r="G6" i="59"/>
  <c r="E6" i="59"/>
  <c r="H6" i="59" s="1"/>
  <c r="G5" i="59"/>
  <c r="G54" i="58"/>
  <c r="D49" i="58"/>
  <c r="F45" i="58"/>
  <c r="F44" i="58"/>
  <c r="F43" i="58"/>
  <c r="F42" i="58"/>
  <c r="C37" i="58"/>
  <c r="D26" i="58"/>
  <c r="G24" i="58"/>
  <c r="G23" i="58"/>
  <c r="G22" i="58"/>
  <c r="G21" i="58"/>
  <c r="G20" i="58"/>
  <c r="E20" i="58"/>
  <c r="H20" i="58" s="1"/>
  <c r="G19" i="58"/>
  <c r="G18" i="58"/>
  <c r="G17" i="58"/>
  <c r="G16" i="58"/>
  <c r="G15" i="58"/>
  <c r="G14" i="58"/>
  <c r="G13" i="58"/>
  <c r="G12" i="58"/>
  <c r="E12" i="58"/>
  <c r="H12" i="58" s="1"/>
  <c r="G11" i="58"/>
  <c r="G10" i="58"/>
  <c r="G9" i="58"/>
  <c r="G8" i="58"/>
  <c r="G7" i="58"/>
  <c r="G6" i="58"/>
  <c r="G5" i="58"/>
  <c r="E5" i="58"/>
  <c r="I112" i="110"/>
  <c r="H112" i="110"/>
  <c r="F112" i="110"/>
  <c r="I98" i="110"/>
  <c r="H98" i="110"/>
  <c r="F98" i="110"/>
  <c r="I78" i="110"/>
  <c r="H78" i="110"/>
  <c r="F78" i="110"/>
  <c r="I76" i="110"/>
  <c r="H76" i="110"/>
  <c r="F76" i="110"/>
  <c r="I63" i="110"/>
  <c r="H63" i="110"/>
  <c r="F63" i="110"/>
  <c r="I57" i="110"/>
  <c r="H57" i="110"/>
  <c r="F57" i="110"/>
  <c r="K40" i="110"/>
  <c r="I39" i="110"/>
  <c r="H39" i="110"/>
  <c r="F39" i="110"/>
  <c r="I38" i="110"/>
  <c r="H38" i="110"/>
  <c r="F38" i="110"/>
  <c r="I28" i="110"/>
  <c r="H28" i="110"/>
  <c r="F28" i="110"/>
  <c r="I8" i="110"/>
  <c r="H8" i="110"/>
  <c r="F8" i="110"/>
  <c r="I2" i="110"/>
  <c r="H2" i="110"/>
  <c r="F2" i="110"/>
  <c r="I50" i="60"/>
  <c r="D47" i="60"/>
  <c r="I43" i="60"/>
  <c r="H43" i="60"/>
  <c r="F43" i="60"/>
  <c r="I42" i="60"/>
  <c r="H42" i="60"/>
  <c r="F42" i="60"/>
  <c r="I41" i="60"/>
  <c r="H41" i="60"/>
  <c r="F41" i="60"/>
  <c r="I40" i="60"/>
  <c r="H40" i="60"/>
  <c r="F40" i="60"/>
  <c r="I39" i="60"/>
  <c r="H39" i="60"/>
  <c r="F39" i="60"/>
  <c r="C35" i="60"/>
  <c r="D24" i="60"/>
  <c r="E12" i="60" s="1"/>
  <c r="I23" i="60"/>
  <c r="J22" i="60"/>
  <c r="I22" i="60"/>
  <c r="G22" i="60"/>
  <c r="J21" i="60"/>
  <c r="I21" i="60"/>
  <c r="G21" i="60"/>
  <c r="E21" i="60"/>
  <c r="J20" i="60"/>
  <c r="I20" i="60"/>
  <c r="G20" i="60"/>
  <c r="E20" i="60"/>
  <c r="J19" i="60"/>
  <c r="I19" i="60"/>
  <c r="G19" i="60"/>
  <c r="J18" i="60"/>
  <c r="I18" i="60"/>
  <c r="G18" i="60"/>
  <c r="E18" i="60"/>
  <c r="J17" i="60"/>
  <c r="I17" i="60"/>
  <c r="G17" i="60"/>
  <c r="J16" i="60"/>
  <c r="I16" i="60"/>
  <c r="G16" i="60"/>
  <c r="J15" i="60"/>
  <c r="I15" i="60"/>
  <c r="G15" i="60"/>
  <c r="E15" i="60"/>
  <c r="J14" i="60"/>
  <c r="I14" i="60"/>
  <c r="G14" i="60"/>
  <c r="J13" i="60"/>
  <c r="I13" i="60"/>
  <c r="G13" i="60"/>
  <c r="J12" i="60"/>
  <c r="I12" i="60"/>
  <c r="G12" i="60"/>
  <c r="J11" i="60"/>
  <c r="I11" i="60"/>
  <c r="G11" i="60"/>
  <c r="E11" i="60"/>
  <c r="J10" i="60"/>
  <c r="I10" i="60"/>
  <c r="G10" i="60"/>
  <c r="J9" i="60"/>
  <c r="I9" i="60"/>
  <c r="G9" i="60"/>
  <c r="E9" i="60"/>
  <c r="J8" i="60"/>
  <c r="I8" i="60"/>
  <c r="G8" i="60"/>
  <c r="E8" i="60"/>
  <c r="J7" i="60"/>
  <c r="I7" i="60"/>
  <c r="G7" i="60"/>
  <c r="J6" i="60"/>
  <c r="I6" i="60"/>
  <c r="G6" i="60"/>
  <c r="J5" i="60"/>
  <c r="I5" i="60"/>
  <c r="G5" i="60"/>
  <c r="E5" i="60"/>
  <c r="I46" i="115"/>
  <c r="D43" i="115"/>
  <c r="F39" i="115"/>
  <c r="F38" i="115"/>
  <c r="F37" i="115"/>
  <c r="F36" i="115"/>
  <c r="F35" i="115"/>
  <c r="F34" i="115"/>
  <c r="F33" i="115"/>
  <c r="F32" i="115"/>
  <c r="C28" i="115"/>
  <c r="D17" i="115"/>
  <c r="G16" i="115"/>
  <c r="G15" i="115"/>
  <c r="G14" i="115"/>
  <c r="G13" i="115"/>
  <c r="G12" i="115"/>
  <c r="G11" i="115"/>
  <c r="G10" i="115"/>
  <c r="G9" i="115"/>
  <c r="G8" i="115"/>
  <c r="G7" i="115"/>
  <c r="G6" i="115"/>
  <c r="G5" i="115"/>
  <c r="E78" i="152"/>
  <c r="D77" i="152"/>
  <c r="G71" i="152"/>
  <c r="F71" i="152"/>
  <c r="G70" i="152"/>
  <c r="F70" i="152"/>
  <c r="G69" i="152"/>
  <c r="F69" i="152"/>
  <c r="C53" i="152"/>
  <c r="F51" i="152"/>
  <c r="F50" i="152"/>
  <c r="F49" i="152"/>
  <c r="F48" i="152"/>
  <c r="F47" i="152"/>
  <c r="F46" i="152"/>
  <c r="F45" i="152"/>
  <c r="F44" i="152"/>
  <c r="F43" i="152"/>
  <c r="D43" i="152"/>
  <c r="G43" i="152" s="1"/>
  <c r="F42" i="152"/>
  <c r="F41" i="152"/>
  <c r="F40" i="152"/>
  <c r="F39" i="152"/>
  <c r="C34" i="152"/>
  <c r="C32" i="152"/>
  <c r="F30" i="152"/>
  <c r="F29" i="152"/>
  <c r="F28" i="152"/>
  <c r="F27" i="152"/>
  <c r="F26" i="152"/>
  <c r="F25" i="152"/>
  <c r="F24" i="152"/>
  <c r="F23" i="152"/>
  <c r="F22" i="152"/>
  <c r="F21" i="152"/>
  <c r="C14" i="152"/>
  <c r="C8" i="152"/>
  <c r="C9" i="152" s="1"/>
  <c r="C6" i="152"/>
  <c r="G71" i="153"/>
  <c r="F71" i="153"/>
  <c r="G70" i="153"/>
  <c r="F70" i="153"/>
  <c r="G69" i="153"/>
  <c r="F69" i="153"/>
  <c r="C53" i="153"/>
  <c r="D51" i="153"/>
  <c r="G51" i="153" s="1"/>
  <c r="D49" i="153"/>
  <c r="C32" i="153"/>
  <c r="D25" i="153" s="1"/>
  <c r="F30" i="153"/>
  <c r="F29" i="153"/>
  <c r="F28" i="153"/>
  <c r="F27" i="153"/>
  <c r="F26" i="153"/>
  <c r="F25" i="153"/>
  <c r="F24" i="153"/>
  <c r="F23" i="153"/>
  <c r="F22" i="153"/>
  <c r="F21" i="153"/>
  <c r="F20" i="153"/>
  <c r="C14" i="153"/>
  <c r="C6" i="153"/>
  <c r="C8" i="153" s="1"/>
  <c r="C9" i="153" s="1"/>
  <c r="E77" i="154"/>
  <c r="G77" i="154" s="1"/>
  <c r="J71" i="154"/>
  <c r="G71" i="154"/>
  <c r="J70" i="154"/>
  <c r="G70" i="154"/>
  <c r="J69" i="154"/>
  <c r="G69" i="154"/>
  <c r="I53" i="154"/>
  <c r="K51" i="154"/>
  <c r="J51" i="154"/>
  <c r="G51" i="154"/>
  <c r="K50" i="154"/>
  <c r="J50" i="154"/>
  <c r="G50" i="154"/>
  <c r="K49" i="154"/>
  <c r="J49" i="154"/>
  <c r="G49" i="154"/>
  <c r="K48" i="154"/>
  <c r="J48" i="154"/>
  <c r="G48" i="154"/>
  <c r="K47" i="154"/>
  <c r="J47" i="154"/>
  <c r="G47" i="154"/>
  <c r="K46" i="154"/>
  <c r="J46" i="154"/>
  <c r="G46" i="154"/>
  <c r="K45" i="154"/>
  <c r="J45" i="154"/>
  <c r="G45" i="154"/>
  <c r="K44" i="154"/>
  <c r="J44" i="154"/>
  <c r="G44" i="154"/>
  <c r="K43" i="154"/>
  <c r="J43" i="154"/>
  <c r="G43" i="154"/>
  <c r="K42" i="154"/>
  <c r="J42" i="154"/>
  <c r="G42" i="154"/>
  <c r="K41" i="154"/>
  <c r="J41" i="154"/>
  <c r="G41" i="154"/>
  <c r="K40" i="154"/>
  <c r="J40" i="154"/>
  <c r="G40" i="154"/>
  <c r="K39" i="154"/>
  <c r="J39" i="154"/>
  <c r="G39" i="154"/>
  <c r="E30" i="154"/>
  <c r="E28" i="154"/>
  <c r="E24" i="154"/>
  <c r="G23" i="154"/>
  <c r="G22" i="154"/>
  <c r="G21" i="154"/>
  <c r="G20" i="154"/>
  <c r="H44" i="177"/>
  <c r="H42" i="177"/>
  <c r="H40" i="177"/>
  <c r="H38" i="177"/>
  <c r="H37" i="177"/>
  <c r="J36" i="177"/>
  <c r="H36" i="177"/>
  <c r="H35" i="177"/>
  <c r="J34" i="177"/>
  <c r="H34" i="177"/>
  <c r="J33" i="177"/>
  <c r="H33" i="177"/>
  <c r="H32" i="177"/>
  <c r="G32" i="177"/>
  <c r="F32" i="177"/>
  <c r="E32" i="177"/>
  <c r="C29" i="177"/>
  <c r="D20" i="177" s="1"/>
  <c r="K4" i="177" s="1"/>
  <c r="E18" i="177"/>
  <c r="D18" i="177"/>
  <c r="G17" i="177"/>
  <c r="L16" i="177"/>
  <c r="I16" i="177"/>
  <c r="L15" i="177"/>
  <c r="I15" i="177"/>
  <c r="L14" i="177"/>
  <c r="I14" i="177"/>
  <c r="L13" i="177"/>
  <c r="I13" i="177"/>
  <c r="L12" i="177"/>
  <c r="I12" i="177"/>
  <c r="L11" i="177"/>
  <c r="I11" i="177"/>
  <c r="L10" i="177"/>
  <c r="I10" i="177"/>
  <c r="L9" i="177"/>
  <c r="I9" i="177"/>
  <c r="L8" i="177"/>
  <c r="I8" i="177"/>
  <c r="L7" i="177"/>
  <c r="I7" i="177"/>
  <c r="L6" i="177"/>
  <c r="I6" i="177"/>
  <c r="L5" i="177"/>
  <c r="I5" i="177"/>
  <c r="I4" i="177"/>
  <c r="H4" i="177"/>
  <c r="G4" i="177"/>
  <c r="F4" i="177"/>
  <c r="H51" i="161"/>
  <c r="H47" i="161"/>
  <c r="H45" i="161"/>
  <c r="H44" i="161"/>
  <c r="H43" i="161"/>
  <c r="H42" i="161"/>
  <c r="H41" i="161"/>
  <c r="G41" i="161"/>
  <c r="F41" i="161"/>
  <c r="E41" i="161"/>
  <c r="C38" i="161"/>
  <c r="D29" i="161" s="1"/>
  <c r="K4" i="161" s="1"/>
  <c r="D27" i="161"/>
  <c r="I26" i="161"/>
  <c r="I25" i="161"/>
  <c r="J25" i="161"/>
  <c r="I24" i="161"/>
  <c r="I23" i="161"/>
  <c r="I22" i="161"/>
  <c r="J22" i="161"/>
  <c r="I21" i="161"/>
  <c r="G21" i="161"/>
  <c r="I20" i="161"/>
  <c r="J20" i="161"/>
  <c r="I19" i="161"/>
  <c r="I18" i="161"/>
  <c r="J18" i="161"/>
  <c r="I17" i="161"/>
  <c r="G17" i="161"/>
  <c r="I16" i="161"/>
  <c r="I15" i="161"/>
  <c r="I14" i="161"/>
  <c r="G14" i="161"/>
  <c r="I13" i="161"/>
  <c r="J13" i="161"/>
  <c r="I12" i="161"/>
  <c r="I10" i="161"/>
  <c r="J10" i="161"/>
  <c r="I8" i="161"/>
  <c r="G8" i="161"/>
  <c r="I7" i="161"/>
  <c r="I6" i="161"/>
  <c r="I5" i="161"/>
  <c r="I4" i="161"/>
  <c r="H4" i="161"/>
  <c r="G4" i="161"/>
  <c r="F4" i="161"/>
  <c r="H53" i="149"/>
  <c r="H51" i="149"/>
  <c r="H49" i="149"/>
  <c r="H47" i="149"/>
  <c r="F47" i="149"/>
  <c r="H46" i="149"/>
  <c r="F46" i="149"/>
  <c r="H45" i="149"/>
  <c r="F45" i="149"/>
  <c r="H44" i="149"/>
  <c r="F44" i="149"/>
  <c r="H43" i="149"/>
  <c r="G43" i="149"/>
  <c r="F43" i="149"/>
  <c r="E43" i="149"/>
  <c r="C40" i="149"/>
  <c r="D31" i="149" s="1"/>
  <c r="K4" i="149" s="1"/>
  <c r="K6" i="149" s="1"/>
  <c r="E29" i="149"/>
  <c r="D29" i="149"/>
  <c r="L28" i="149"/>
  <c r="I28" i="149"/>
  <c r="L27" i="149"/>
  <c r="I27" i="149"/>
  <c r="L26" i="149"/>
  <c r="I26" i="149"/>
  <c r="L25" i="149"/>
  <c r="I25" i="149"/>
  <c r="L24" i="149"/>
  <c r="I24" i="149"/>
  <c r="L23" i="149"/>
  <c r="I23" i="149"/>
  <c r="L22" i="149"/>
  <c r="I22" i="149"/>
  <c r="L21" i="149"/>
  <c r="I21" i="149"/>
  <c r="L20" i="149"/>
  <c r="I20" i="149"/>
  <c r="L19" i="149"/>
  <c r="I19" i="149"/>
  <c r="L18" i="149"/>
  <c r="I18" i="149"/>
  <c r="L17" i="149"/>
  <c r="I17" i="149"/>
  <c r="L16" i="149"/>
  <c r="I16" i="149"/>
  <c r="L15" i="149"/>
  <c r="I15" i="149"/>
  <c r="L14" i="149"/>
  <c r="I14" i="149"/>
  <c r="L13" i="149"/>
  <c r="I13" i="149"/>
  <c r="L12" i="149"/>
  <c r="I12" i="149"/>
  <c r="L11" i="149"/>
  <c r="I11" i="149"/>
  <c r="L10" i="149"/>
  <c r="I10" i="149"/>
  <c r="L8" i="149"/>
  <c r="I8" i="149"/>
  <c r="L7" i="149"/>
  <c r="M7" i="149" s="1"/>
  <c r="I7" i="149"/>
  <c r="L6" i="149"/>
  <c r="I6" i="149"/>
  <c r="L5" i="149"/>
  <c r="I5" i="149"/>
  <c r="G5" i="149"/>
  <c r="I4" i="149"/>
  <c r="H4" i="149"/>
  <c r="G4" i="149"/>
  <c r="F4" i="149"/>
  <c r="H54" i="143"/>
  <c r="H52" i="143"/>
  <c r="H50" i="143"/>
  <c r="J48" i="143"/>
  <c r="H48" i="143"/>
  <c r="F48" i="143"/>
  <c r="J47" i="143"/>
  <c r="H47" i="143"/>
  <c r="F47" i="143"/>
  <c r="H46" i="143"/>
  <c r="F46" i="143"/>
  <c r="J45" i="143"/>
  <c r="H45" i="143"/>
  <c r="F45" i="143"/>
  <c r="H44" i="143"/>
  <c r="G44" i="143"/>
  <c r="F44" i="143"/>
  <c r="E44" i="143"/>
  <c r="C41" i="143"/>
  <c r="D32" i="143" s="1"/>
  <c r="K4" i="143" s="1"/>
  <c r="K10" i="143" s="1"/>
  <c r="D30" i="143"/>
  <c r="J29" i="143"/>
  <c r="G27" i="143"/>
  <c r="G26" i="143"/>
  <c r="J25" i="143"/>
  <c r="G24" i="143"/>
  <c r="G23" i="143"/>
  <c r="J21" i="143"/>
  <c r="G20" i="143"/>
  <c r="J16" i="143"/>
  <c r="G15" i="143"/>
  <c r="J14" i="143"/>
  <c r="J13" i="143"/>
  <c r="G11" i="143"/>
  <c r="G6" i="143"/>
  <c r="G5" i="143"/>
  <c r="I4" i="143"/>
  <c r="H4" i="143"/>
  <c r="G4" i="143"/>
  <c r="F4" i="143"/>
  <c r="I103" i="67"/>
  <c r="I101" i="67"/>
  <c r="K97" i="67"/>
  <c r="I97" i="67"/>
  <c r="G97" i="67"/>
  <c r="K96" i="67"/>
  <c r="I96" i="67"/>
  <c r="G96" i="67"/>
  <c r="K95" i="67"/>
  <c r="I95" i="67"/>
  <c r="G95" i="67"/>
  <c r="K94" i="67"/>
  <c r="I94" i="67"/>
  <c r="G94" i="67"/>
  <c r="K93" i="67"/>
  <c r="I93" i="67"/>
  <c r="G93" i="67"/>
  <c r="I92" i="67"/>
  <c r="H92" i="67"/>
  <c r="G92" i="67"/>
  <c r="F92" i="67"/>
  <c r="D89" i="67"/>
  <c r="E80" i="67" s="1"/>
  <c r="L56" i="67" s="1"/>
  <c r="E77" i="67"/>
  <c r="J75" i="67"/>
  <c r="J74" i="67"/>
  <c r="J73" i="67"/>
  <c r="J72" i="67"/>
  <c r="J71" i="67"/>
  <c r="J70" i="67"/>
  <c r="J69" i="67"/>
  <c r="J68" i="67"/>
  <c r="J67" i="67"/>
  <c r="J66" i="67"/>
  <c r="J65" i="67"/>
  <c r="K65" i="67"/>
  <c r="J64" i="67"/>
  <c r="J63" i="67"/>
  <c r="J62" i="67"/>
  <c r="J61" i="67"/>
  <c r="J60" i="67"/>
  <c r="J59" i="67"/>
  <c r="J58" i="67"/>
  <c r="J57" i="67"/>
  <c r="H57" i="67"/>
  <c r="J56" i="67"/>
  <c r="I56" i="67"/>
  <c r="H56" i="67"/>
  <c r="G56" i="67"/>
  <c r="E50" i="67"/>
  <c r="F44" i="67" s="1"/>
  <c r="H48" i="67"/>
  <c r="H47" i="67"/>
  <c r="H46" i="67"/>
  <c r="H45" i="67"/>
  <c r="H44" i="67"/>
  <c r="H43" i="67"/>
  <c r="H42" i="67"/>
  <c r="H41" i="67"/>
  <c r="F41" i="67"/>
  <c r="H40" i="67"/>
  <c r="H39" i="67"/>
  <c r="H38" i="67"/>
  <c r="H37" i="67"/>
  <c r="H36" i="67"/>
  <c r="H35" i="67"/>
  <c r="H34" i="67"/>
  <c r="H33" i="67"/>
  <c r="H32" i="67"/>
  <c r="H31" i="67"/>
  <c r="H30" i="67"/>
  <c r="E25" i="67"/>
  <c r="H23" i="67"/>
  <c r="H22" i="67"/>
  <c r="H21" i="67"/>
  <c r="H20" i="67"/>
  <c r="H19" i="67"/>
  <c r="H18" i="67"/>
  <c r="H17" i="67"/>
  <c r="H16" i="67"/>
  <c r="H15" i="67"/>
  <c r="H14" i="67"/>
  <c r="H13" i="67"/>
  <c r="H12" i="67"/>
  <c r="H11" i="67"/>
  <c r="H10" i="67"/>
  <c r="H9" i="67"/>
  <c r="H8" i="67"/>
  <c r="H7" i="67"/>
  <c r="H6" i="67"/>
  <c r="H5" i="67"/>
  <c r="I53" i="88"/>
  <c r="D50" i="88"/>
  <c r="I46" i="88"/>
  <c r="H46" i="88"/>
  <c r="F46" i="88"/>
  <c r="I45" i="88"/>
  <c r="H45" i="88"/>
  <c r="F45" i="88"/>
  <c r="I44" i="88"/>
  <c r="H44" i="88"/>
  <c r="F44" i="88"/>
  <c r="I43" i="88"/>
  <c r="H43" i="88"/>
  <c r="F43" i="88"/>
  <c r="I42" i="88"/>
  <c r="H42" i="88"/>
  <c r="F42" i="88"/>
  <c r="C38" i="88"/>
  <c r="I27" i="88"/>
  <c r="D27" i="88"/>
  <c r="E16" i="88" s="1"/>
  <c r="K16" i="88" s="1"/>
  <c r="I26" i="88"/>
  <c r="G25" i="88"/>
  <c r="G24" i="88"/>
  <c r="G23" i="88"/>
  <c r="G22" i="88"/>
  <c r="G21" i="88"/>
  <c r="E21" i="88"/>
  <c r="K21" i="88" s="1"/>
  <c r="G20" i="88"/>
  <c r="G19" i="88"/>
  <c r="G18" i="88"/>
  <c r="G17" i="88"/>
  <c r="G16" i="88"/>
  <c r="G15" i="88"/>
  <c r="G14" i="88"/>
  <c r="G13" i="88"/>
  <c r="G12" i="88"/>
  <c r="G11" i="88"/>
  <c r="E11" i="88"/>
  <c r="K11" i="88" s="1"/>
  <c r="G10" i="88"/>
  <c r="G9" i="88"/>
  <c r="G8" i="88"/>
  <c r="G7" i="88"/>
  <c r="G6" i="88"/>
  <c r="G5" i="88"/>
  <c r="E5" i="88"/>
  <c r="I51" i="48"/>
  <c r="D48" i="48"/>
  <c r="J44" i="48"/>
  <c r="I44" i="48"/>
  <c r="H44" i="48"/>
  <c r="F44" i="48"/>
  <c r="J43" i="48"/>
  <c r="I43" i="48"/>
  <c r="H43" i="48"/>
  <c r="F43" i="48"/>
  <c r="J42" i="48"/>
  <c r="I42" i="48"/>
  <c r="H42" i="48"/>
  <c r="F42" i="48"/>
  <c r="J41" i="48"/>
  <c r="I41" i="48"/>
  <c r="H41" i="48"/>
  <c r="F41" i="48"/>
  <c r="J40" i="48"/>
  <c r="I40" i="48"/>
  <c r="H40" i="48"/>
  <c r="F40" i="48"/>
  <c r="C36" i="48"/>
  <c r="D25" i="48"/>
  <c r="E22" i="48" s="1"/>
  <c r="K22" i="48" s="1"/>
  <c r="I24" i="48"/>
  <c r="J23" i="48"/>
  <c r="I23" i="48"/>
  <c r="G23" i="48"/>
  <c r="J22" i="48"/>
  <c r="I22" i="48"/>
  <c r="G22" i="48"/>
  <c r="J21" i="48"/>
  <c r="I21" i="48"/>
  <c r="G21" i="48"/>
  <c r="J20" i="48"/>
  <c r="I20" i="48"/>
  <c r="G20" i="48"/>
  <c r="J19" i="48"/>
  <c r="I19" i="48"/>
  <c r="G19" i="48"/>
  <c r="E19" i="48"/>
  <c r="K19" i="48" s="1"/>
  <c r="J18" i="48"/>
  <c r="I18" i="48"/>
  <c r="G18" i="48"/>
  <c r="J17" i="48"/>
  <c r="I17" i="48"/>
  <c r="G17" i="48"/>
  <c r="J16" i="48"/>
  <c r="I16" i="48"/>
  <c r="G16" i="48"/>
  <c r="J15" i="48"/>
  <c r="I15" i="48"/>
  <c r="G15" i="48"/>
  <c r="J14" i="48"/>
  <c r="I14" i="48"/>
  <c r="G14" i="48"/>
  <c r="J13" i="48"/>
  <c r="I13" i="48"/>
  <c r="G13" i="48"/>
  <c r="J12" i="48"/>
  <c r="I12" i="48"/>
  <c r="G12" i="48"/>
  <c r="J11" i="48"/>
  <c r="I11" i="48"/>
  <c r="G11" i="48"/>
  <c r="J10" i="48"/>
  <c r="I10" i="48"/>
  <c r="G10" i="48"/>
  <c r="J9" i="48"/>
  <c r="I9" i="48"/>
  <c r="G9" i="48"/>
  <c r="J8" i="48"/>
  <c r="I8" i="48"/>
  <c r="G8" i="48"/>
  <c r="J7" i="48"/>
  <c r="I7" i="48"/>
  <c r="G7" i="48"/>
  <c r="J6" i="48"/>
  <c r="I6" i="48"/>
  <c r="G6" i="48"/>
  <c r="E6" i="48"/>
  <c r="K6" i="48" s="1"/>
  <c r="J5" i="48"/>
  <c r="I5" i="48"/>
  <c r="G5" i="48"/>
  <c r="H29" i="46"/>
  <c r="H27" i="46"/>
  <c r="J26" i="46"/>
  <c r="J25" i="46"/>
  <c r="H24" i="46"/>
  <c r="G24" i="46"/>
  <c r="F24" i="46"/>
  <c r="E24" i="46"/>
  <c r="C21" i="46"/>
  <c r="I10" i="46"/>
  <c r="D10" i="46"/>
  <c r="E5" i="46" s="1"/>
  <c r="I9" i="46"/>
  <c r="E8" i="46"/>
  <c r="E7" i="46"/>
  <c r="E6" i="46"/>
  <c r="I4" i="46"/>
  <c r="H4" i="46"/>
  <c r="G4" i="46"/>
  <c r="F4" i="46"/>
  <c r="H51" i="57"/>
  <c r="D48" i="57"/>
  <c r="F43" i="57"/>
  <c r="F42" i="57"/>
  <c r="F41" i="57"/>
  <c r="F45" i="57" s="1"/>
  <c r="C36" i="57"/>
  <c r="D25" i="57"/>
  <c r="E23" i="57" s="1"/>
  <c r="G23" i="57"/>
  <c r="G22" i="57"/>
  <c r="G21" i="57"/>
  <c r="E21" i="57"/>
  <c r="G20" i="57"/>
  <c r="E20" i="57"/>
  <c r="G19" i="57"/>
  <c r="G18" i="57"/>
  <c r="G17" i="57"/>
  <c r="G16" i="57"/>
  <c r="G15" i="57"/>
  <c r="E15" i="57"/>
  <c r="G14" i="57"/>
  <c r="E14" i="57"/>
  <c r="G13" i="57"/>
  <c r="G12" i="57"/>
  <c r="G11" i="57"/>
  <c r="G10" i="57"/>
  <c r="G9" i="57"/>
  <c r="E9" i="57"/>
  <c r="G8" i="57"/>
  <c r="E8" i="57"/>
  <c r="G7" i="57"/>
  <c r="G6" i="57"/>
  <c r="G5" i="57"/>
  <c r="I76" i="47"/>
  <c r="D73" i="47"/>
  <c r="I68" i="47"/>
  <c r="H68" i="47"/>
  <c r="F68" i="47"/>
  <c r="I67" i="47"/>
  <c r="H67" i="47"/>
  <c r="F67" i="47"/>
  <c r="I66" i="47"/>
  <c r="H66" i="47"/>
  <c r="F66" i="47"/>
  <c r="I65" i="47"/>
  <c r="H65" i="47"/>
  <c r="F65" i="47"/>
  <c r="C61" i="47"/>
  <c r="D52" i="47"/>
  <c r="E44" i="47" s="1"/>
  <c r="I50" i="47"/>
  <c r="J50" i="47" s="1"/>
  <c r="G50" i="47"/>
  <c r="I49" i="47"/>
  <c r="G49" i="47"/>
  <c r="J49" i="47" s="1"/>
  <c r="I48" i="47"/>
  <c r="G48" i="47"/>
  <c r="J48" i="47" s="1"/>
  <c r="I47" i="47"/>
  <c r="G47" i="47"/>
  <c r="J47" i="47" s="1"/>
  <c r="I46" i="47"/>
  <c r="G46" i="47"/>
  <c r="J46" i="47" s="1"/>
  <c r="I45" i="47"/>
  <c r="G45" i="47"/>
  <c r="J45" i="47" s="1"/>
  <c r="I44" i="47"/>
  <c r="G44" i="47"/>
  <c r="J44" i="47" s="1"/>
  <c r="I43" i="47"/>
  <c r="G43" i="47"/>
  <c r="J43" i="47" s="1"/>
  <c r="I42" i="47"/>
  <c r="G42" i="47"/>
  <c r="I41" i="47"/>
  <c r="G41" i="47"/>
  <c r="I40" i="47"/>
  <c r="G40" i="47"/>
  <c r="J40" i="47" s="1"/>
  <c r="I39" i="47"/>
  <c r="G39" i="47"/>
  <c r="J39" i="47" s="1"/>
  <c r="I38" i="47"/>
  <c r="G38" i="47"/>
  <c r="J38" i="47" s="1"/>
  <c r="J37" i="47"/>
  <c r="I37" i="47"/>
  <c r="G37" i="47"/>
  <c r="I36" i="47"/>
  <c r="G36" i="47"/>
  <c r="J36" i="47" s="1"/>
  <c r="E36" i="47"/>
  <c r="J35" i="47"/>
  <c r="I35" i="47"/>
  <c r="G35" i="47"/>
  <c r="I34" i="47"/>
  <c r="G34" i="47"/>
  <c r="J34" i="47" s="1"/>
  <c r="I33" i="47"/>
  <c r="G33" i="47"/>
  <c r="J33" i="47" s="1"/>
  <c r="I32" i="47"/>
  <c r="G32" i="47"/>
  <c r="J32" i="47" s="1"/>
  <c r="E32" i="47"/>
  <c r="I31" i="47"/>
  <c r="G31" i="47"/>
  <c r="J31" i="47" s="1"/>
  <c r="D25" i="47"/>
  <c r="E17" i="47" s="1"/>
  <c r="J23" i="47"/>
  <c r="I23" i="47"/>
  <c r="G23" i="47"/>
  <c r="E23" i="47"/>
  <c r="J22" i="47"/>
  <c r="I22" i="47"/>
  <c r="G22" i="47"/>
  <c r="J21" i="47"/>
  <c r="I21" i="47"/>
  <c r="G21" i="47"/>
  <c r="J20" i="47"/>
  <c r="I20" i="47"/>
  <c r="G20" i="47"/>
  <c r="J19" i="47"/>
  <c r="I19" i="47"/>
  <c r="G19" i="47"/>
  <c r="J18" i="47"/>
  <c r="I18" i="47"/>
  <c r="G18" i="47"/>
  <c r="J17" i="47"/>
  <c r="I17" i="47"/>
  <c r="G17" i="47"/>
  <c r="J16" i="47"/>
  <c r="I16" i="47"/>
  <c r="G16" i="47"/>
  <c r="J15" i="47"/>
  <c r="I15" i="47"/>
  <c r="G15" i="47"/>
  <c r="E15" i="47"/>
  <c r="J14" i="47"/>
  <c r="I14" i="47"/>
  <c r="G14" i="47"/>
  <c r="J13" i="47"/>
  <c r="I13" i="47"/>
  <c r="G13" i="47"/>
  <c r="J12" i="47"/>
  <c r="I12" i="47"/>
  <c r="G12" i="47"/>
  <c r="E12" i="47"/>
  <c r="J11" i="47"/>
  <c r="I11" i="47"/>
  <c r="G11" i="47"/>
  <c r="J10" i="47"/>
  <c r="I10" i="47"/>
  <c r="G10" i="47"/>
  <c r="J9" i="47"/>
  <c r="I9" i="47"/>
  <c r="G9" i="47"/>
  <c r="E9" i="47"/>
  <c r="J8" i="47"/>
  <c r="I8" i="47"/>
  <c r="G8" i="47"/>
  <c r="J7" i="47"/>
  <c r="I7" i="47"/>
  <c r="G7" i="47"/>
  <c r="J6" i="47"/>
  <c r="I6" i="47"/>
  <c r="G6" i="47"/>
  <c r="E6" i="47"/>
  <c r="J5" i="47"/>
  <c r="I5" i="47"/>
  <c r="G5" i="47"/>
  <c r="E5" i="47"/>
  <c r="E63" i="45"/>
  <c r="C60" i="45"/>
  <c r="D51" i="45" s="1"/>
  <c r="K29" i="45" s="1"/>
  <c r="E48" i="45"/>
  <c r="D48" i="45"/>
  <c r="L47" i="45"/>
  <c r="L46" i="45"/>
  <c r="L45" i="45"/>
  <c r="L44" i="45"/>
  <c r="L43" i="45"/>
  <c r="L42" i="45"/>
  <c r="L41" i="45"/>
  <c r="L40" i="45"/>
  <c r="M40" i="45" s="1"/>
  <c r="L39" i="45"/>
  <c r="L38" i="45"/>
  <c r="L37" i="45"/>
  <c r="L36" i="45"/>
  <c r="L35" i="45"/>
  <c r="L34" i="45"/>
  <c r="L33" i="45"/>
  <c r="L32" i="45"/>
  <c r="L31" i="45"/>
  <c r="L30" i="45"/>
  <c r="D25" i="45"/>
  <c r="E19" i="45" s="1"/>
  <c r="I74" i="101"/>
  <c r="D71" i="101"/>
  <c r="H67" i="101"/>
  <c r="F67" i="101"/>
  <c r="I67" i="101" s="1"/>
  <c r="I66" i="101"/>
  <c r="F66" i="101"/>
  <c r="I65" i="101"/>
  <c r="F65" i="101"/>
  <c r="I64" i="101"/>
  <c r="F64" i="101"/>
  <c r="I63" i="101"/>
  <c r="F63" i="101"/>
  <c r="C59" i="101"/>
  <c r="D47" i="101"/>
  <c r="I45" i="101"/>
  <c r="J45" i="101" s="1"/>
  <c r="G45" i="101"/>
  <c r="I44" i="101"/>
  <c r="G44" i="101"/>
  <c r="I43" i="101"/>
  <c r="G43" i="101"/>
  <c r="J43" i="101" s="1"/>
  <c r="I42" i="101"/>
  <c r="J42" i="101" s="1"/>
  <c r="G42" i="101"/>
  <c r="I41" i="101"/>
  <c r="G41" i="101"/>
  <c r="J41" i="101" s="1"/>
  <c r="I40" i="101"/>
  <c r="G40" i="101"/>
  <c r="J40" i="101" s="1"/>
  <c r="I39" i="101"/>
  <c r="G39" i="101"/>
  <c r="J39" i="101" s="1"/>
  <c r="I38" i="101"/>
  <c r="G38" i="101"/>
  <c r="J38" i="101" s="1"/>
  <c r="J37" i="101"/>
  <c r="I37" i="101"/>
  <c r="G37" i="101"/>
  <c r="I36" i="101"/>
  <c r="G36" i="101"/>
  <c r="J36" i="101" s="1"/>
  <c r="I35" i="101"/>
  <c r="J35" i="101" s="1"/>
  <c r="G35" i="101"/>
  <c r="I34" i="101"/>
  <c r="G34" i="101"/>
  <c r="J34" i="101" s="1"/>
  <c r="I33" i="101"/>
  <c r="G33" i="101"/>
  <c r="J33" i="101" s="1"/>
  <c r="I32" i="101"/>
  <c r="G32" i="101"/>
  <c r="E32" i="101"/>
  <c r="K32" i="101" s="1"/>
  <c r="L32" i="101" s="1"/>
  <c r="I31" i="101"/>
  <c r="G31" i="101"/>
  <c r="J31" i="101" s="1"/>
  <c r="I30" i="101"/>
  <c r="G30" i="101"/>
  <c r="J30" i="101" s="1"/>
  <c r="I29" i="101"/>
  <c r="G29" i="101"/>
  <c r="J29" i="101" s="1"/>
  <c r="D24" i="101"/>
  <c r="J22" i="101"/>
  <c r="I22" i="101"/>
  <c r="G22" i="101"/>
  <c r="J21" i="101"/>
  <c r="I21" i="101"/>
  <c r="G21" i="101"/>
  <c r="J20" i="101"/>
  <c r="I20" i="101"/>
  <c r="G20" i="101"/>
  <c r="J19" i="101"/>
  <c r="I19" i="101"/>
  <c r="G19" i="101"/>
  <c r="J18" i="101"/>
  <c r="I18" i="101"/>
  <c r="G18" i="101"/>
  <c r="J17" i="101"/>
  <c r="I17" i="101"/>
  <c r="G17" i="101"/>
  <c r="J16" i="101"/>
  <c r="I16" i="101"/>
  <c r="G16" i="101"/>
  <c r="J15" i="101"/>
  <c r="I15" i="101"/>
  <c r="G15" i="101"/>
  <c r="J14" i="101"/>
  <c r="I14" i="101"/>
  <c r="G14" i="101"/>
  <c r="J13" i="101"/>
  <c r="I13" i="101"/>
  <c r="G13" i="101"/>
  <c r="J12" i="101"/>
  <c r="I12" i="101"/>
  <c r="G12" i="101"/>
  <c r="J11" i="101"/>
  <c r="I11" i="101"/>
  <c r="G11" i="101"/>
  <c r="J10" i="101"/>
  <c r="I10" i="101"/>
  <c r="G10" i="101"/>
  <c r="J9" i="101"/>
  <c r="I9" i="101"/>
  <c r="G9" i="101"/>
  <c r="J8" i="101"/>
  <c r="I8" i="101"/>
  <c r="G8" i="101"/>
  <c r="G24" i="101" s="1"/>
  <c r="J7" i="101"/>
  <c r="I7" i="101"/>
  <c r="I24" i="101" s="1"/>
  <c r="G7" i="101"/>
  <c r="J6" i="101"/>
  <c r="I6" i="101"/>
  <c r="G6" i="101"/>
  <c r="I75" i="43"/>
  <c r="D72" i="43"/>
  <c r="H68" i="43"/>
  <c r="J67" i="43"/>
  <c r="I67" i="43"/>
  <c r="F67" i="43"/>
  <c r="J66" i="43"/>
  <c r="I66" i="43"/>
  <c r="F66" i="43"/>
  <c r="J65" i="43"/>
  <c r="I65" i="43"/>
  <c r="F65" i="43"/>
  <c r="J64" i="43"/>
  <c r="I64" i="43"/>
  <c r="F64" i="43"/>
  <c r="C60" i="43"/>
  <c r="D48" i="43"/>
  <c r="I46" i="43"/>
  <c r="G46" i="43"/>
  <c r="J46" i="43" s="1"/>
  <c r="I45" i="43"/>
  <c r="G45" i="43"/>
  <c r="J45" i="43" s="1"/>
  <c r="I44" i="43"/>
  <c r="G44" i="43"/>
  <c r="J44" i="43" s="1"/>
  <c r="J43" i="43"/>
  <c r="I43" i="43"/>
  <c r="G43" i="43"/>
  <c r="I42" i="43"/>
  <c r="G42" i="43"/>
  <c r="J42" i="43" s="1"/>
  <c r="I41" i="43"/>
  <c r="G41" i="43"/>
  <c r="I40" i="43"/>
  <c r="G40" i="43"/>
  <c r="G39" i="43"/>
  <c r="I38" i="43"/>
  <c r="G38" i="43"/>
  <c r="J38" i="43" s="1"/>
  <c r="I37" i="43"/>
  <c r="G37" i="43"/>
  <c r="J37" i="43" s="1"/>
  <c r="I36" i="43"/>
  <c r="G36" i="43"/>
  <c r="J36" i="43" s="1"/>
  <c r="I35" i="43"/>
  <c r="G35" i="43"/>
  <c r="I34" i="43"/>
  <c r="G34" i="43"/>
  <c r="I33" i="43"/>
  <c r="G33" i="43"/>
  <c r="J33" i="43" s="1"/>
  <c r="I32" i="43"/>
  <c r="G32" i="43"/>
  <c r="I31" i="43"/>
  <c r="G31" i="43"/>
  <c r="J31" i="43" s="1"/>
  <c r="I30" i="43"/>
  <c r="G30" i="43"/>
  <c r="J30" i="43" s="1"/>
  <c r="I29" i="43"/>
  <c r="G29" i="43"/>
  <c r="D24" i="43"/>
  <c r="E22" i="43" s="1"/>
  <c r="J22" i="43"/>
  <c r="I22" i="43"/>
  <c r="G22" i="43"/>
  <c r="J21" i="43"/>
  <c r="I21" i="43"/>
  <c r="G21" i="43"/>
  <c r="E21" i="43"/>
  <c r="J20" i="43"/>
  <c r="I20" i="43"/>
  <c r="G20" i="43"/>
  <c r="E20" i="43"/>
  <c r="J19" i="43"/>
  <c r="I19" i="43"/>
  <c r="G19" i="43"/>
  <c r="J18" i="43"/>
  <c r="I18" i="43"/>
  <c r="G18" i="43"/>
  <c r="E18" i="43"/>
  <c r="J17" i="43"/>
  <c r="I17" i="43"/>
  <c r="G17" i="43"/>
  <c r="E17" i="43"/>
  <c r="J16" i="43"/>
  <c r="I16" i="43"/>
  <c r="G16" i="43"/>
  <c r="E16" i="43"/>
  <c r="J15" i="43"/>
  <c r="I15" i="43"/>
  <c r="G15" i="43"/>
  <c r="E15" i="43"/>
  <c r="J14" i="43"/>
  <c r="I14" i="43"/>
  <c r="G14" i="43"/>
  <c r="E14" i="43"/>
  <c r="J13" i="43"/>
  <c r="I13" i="43"/>
  <c r="G13" i="43"/>
  <c r="E13" i="43"/>
  <c r="J12" i="43"/>
  <c r="I12" i="43"/>
  <c r="G12" i="43"/>
  <c r="E12" i="43"/>
  <c r="J11" i="43"/>
  <c r="I11" i="43"/>
  <c r="G11" i="43"/>
  <c r="E11" i="43"/>
  <c r="J10" i="43"/>
  <c r="I10" i="43"/>
  <c r="G10" i="43"/>
  <c r="E10" i="43"/>
  <c r="J9" i="43"/>
  <c r="I9" i="43"/>
  <c r="G9" i="43"/>
  <c r="E9" i="43"/>
  <c r="J8" i="43"/>
  <c r="I8" i="43"/>
  <c r="G8" i="43"/>
  <c r="E8" i="43"/>
  <c r="J7" i="43"/>
  <c r="I7" i="43"/>
  <c r="G7" i="43"/>
  <c r="E7" i="43"/>
  <c r="J6" i="43"/>
  <c r="I6" i="43"/>
  <c r="G6" i="43"/>
  <c r="G24" i="43" s="1"/>
  <c r="E6" i="43"/>
  <c r="J45" i="44"/>
  <c r="I45" i="44"/>
  <c r="H42" i="44"/>
  <c r="H40" i="44"/>
  <c r="J37" i="44"/>
  <c r="H37" i="44"/>
  <c r="F37" i="44"/>
  <c r="J36" i="44"/>
  <c r="H36" i="44"/>
  <c r="F36" i="44"/>
  <c r="H35" i="44"/>
  <c r="G35" i="44"/>
  <c r="F35" i="44"/>
  <c r="E35" i="44"/>
  <c r="C32" i="44"/>
  <c r="D23" i="44" s="1"/>
  <c r="K4" i="44" s="1"/>
  <c r="D21" i="44"/>
  <c r="J20" i="44"/>
  <c r="J18" i="44"/>
  <c r="J13" i="44"/>
  <c r="J10" i="44"/>
  <c r="J9" i="44"/>
  <c r="G8" i="44"/>
  <c r="J7" i="44"/>
  <c r="I5" i="44"/>
  <c r="G5" i="44"/>
  <c r="I4" i="44"/>
  <c r="H4" i="44"/>
  <c r="G4" i="44"/>
  <c r="F4" i="44"/>
  <c r="H80" i="108"/>
  <c r="H78" i="108"/>
  <c r="H76" i="108"/>
  <c r="J73" i="108"/>
  <c r="H73" i="108"/>
  <c r="F73" i="108"/>
  <c r="J72" i="108"/>
  <c r="H72" i="108"/>
  <c r="I72" i="108"/>
  <c r="J71" i="108"/>
  <c r="H71" i="108"/>
  <c r="J70" i="108"/>
  <c r="H70" i="108"/>
  <c r="F70" i="108"/>
  <c r="H69" i="108"/>
  <c r="G69" i="108"/>
  <c r="F69" i="108"/>
  <c r="E69" i="108"/>
  <c r="D53" i="108"/>
  <c r="E45" i="108" s="1"/>
  <c r="K45" i="108" s="1"/>
  <c r="J51" i="108"/>
  <c r="I51" i="108"/>
  <c r="G51" i="108"/>
  <c r="J50" i="108"/>
  <c r="I50" i="108"/>
  <c r="G50" i="108"/>
  <c r="J49" i="108"/>
  <c r="I49" i="108"/>
  <c r="G49" i="108"/>
  <c r="J48" i="108"/>
  <c r="I48" i="108"/>
  <c r="G48" i="108"/>
  <c r="J47" i="108"/>
  <c r="I47" i="108"/>
  <c r="G47" i="108"/>
  <c r="J46" i="108"/>
  <c r="I46" i="108"/>
  <c r="G46" i="108"/>
  <c r="J45" i="108"/>
  <c r="I45" i="108"/>
  <c r="G45" i="108"/>
  <c r="J44" i="108"/>
  <c r="I44" i="108"/>
  <c r="G44" i="108"/>
  <c r="J43" i="108"/>
  <c r="I43" i="108"/>
  <c r="G43" i="108"/>
  <c r="J42" i="108"/>
  <c r="I42" i="108"/>
  <c r="G42" i="108"/>
  <c r="J41" i="108"/>
  <c r="I41" i="108"/>
  <c r="G41" i="108"/>
  <c r="J40" i="108"/>
  <c r="I40" i="108"/>
  <c r="G40" i="108"/>
  <c r="J39" i="108"/>
  <c r="I39" i="108"/>
  <c r="G39" i="108"/>
  <c r="J38" i="108"/>
  <c r="I38" i="108"/>
  <c r="G38" i="108"/>
  <c r="J37" i="108"/>
  <c r="I37" i="108"/>
  <c r="G37" i="108"/>
  <c r="J36" i="108"/>
  <c r="I36" i="108"/>
  <c r="G36" i="108"/>
  <c r="J35" i="108"/>
  <c r="I35" i="108"/>
  <c r="G35" i="108"/>
  <c r="J27" i="108"/>
  <c r="J26" i="108"/>
  <c r="J22" i="108"/>
  <c r="J20" i="108"/>
  <c r="J19" i="108"/>
  <c r="J16" i="108"/>
  <c r="J15" i="108"/>
  <c r="J14" i="108"/>
  <c r="J13" i="108"/>
  <c r="J12" i="108"/>
  <c r="J7" i="108"/>
  <c r="J6" i="108"/>
  <c r="I5" i="108"/>
  <c r="H5" i="108"/>
  <c r="G5" i="108"/>
  <c r="F5" i="108"/>
  <c r="K47" i="40"/>
  <c r="I47" i="40"/>
  <c r="H44" i="40"/>
  <c r="H42" i="40"/>
  <c r="J39" i="40"/>
  <c r="H39" i="40"/>
  <c r="I39" i="40"/>
  <c r="J38" i="40"/>
  <c r="H38" i="40"/>
  <c r="F38" i="40"/>
  <c r="H37" i="40"/>
  <c r="G37" i="40"/>
  <c r="F37" i="40"/>
  <c r="E37" i="40"/>
  <c r="C34" i="40"/>
  <c r="D25" i="40"/>
  <c r="K4" i="40" s="1"/>
  <c r="K22" i="40" s="1"/>
  <c r="E23" i="40"/>
  <c r="D23" i="40"/>
  <c r="I22" i="40"/>
  <c r="I21" i="40"/>
  <c r="G21" i="40"/>
  <c r="I20" i="40"/>
  <c r="G20" i="40"/>
  <c r="I19" i="40"/>
  <c r="G19" i="40"/>
  <c r="I18" i="40"/>
  <c r="G18" i="40"/>
  <c r="I17" i="40"/>
  <c r="I16" i="40"/>
  <c r="G16" i="40"/>
  <c r="I15" i="40"/>
  <c r="I14" i="40"/>
  <c r="J14" i="40"/>
  <c r="I13" i="40"/>
  <c r="J13" i="40"/>
  <c r="I12" i="40"/>
  <c r="G12" i="40"/>
  <c r="I11" i="40"/>
  <c r="G11" i="40"/>
  <c r="I10" i="40"/>
  <c r="J10" i="40"/>
  <c r="I9" i="40"/>
  <c r="G9" i="40"/>
  <c r="I8" i="40"/>
  <c r="G8" i="40"/>
  <c r="I7" i="40"/>
  <c r="G7" i="40"/>
  <c r="I6" i="40"/>
  <c r="G6" i="40"/>
  <c r="I5" i="40"/>
  <c r="J5" i="40"/>
  <c r="I4" i="40"/>
  <c r="H4" i="40"/>
  <c r="G4" i="40"/>
  <c r="F4" i="40"/>
  <c r="H49" i="42"/>
  <c r="H47" i="42"/>
  <c r="H45" i="42"/>
  <c r="J42" i="42"/>
  <c r="H42" i="42"/>
  <c r="I42" i="42"/>
  <c r="J41" i="42"/>
  <c r="H41" i="42"/>
  <c r="J40" i="42"/>
  <c r="H40" i="42"/>
  <c r="H39" i="42"/>
  <c r="G39" i="42"/>
  <c r="F39" i="42"/>
  <c r="E39" i="42"/>
  <c r="C36" i="42"/>
  <c r="D27" i="42" s="1"/>
  <c r="K4" i="42" s="1"/>
  <c r="K12" i="42" s="1"/>
  <c r="E24" i="42"/>
  <c r="D24" i="42"/>
  <c r="I23" i="42"/>
  <c r="J23" i="42"/>
  <c r="I22" i="42"/>
  <c r="G22" i="42"/>
  <c r="I21" i="42"/>
  <c r="J21" i="42"/>
  <c r="I20" i="42"/>
  <c r="J20" i="42"/>
  <c r="I19" i="42"/>
  <c r="G19" i="42"/>
  <c r="I18" i="42"/>
  <c r="J18" i="42"/>
  <c r="I17" i="42"/>
  <c r="G17" i="42"/>
  <c r="I16" i="42"/>
  <c r="J16" i="42"/>
  <c r="I15" i="42"/>
  <c r="J15" i="42"/>
  <c r="I14" i="42"/>
  <c r="G14" i="42"/>
  <c r="I13" i="42"/>
  <c r="J13" i="42"/>
  <c r="I12" i="42"/>
  <c r="G12" i="42"/>
  <c r="I11" i="42"/>
  <c r="J11" i="42"/>
  <c r="I10" i="42"/>
  <c r="J10" i="42"/>
  <c r="I9" i="42"/>
  <c r="G9" i="42"/>
  <c r="I8" i="42"/>
  <c r="G8" i="42"/>
  <c r="I7" i="42"/>
  <c r="G7" i="42"/>
  <c r="I6" i="42"/>
  <c r="J6" i="42"/>
  <c r="I5" i="42"/>
  <c r="G5" i="42"/>
  <c r="I4" i="42"/>
  <c r="H4" i="42"/>
  <c r="G4" i="42"/>
  <c r="F4" i="42"/>
  <c r="H56" i="168"/>
  <c r="H54" i="168"/>
  <c r="H52" i="168"/>
  <c r="J50" i="168"/>
  <c r="F50" i="168"/>
  <c r="J48" i="168"/>
  <c r="I48" i="168"/>
  <c r="J47" i="168"/>
  <c r="I47" i="168"/>
  <c r="J46" i="168"/>
  <c r="I46" i="168"/>
  <c r="J45" i="168"/>
  <c r="H45" i="168"/>
  <c r="I45" i="168"/>
  <c r="H44" i="168"/>
  <c r="G44" i="168"/>
  <c r="F44" i="168"/>
  <c r="E44" i="168"/>
  <c r="C41" i="168"/>
  <c r="D32" i="168"/>
  <c r="K4" i="168" s="1"/>
  <c r="K29" i="168" s="1"/>
  <c r="E30" i="168"/>
  <c r="D30" i="168"/>
  <c r="I28" i="168"/>
  <c r="J28" i="168"/>
  <c r="I27" i="168"/>
  <c r="G27" i="168"/>
  <c r="I26" i="168"/>
  <c r="J26" i="168"/>
  <c r="I25" i="168"/>
  <c r="G25" i="168"/>
  <c r="I24" i="168"/>
  <c r="I23" i="168"/>
  <c r="G23" i="168"/>
  <c r="I22" i="168"/>
  <c r="J22" i="168"/>
  <c r="I21" i="168"/>
  <c r="J21" i="168"/>
  <c r="I20" i="168"/>
  <c r="J20" i="168"/>
  <c r="I19" i="168"/>
  <c r="J19" i="168"/>
  <c r="I18" i="168"/>
  <c r="G18" i="168"/>
  <c r="I17" i="168"/>
  <c r="G17" i="168"/>
  <c r="I16" i="168"/>
  <c r="J16" i="168"/>
  <c r="I15" i="168"/>
  <c r="G15" i="168"/>
  <c r="I14" i="168"/>
  <c r="I13" i="168"/>
  <c r="I12" i="168"/>
  <c r="J12" i="168"/>
  <c r="I11" i="168"/>
  <c r="I10" i="168"/>
  <c r="J10" i="168"/>
  <c r="I9" i="168"/>
  <c r="G9" i="168"/>
  <c r="I8" i="168"/>
  <c r="J8" i="168"/>
  <c r="I7" i="168"/>
  <c r="I6" i="168"/>
  <c r="G6" i="168"/>
  <c r="I5" i="168"/>
  <c r="I4" i="168"/>
  <c r="H4" i="168"/>
  <c r="G4" i="168"/>
  <c r="F4" i="168"/>
  <c r="H57" i="138"/>
  <c r="H55" i="138"/>
  <c r="H53" i="138"/>
  <c r="H52" i="138"/>
  <c r="J51" i="138"/>
  <c r="F51" i="138"/>
  <c r="J49" i="138"/>
  <c r="I49" i="138"/>
  <c r="J48" i="138"/>
  <c r="F48" i="138"/>
  <c r="J47" i="138"/>
  <c r="I47" i="138"/>
  <c r="J46" i="138"/>
  <c r="I46" i="138"/>
  <c r="H45" i="138"/>
  <c r="G45" i="138"/>
  <c r="F45" i="138"/>
  <c r="E45" i="138"/>
  <c r="C42" i="138"/>
  <c r="D33" i="138" s="1"/>
  <c r="K4" i="138" s="1"/>
  <c r="E31" i="138"/>
  <c r="D31" i="138"/>
  <c r="I29" i="138"/>
  <c r="J29" i="138"/>
  <c r="I28" i="138"/>
  <c r="I27" i="138"/>
  <c r="J27" i="138"/>
  <c r="I26" i="138"/>
  <c r="I25" i="138"/>
  <c r="J25" i="138"/>
  <c r="I24" i="138"/>
  <c r="I23" i="138"/>
  <c r="J23" i="138"/>
  <c r="I22" i="138"/>
  <c r="J22" i="138"/>
  <c r="I21" i="138"/>
  <c r="J21" i="138"/>
  <c r="I20" i="138"/>
  <c r="J20" i="138"/>
  <c r="I19" i="138"/>
  <c r="I18" i="138"/>
  <c r="I17" i="138"/>
  <c r="J17" i="138"/>
  <c r="I16" i="138"/>
  <c r="I14" i="138"/>
  <c r="J14" i="138"/>
  <c r="I13" i="138"/>
  <c r="I12" i="138"/>
  <c r="J12" i="138"/>
  <c r="I11" i="138"/>
  <c r="J11" i="138"/>
  <c r="I10" i="138"/>
  <c r="J10" i="138"/>
  <c r="I9" i="138"/>
  <c r="I8" i="138"/>
  <c r="I7" i="138"/>
  <c r="J7" i="138"/>
  <c r="I6" i="138"/>
  <c r="J6" i="138"/>
  <c r="I5" i="138"/>
  <c r="J5" i="138"/>
  <c r="I4" i="138"/>
  <c r="H4" i="138"/>
  <c r="G4" i="138"/>
  <c r="F4" i="138"/>
  <c r="H57" i="52"/>
  <c r="H55" i="52"/>
  <c r="H53" i="52"/>
  <c r="H52" i="52"/>
  <c r="J51" i="52"/>
  <c r="I51" i="52"/>
  <c r="J49" i="52"/>
  <c r="I49" i="52"/>
  <c r="J48" i="52"/>
  <c r="I48" i="52"/>
  <c r="J47" i="52"/>
  <c r="I47" i="52"/>
  <c r="J46" i="52"/>
  <c r="I46" i="52"/>
  <c r="H45" i="52"/>
  <c r="G45" i="52"/>
  <c r="F45" i="52"/>
  <c r="E45" i="52"/>
  <c r="C42" i="52"/>
  <c r="D33" i="52" s="1"/>
  <c r="K4" i="52" s="1"/>
  <c r="E31" i="52"/>
  <c r="D31" i="52"/>
  <c r="I29" i="52"/>
  <c r="J29" i="52"/>
  <c r="I28" i="52"/>
  <c r="J28" i="52"/>
  <c r="I27" i="52"/>
  <c r="I26" i="52"/>
  <c r="J26" i="52"/>
  <c r="I25" i="52"/>
  <c r="I24" i="52"/>
  <c r="I23" i="52"/>
  <c r="J23" i="52"/>
  <c r="I22" i="52"/>
  <c r="J22" i="52"/>
  <c r="I21" i="52"/>
  <c r="J21" i="52"/>
  <c r="I20" i="52"/>
  <c r="J20" i="52"/>
  <c r="I19" i="52"/>
  <c r="J19" i="52"/>
  <c r="I18" i="52"/>
  <c r="J18" i="52"/>
  <c r="I17" i="52"/>
  <c r="J17" i="52"/>
  <c r="I16" i="52"/>
  <c r="J16" i="52"/>
  <c r="I14" i="52"/>
  <c r="I13" i="52"/>
  <c r="I12" i="52"/>
  <c r="J12" i="52"/>
  <c r="I11" i="52"/>
  <c r="J11" i="52"/>
  <c r="I10" i="52"/>
  <c r="J10" i="52"/>
  <c r="I9" i="52"/>
  <c r="J9" i="52"/>
  <c r="I8" i="52"/>
  <c r="I7" i="52"/>
  <c r="J7" i="52"/>
  <c r="I6" i="52"/>
  <c r="J6" i="52"/>
  <c r="I5" i="52"/>
  <c r="G5" i="52"/>
  <c r="I4" i="52"/>
  <c r="H4" i="52"/>
  <c r="G4" i="52"/>
  <c r="F4" i="52"/>
  <c r="K58" i="51"/>
  <c r="H57" i="51"/>
  <c r="I57" i="51" s="1"/>
  <c r="H55" i="51"/>
  <c r="H53" i="51"/>
  <c r="J50" i="51"/>
  <c r="H50" i="51"/>
  <c r="I50" i="51"/>
  <c r="J49" i="51"/>
  <c r="H49" i="51"/>
  <c r="J47" i="51"/>
  <c r="H47" i="51"/>
  <c r="I47" i="51"/>
  <c r="J46" i="51"/>
  <c r="H46" i="51"/>
  <c r="F46" i="51"/>
  <c r="H45" i="51"/>
  <c r="G45" i="51"/>
  <c r="F45" i="51"/>
  <c r="E45" i="51"/>
  <c r="C42" i="51"/>
  <c r="D33" i="51" s="1"/>
  <c r="K4" i="51" s="1"/>
  <c r="K30" i="51" s="1"/>
  <c r="E31" i="51"/>
  <c r="D31" i="51"/>
  <c r="L29" i="51"/>
  <c r="J29" i="51"/>
  <c r="L28" i="51"/>
  <c r="G28" i="51"/>
  <c r="L27" i="51"/>
  <c r="L26" i="51"/>
  <c r="J26" i="51"/>
  <c r="L25" i="51"/>
  <c r="J25" i="51"/>
  <c r="L24" i="51"/>
  <c r="J24" i="51"/>
  <c r="L23" i="51"/>
  <c r="L22" i="51"/>
  <c r="J22" i="51"/>
  <c r="L21" i="51"/>
  <c r="J21" i="51"/>
  <c r="L20" i="51"/>
  <c r="M20" i="51" s="1"/>
  <c r="L19" i="51"/>
  <c r="J19" i="51"/>
  <c r="L18" i="51"/>
  <c r="G18" i="51"/>
  <c r="L17" i="51"/>
  <c r="M17" i="51" s="1"/>
  <c r="L16" i="51"/>
  <c r="L14" i="51"/>
  <c r="J14" i="51"/>
  <c r="L13" i="51"/>
  <c r="G13" i="51"/>
  <c r="L12" i="51"/>
  <c r="J12" i="51"/>
  <c r="L11" i="51"/>
  <c r="J11" i="51"/>
  <c r="L10" i="51"/>
  <c r="L9" i="51"/>
  <c r="J9" i="51"/>
  <c r="L8" i="51"/>
  <c r="L7" i="51"/>
  <c r="J7" i="51"/>
  <c r="L6" i="51"/>
  <c r="L5" i="51"/>
  <c r="J5" i="51"/>
  <c r="I4" i="51"/>
  <c r="H4" i="51"/>
  <c r="G4" i="51"/>
  <c r="F4" i="51"/>
  <c r="H31" i="141"/>
  <c r="H27" i="141"/>
  <c r="H25" i="141"/>
  <c r="J24" i="141"/>
  <c r="H23" i="141"/>
  <c r="G23" i="141"/>
  <c r="F23" i="141"/>
  <c r="E23" i="141"/>
  <c r="C20" i="141"/>
  <c r="I9" i="141"/>
  <c r="D9" i="141"/>
  <c r="I4" i="141"/>
  <c r="H4" i="141"/>
  <c r="G4" i="141"/>
  <c r="F4" i="141"/>
  <c r="H32" i="142"/>
  <c r="H28" i="142"/>
  <c r="H26" i="142"/>
  <c r="J25" i="142"/>
  <c r="H24" i="142"/>
  <c r="G24" i="142"/>
  <c r="F24" i="142"/>
  <c r="E24" i="142"/>
  <c r="C21" i="142"/>
  <c r="I10" i="142"/>
  <c r="D10" i="142"/>
  <c r="G9" i="142"/>
  <c r="E8" i="142"/>
  <c r="I4" i="142"/>
  <c r="H4" i="142"/>
  <c r="G4" i="142"/>
  <c r="F4" i="142"/>
  <c r="F37" i="165"/>
  <c r="J35" i="165"/>
  <c r="H35" i="165"/>
  <c r="I35" i="165"/>
  <c r="J34" i="165"/>
  <c r="H34" i="165"/>
  <c r="I34" i="165"/>
  <c r="H33" i="165"/>
  <c r="G33" i="165"/>
  <c r="F33" i="165"/>
  <c r="E33" i="165"/>
  <c r="C30" i="165"/>
  <c r="D21" i="165" s="1"/>
  <c r="K4" i="165" s="1"/>
  <c r="K7" i="165" s="1"/>
  <c r="D19" i="165"/>
  <c r="I18" i="165"/>
  <c r="J18" i="165"/>
  <c r="I17" i="165"/>
  <c r="G17" i="165"/>
  <c r="I16" i="165"/>
  <c r="J16" i="165"/>
  <c r="I15" i="165"/>
  <c r="J15" i="165"/>
  <c r="I14" i="165"/>
  <c r="J14" i="165"/>
  <c r="I13" i="165"/>
  <c r="I12" i="165"/>
  <c r="J12" i="165"/>
  <c r="I11" i="165"/>
  <c r="I10" i="165"/>
  <c r="G10" i="165"/>
  <c r="I9" i="165"/>
  <c r="I8" i="165"/>
  <c r="J8" i="165"/>
  <c r="I6" i="165"/>
  <c r="G6" i="165"/>
  <c r="I5" i="165"/>
  <c r="I4" i="165"/>
  <c r="H4" i="165"/>
  <c r="G4" i="165"/>
  <c r="F4" i="165"/>
  <c r="H56" i="163"/>
  <c r="H52" i="163"/>
  <c r="H51" i="163"/>
  <c r="J50" i="163"/>
  <c r="I50" i="163"/>
  <c r="J49" i="163"/>
  <c r="F49" i="163"/>
  <c r="J47" i="163"/>
  <c r="I47" i="163"/>
  <c r="J46" i="163"/>
  <c r="F46" i="163"/>
  <c r="J45" i="163"/>
  <c r="I45" i="163"/>
  <c r="H44" i="163"/>
  <c r="G44" i="163"/>
  <c r="F44" i="163"/>
  <c r="E44" i="163"/>
  <c r="C41" i="163"/>
  <c r="D32" i="163" s="1"/>
  <c r="K4" i="163" s="1"/>
  <c r="D30" i="163"/>
  <c r="I28" i="163"/>
  <c r="J28" i="163"/>
  <c r="I27" i="163"/>
  <c r="I26" i="163"/>
  <c r="J26" i="163"/>
  <c r="I25" i="163"/>
  <c r="I24" i="163"/>
  <c r="I23" i="163"/>
  <c r="J23" i="163"/>
  <c r="I22" i="163"/>
  <c r="I21" i="163"/>
  <c r="J21" i="163"/>
  <c r="I20" i="163"/>
  <c r="I19" i="163"/>
  <c r="I18" i="163"/>
  <c r="J18" i="163"/>
  <c r="I17" i="163"/>
  <c r="I16" i="163"/>
  <c r="J16" i="163"/>
  <c r="I15" i="163"/>
  <c r="I14" i="163"/>
  <c r="J14" i="163"/>
  <c r="I13" i="163"/>
  <c r="J13" i="163"/>
  <c r="I12" i="163"/>
  <c r="I11" i="163"/>
  <c r="J11" i="163"/>
  <c r="I10" i="163"/>
  <c r="I9" i="163"/>
  <c r="J9" i="163"/>
  <c r="I8" i="163"/>
  <c r="J8" i="163"/>
  <c r="I7" i="163"/>
  <c r="I6" i="163"/>
  <c r="I5" i="163"/>
  <c r="J5" i="163"/>
  <c r="I4" i="163"/>
  <c r="H4" i="163"/>
  <c r="G4" i="163"/>
  <c r="F4" i="163"/>
  <c r="H45" i="28"/>
  <c r="H43" i="28"/>
  <c r="J40" i="28"/>
  <c r="H40" i="28"/>
  <c r="I40" i="28"/>
  <c r="J39" i="28"/>
  <c r="H39" i="28"/>
  <c r="I39" i="28"/>
  <c r="H38" i="28"/>
  <c r="G38" i="28"/>
  <c r="F38" i="28"/>
  <c r="E38" i="28"/>
  <c r="C35" i="28"/>
  <c r="D26" i="28" s="1"/>
  <c r="K4" i="28" s="1"/>
  <c r="E23" i="28"/>
  <c r="D23" i="28"/>
  <c r="I22" i="28"/>
  <c r="I21" i="28"/>
  <c r="J21" i="28"/>
  <c r="I20" i="28"/>
  <c r="I19" i="28"/>
  <c r="J19" i="28"/>
  <c r="I18" i="28"/>
  <c r="J18" i="28"/>
  <c r="I17" i="28"/>
  <c r="G17" i="28"/>
  <c r="I16" i="28"/>
  <c r="I15" i="28"/>
  <c r="J15" i="28"/>
  <c r="I14" i="28"/>
  <c r="G14" i="28"/>
  <c r="I13" i="28"/>
  <c r="J13" i="28"/>
  <c r="I12" i="28"/>
  <c r="G12" i="28"/>
  <c r="I11" i="28"/>
  <c r="G11" i="28"/>
  <c r="I10" i="28"/>
  <c r="G10" i="28"/>
  <c r="I9" i="28"/>
  <c r="I8" i="28"/>
  <c r="J8" i="28"/>
  <c r="J7" i="28"/>
  <c r="I7" i="28"/>
  <c r="G7" i="28"/>
  <c r="I6" i="28"/>
  <c r="I5" i="28"/>
  <c r="G5" i="28"/>
  <c r="I4" i="28"/>
  <c r="H4" i="28"/>
  <c r="G4" i="28"/>
  <c r="F4" i="28"/>
  <c r="H48" i="49"/>
  <c r="H46" i="49"/>
  <c r="H44" i="49"/>
  <c r="J41" i="49"/>
  <c r="H41" i="49"/>
  <c r="J40" i="49"/>
  <c r="H40" i="49"/>
  <c r="I40" i="49"/>
  <c r="J39" i="49"/>
  <c r="H39" i="49"/>
  <c r="J38" i="49"/>
  <c r="H38" i="49"/>
  <c r="I38" i="49"/>
  <c r="H37" i="49"/>
  <c r="G37" i="49"/>
  <c r="F37" i="49"/>
  <c r="E37" i="49"/>
  <c r="C34" i="49"/>
  <c r="D25" i="49" s="1"/>
  <c r="K4" i="49" s="1"/>
  <c r="K7" i="49" s="1"/>
  <c r="E23" i="49"/>
  <c r="D23" i="49"/>
  <c r="I22" i="49"/>
  <c r="I21" i="49"/>
  <c r="I20" i="49"/>
  <c r="I19" i="49"/>
  <c r="I18" i="49"/>
  <c r="I17" i="49"/>
  <c r="I16" i="49"/>
  <c r="I15" i="49"/>
  <c r="I14" i="49"/>
  <c r="I13" i="49"/>
  <c r="I12" i="49"/>
  <c r="I11" i="49"/>
  <c r="I10" i="49"/>
  <c r="I9" i="49"/>
  <c r="I8" i="49"/>
  <c r="I7" i="49"/>
  <c r="I6" i="49"/>
  <c r="I5" i="49"/>
  <c r="I4" i="49"/>
  <c r="H4" i="49"/>
  <c r="G4" i="49"/>
  <c r="F4" i="49"/>
  <c r="K49" i="31"/>
  <c r="H48" i="31"/>
  <c r="H46" i="31"/>
  <c r="H44" i="31"/>
  <c r="J41" i="31"/>
  <c r="H41" i="31"/>
  <c r="H40" i="31"/>
  <c r="J39" i="31"/>
  <c r="H39" i="31"/>
  <c r="J38" i="31"/>
  <c r="H38" i="31"/>
  <c r="H37" i="31"/>
  <c r="G37" i="31"/>
  <c r="F37" i="31"/>
  <c r="E37" i="31"/>
  <c r="C34" i="31"/>
  <c r="D25" i="31" s="1"/>
  <c r="K4" i="31" s="1"/>
  <c r="K19" i="31" s="1"/>
  <c r="E23" i="31"/>
  <c r="D23" i="31"/>
  <c r="I22" i="31"/>
  <c r="I21" i="31"/>
  <c r="I20" i="31"/>
  <c r="I19" i="31"/>
  <c r="I18" i="31"/>
  <c r="K17" i="31"/>
  <c r="I17" i="31"/>
  <c r="I16" i="31"/>
  <c r="I15" i="31"/>
  <c r="I14" i="31"/>
  <c r="I13" i="31"/>
  <c r="I12" i="31"/>
  <c r="I11" i="31"/>
  <c r="I10" i="31"/>
  <c r="I9" i="31"/>
  <c r="I8" i="31"/>
  <c r="I7" i="31"/>
  <c r="I6" i="31"/>
  <c r="I5" i="31"/>
  <c r="I4" i="31"/>
  <c r="H4" i="31"/>
  <c r="G4" i="31"/>
  <c r="F4" i="31"/>
  <c r="H58" i="39"/>
  <c r="H56" i="39"/>
  <c r="H54" i="39"/>
  <c r="J50" i="39"/>
  <c r="H50" i="39"/>
  <c r="I50" i="39"/>
  <c r="H49" i="39"/>
  <c r="I49" i="39"/>
  <c r="J48" i="39"/>
  <c r="H48" i="39"/>
  <c r="J46" i="39"/>
  <c r="H46" i="39"/>
  <c r="I46" i="39"/>
  <c r="J45" i="39"/>
  <c r="H45" i="39"/>
  <c r="I45" i="39"/>
  <c r="H44" i="39"/>
  <c r="G44" i="39"/>
  <c r="F44" i="39"/>
  <c r="E44" i="39"/>
  <c r="C41" i="39"/>
  <c r="D32" i="39" s="1"/>
  <c r="K5" i="39" s="1"/>
  <c r="K26" i="39" s="1"/>
  <c r="D30" i="39"/>
  <c r="I29" i="39"/>
  <c r="J29" i="39"/>
  <c r="I28" i="39"/>
  <c r="I27" i="39"/>
  <c r="I25" i="39"/>
  <c r="G25" i="39"/>
  <c r="I24" i="39"/>
  <c r="I23" i="39"/>
  <c r="J23" i="39"/>
  <c r="I22" i="39"/>
  <c r="J22" i="39"/>
  <c r="I21" i="39"/>
  <c r="J21" i="39"/>
  <c r="I20" i="39"/>
  <c r="I19" i="39"/>
  <c r="I18" i="39"/>
  <c r="G18" i="39"/>
  <c r="I16" i="39"/>
  <c r="I15" i="39"/>
  <c r="G15" i="39"/>
  <c r="I14" i="39"/>
  <c r="I12" i="39"/>
  <c r="I11" i="39"/>
  <c r="G11" i="39"/>
  <c r="I10" i="39"/>
  <c r="G10" i="39"/>
  <c r="I9" i="39"/>
  <c r="I8" i="39"/>
  <c r="G8" i="39"/>
  <c r="I7" i="39"/>
  <c r="J7" i="39"/>
  <c r="I6" i="39"/>
  <c r="G6" i="39"/>
  <c r="I5" i="39"/>
  <c r="H5" i="39"/>
  <c r="G5" i="39"/>
  <c r="F5" i="39"/>
  <c r="H45" i="29"/>
  <c r="H43" i="29"/>
  <c r="J40" i="29"/>
  <c r="H40" i="29"/>
  <c r="J39" i="29"/>
  <c r="H39" i="29"/>
  <c r="I39" i="29"/>
  <c r="H38" i="29"/>
  <c r="G38" i="29"/>
  <c r="F38" i="29"/>
  <c r="E38" i="29"/>
  <c r="C35" i="29"/>
  <c r="D26" i="29" s="1"/>
  <c r="K4" i="29" s="1"/>
  <c r="E24" i="29"/>
  <c r="D24" i="29"/>
  <c r="I23" i="29"/>
  <c r="J23" i="29"/>
  <c r="I22" i="29"/>
  <c r="I21" i="29"/>
  <c r="J21" i="29"/>
  <c r="I20" i="29"/>
  <c r="I19" i="29"/>
  <c r="I18" i="29"/>
  <c r="I17" i="29"/>
  <c r="I16" i="29"/>
  <c r="I15" i="29"/>
  <c r="I14" i="29"/>
  <c r="I13" i="29"/>
  <c r="J13" i="29"/>
  <c r="I12" i="29"/>
  <c r="J12" i="29"/>
  <c r="I11" i="29"/>
  <c r="J11" i="29"/>
  <c r="I10" i="29"/>
  <c r="J10" i="29"/>
  <c r="I9" i="29"/>
  <c r="I8" i="29"/>
  <c r="J8" i="29"/>
  <c r="J7" i="29"/>
  <c r="I7" i="29"/>
  <c r="I6" i="29"/>
  <c r="J6" i="29"/>
  <c r="I5" i="29"/>
  <c r="J5" i="29"/>
  <c r="I4" i="29"/>
  <c r="H4" i="29"/>
  <c r="G4" i="29"/>
  <c r="F4" i="29"/>
  <c r="K49" i="38"/>
  <c r="H48" i="38"/>
  <c r="H46" i="38"/>
  <c r="H44" i="38"/>
  <c r="H41" i="38"/>
  <c r="J40" i="38"/>
  <c r="H40" i="38"/>
  <c r="I40" i="38"/>
  <c r="J39" i="38"/>
  <c r="H39" i="38"/>
  <c r="F39" i="38"/>
  <c r="H38" i="38"/>
  <c r="G38" i="38"/>
  <c r="F38" i="38"/>
  <c r="E38" i="38"/>
  <c r="C35" i="38"/>
  <c r="D26" i="38" s="1"/>
  <c r="K4" i="38" s="1"/>
  <c r="D24" i="38"/>
  <c r="I23" i="38"/>
  <c r="J23" i="38"/>
  <c r="I22" i="38"/>
  <c r="I21" i="38"/>
  <c r="J21" i="38"/>
  <c r="I20" i="38"/>
  <c r="I19" i="38"/>
  <c r="I18" i="38"/>
  <c r="I17" i="38"/>
  <c r="J17" i="38"/>
  <c r="I16" i="38"/>
  <c r="J16" i="38"/>
  <c r="I15" i="38"/>
  <c r="I14" i="38"/>
  <c r="J14" i="38"/>
  <c r="I13" i="38"/>
  <c r="J13" i="38"/>
  <c r="I12" i="38"/>
  <c r="J12" i="38"/>
  <c r="I11" i="38"/>
  <c r="I10" i="38"/>
  <c r="I9" i="38"/>
  <c r="I8" i="38"/>
  <c r="J7" i="38"/>
  <c r="I7" i="38"/>
  <c r="I6" i="38"/>
  <c r="I5" i="38"/>
  <c r="J5" i="38"/>
  <c r="I4" i="38"/>
  <c r="H4" i="38"/>
  <c r="G4" i="38"/>
  <c r="F4" i="38"/>
  <c r="F70" i="66"/>
  <c r="E69" i="66" s="1"/>
  <c r="F65" i="66"/>
  <c r="D62" i="66"/>
  <c r="F58" i="66"/>
  <c r="F57" i="66"/>
  <c r="F56" i="66"/>
  <c r="F55" i="66"/>
  <c r="J51" i="66"/>
  <c r="I51" i="66"/>
  <c r="H51" i="66"/>
  <c r="D51" i="66"/>
  <c r="G49" i="66"/>
  <c r="G48" i="66"/>
  <c r="G47" i="66"/>
  <c r="G46" i="66"/>
  <c r="G45" i="66"/>
  <c r="G44" i="66"/>
  <c r="G43" i="66"/>
  <c r="G42" i="66"/>
  <c r="G41" i="66"/>
  <c r="E41" i="66"/>
  <c r="K41" i="66" s="1"/>
  <c r="G40" i="66"/>
  <c r="G39" i="66"/>
  <c r="G38" i="66"/>
  <c r="G37" i="66"/>
  <c r="G36" i="66"/>
  <c r="G35" i="66"/>
  <c r="G34" i="66"/>
  <c r="G33" i="66"/>
  <c r="E33" i="66"/>
  <c r="K33" i="66" s="1"/>
  <c r="G32" i="66"/>
  <c r="G51" i="66" s="1"/>
  <c r="G31" i="66"/>
  <c r="G30" i="66"/>
  <c r="D23" i="66"/>
  <c r="E4" i="66" s="1"/>
  <c r="G21" i="66"/>
  <c r="E21" i="66"/>
  <c r="H21" i="66" s="1"/>
  <c r="G20" i="66"/>
  <c r="E20" i="66"/>
  <c r="H20" i="66" s="1"/>
  <c r="G19" i="66"/>
  <c r="G18" i="66"/>
  <c r="G17" i="66"/>
  <c r="G16" i="66"/>
  <c r="E16" i="66"/>
  <c r="H16" i="66" s="1"/>
  <c r="G15" i="66"/>
  <c r="G14" i="66"/>
  <c r="E14" i="66"/>
  <c r="H14" i="66" s="1"/>
  <c r="G13" i="66"/>
  <c r="E13" i="66"/>
  <c r="H13" i="66" s="1"/>
  <c r="G12" i="66"/>
  <c r="G11" i="66"/>
  <c r="G10" i="66"/>
  <c r="G9" i="66"/>
  <c r="E9" i="66"/>
  <c r="H9" i="66" s="1"/>
  <c r="G8" i="66"/>
  <c r="G7" i="66"/>
  <c r="G6" i="66"/>
  <c r="E6" i="66"/>
  <c r="H6" i="66" s="1"/>
  <c r="G5" i="66"/>
  <c r="E5" i="66"/>
  <c r="H5" i="66" s="1"/>
  <c r="G4" i="66"/>
  <c r="I32" i="61"/>
  <c r="D29" i="61"/>
  <c r="H24" i="61"/>
  <c r="H25" i="61" s="1"/>
  <c r="F24" i="61"/>
  <c r="F25" i="61" s="1"/>
  <c r="C20" i="61"/>
  <c r="D9" i="61"/>
  <c r="E7" i="61" s="1"/>
  <c r="J7" i="61"/>
  <c r="I7" i="61"/>
  <c r="G7" i="61"/>
  <c r="G9" i="61" s="1"/>
  <c r="J6" i="61"/>
  <c r="I6" i="61"/>
  <c r="G6" i="61"/>
  <c r="J5" i="61"/>
  <c r="I5" i="61"/>
  <c r="G5" i="61"/>
  <c r="I49" i="93"/>
  <c r="D46" i="93"/>
  <c r="H42" i="93"/>
  <c r="F42" i="93"/>
  <c r="I41" i="93"/>
  <c r="H41" i="93"/>
  <c r="F41" i="93"/>
  <c r="I40" i="93"/>
  <c r="H40" i="93"/>
  <c r="F40" i="93"/>
  <c r="I39" i="93"/>
  <c r="H39" i="93"/>
  <c r="F39" i="93"/>
  <c r="C35" i="93"/>
  <c r="I24" i="93"/>
  <c r="D24" i="93"/>
  <c r="E12" i="93" s="1"/>
  <c r="K12" i="93" s="1"/>
  <c r="J22" i="93"/>
  <c r="G22" i="93"/>
  <c r="J21" i="93"/>
  <c r="G21" i="93"/>
  <c r="J20" i="93"/>
  <c r="G20" i="93"/>
  <c r="E20" i="93"/>
  <c r="K20" i="93" s="1"/>
  <c r="J19" i="93"/>
  <c r="G19" i="93"/>
  <c r="E19" i="93"/>
  <c r="K19" i="93" s="1"/>
  <c r="J18" i="93"/>
  <c r="G18" i="93"/>
  <c r="J17" i="93"/>
  <c r="G17" i="93"/>
  <c r="J16" i="93"/>
  <c r="G16" i="93"/>
  <c r="J15" i="93"/>
  <c r="G15" i="93"/>
  <c r="J14" i="93"/>
  <c r="G14" i="93"/>
  <c r="J13" i="93"/>
  <c r="G13" i="93"/>
  <c r="J12" i="93"/>
  <c r="G12" i="93"/>
  <c r="J11" i="93"/>
  <c r="G11" i="93"/>
  <c r="J10" i="93"/>
  <c r="G10" i="93"/>
  <c r="J9" i="93"/>
  <c r="G9" i="93"/>
  <c r="E9" i="93"/>
  <c r="K9" i="93" s="1"/>
  <c r="J8" i="93"/>
  <c r="G8" i="93"/>
  <c r="J7" i="93"/>
  <c r="G7" i="93"/>
  <c r="J6" i="93"/>
  <c r="G6" i="93"/>
  <c r="J5" i="93"/>
  <c r="G5" i="93"/>
  <c r="E5" i="93"/>
  <c r="K5" i="93" s="1"/>
  <c r="I50" i="30"/>
  <c r="D47" i="30"/>
  <c r="J42" i="30"/>
  <c r="I42" i="30"/>
  <c r="H42" i="30"/>
  <c r="F42" i="30"/>
  <c r="J41" i="30"/>
  <c r="I41" i="30"/>
  <c r="H41" i="30"/>
  <c r="F41" i="30"/>
  <c r="J40" i="30"/>
  <c r="I40" i="30"/>
  <c r="H40" i="30"/>
  <c r="F40" i="30"/>
  <c r="F43" i="30" s="1"/>
  <c r="J39" i="30"/>
  <c r="I39" i="30"/>
  <c r="H39" i="30"/>
  <c r="F39" i="30"/>
  <c r="C35" i="30"/>
  <c r="D24" i="30"/>
  <c r="E13" i="30" s="1"/>
  <c r="J22" i="30"/>
  <c r="I22" i="30"/>
  <c r="G22" i="30"/>
  <c r="E22" i="30"/>
  <c r="J21" i="30"/>
  <c r="I21" i="30"/>
  <c r="G21" i="30"/>
  <c r="J20" i="30"/>
  <c r="I20" i="30"/>
  <c r="G20" i="30"/>
  <c r="J19" i="30"/>
  <c r="I19" i="30"/>
  <c r="G19" i="30"/>
  <c r="E19" i="30"/>
  <c r="J18" i="30"/>
  <c r="I18" i="30"/>
  <c r="G18" i="30"/>
  <c r="J17" i="30"/>
  <c r="I17" i="30"/>
  <c r="G17" i="30"/>
  <c r="E17" i="30"/>
  <c r="J16" i="30"/>
  <c r="I16" i="30"/>
  <c r="G16" i="30"/>
  <c r="E16" i="30"/>
  <c r="J15" i="30"/>
  <c r="I15" i="30"/>
  <c r="G15" i="30"/>
  <c r="J14" i="30"/>
  <c r="I14" i="30"/>
  <c r="G14" i="30"/>
  <c r="J13" i="30"/>
  <c r="I13" i="30"/>
  <c r="G13" i="30"/>
  <c r="J12" i="30"/>
  <c r="I12" i="30"/>
  <c r="G12" i="30"/>
  <c r="J11" i="30"/>
  <c r="I11" i="30"/>
  <c r="G11" i="30"/>
  <c r="J10" i="30"/>
  <c r="I10" i="30"/>
  <c r="G10" i="30"/>
  <c r="J9" i="30"/>
  <c r="I9" i="30"/>
  <c r="G9" i="30"/>
  <c r="J8" i="30"/>
  <c r="I8" i="30"/>
  <c r="G8" i="30"/>
  <c r="J7" i="30"/>
  <c r="I7" i="30"/>
  <c r="G7" i="30"/>
  <c r="J6" i="30"/>
  <c r="I6" i="30"/>
  <c r="G6" i="30"/>
  <c r="H60" i="26"/>
  <c r="H58" i="26"/>
  <c r="H56" i="26"/>
  <c r="H55" i="26"/>
  <c r="J54" i="26"/>
  <c r="J53" i="26"/>
  <c r="I53" i="26"/>
  <c r="J52" i="26"/>
  <c r="I52" i="26"/>
  <c r="J51" i="26"/>
  <c r="I51" i="26"/>
  <c r="H50" i="26"/>
  <c r="G50" i="26"/>
  <c r="F50" i="26"/>
  <c r="I46" i="26"/>
  <c r="D46" i="26"/>
  <c r="J44" i="26"/>
  <c r="J43" i="26"/>
  <c r="I41" i="26"/>
  <c r="H41" i="26"/>
  <c r="G41" i="26"/>
  <c r="F41" i="26"/>
  <c r="C37" i="26"/>
  <c r="E25" i="26"/>
  <c r="D25" i="26"/>
  <c r="K24" i="26"/>
  <c r="I24" i="26"/>
  <c r="J24" i="26"/>
  <c r="K23" i="26"/>
  <c r="I23" i="26"/>
  <c r="K22" i="26"/>
  <c r="I22" i="26"/>
  <c r="K21" i="26"/>
  <c r="I21" i="26"/>
  <c r="J21" i="26"/>
  <c r="K20" i="26"/>
  <c r="I20" i="26"/>
  <c r="K19" i="26"/>
  <c r="I19" i="26"/>
  <c r="J19" i="26"/>
  <c r="K18" i="26"/>
  <c r="I18" i="26"/>
  <c r="G18" i="26"/>
  <c r="K17" i="26"/>
  <c r="I17" i="26"/>
  <c r="G17" i="26"/>
  <c r="K16" i="26"/>
  <c r="I16" i="26"/>
  <c r="J16" i="26"/>
  <c r="K15" i="26"/>
  <c r="I15" i="26"/>
  <c r="G15" i="26"/>
  <c r="K14" i="26"/>
  <c r="I14" i="26"/>
  <c r="K13" i="26"/>
  <c r="I13" i="26"/>
  <c r="G13" i="26"/>
  <c r="K12" i="26"/>
  <c r="I12" i="26"/>
  <c r="K11" i="26"/>
  <c r="I11" i="26"/>
  <c r="J11" i="26"/>
  <c r="K10" i="26"/>
  <c r="I10" i="26"/>
  <c r="J10" i="26"/>
  <c r="K9" i="26"/>
  <c r="I9" i="26"/>
  <c r="K8" i="26"/>
  <c r="I8" i="26"/>
  <c r="J8" i="26"/>
  <c r="K7" i="26"/>
  <c r="I7" i="26"/>
  <c r="G7" i="26"/>
  <c r="K6" i="26"/>
  <c r="I6" i="26"/>
  <c r="G6" i="26"/>
  <c r="K5" i="26"/>
  <c r="I5" i="26"/>
  <c r="J5" i="26"/>
  <c r="I4" i="26"/>
  <c r="H4" i="26"/>
  <c r="G4" i="26"/>
  <c r="F4" i="26"/>
  <c r="K61" i="37"/>
  <c r="H60" i="37"/>
  <c r="H58" i="37"/>
  <c r="H56" i="37"/>
  <c r="J54" i="37"/>
  <c r="H54" i="37"/>
  <c r="I54" i="37"/>
  <c r="J53" i="37"/>
  <c r="H53" i="37"/>
  <c r="J52" i="37"/>
  <c r="H52" i="37"/>
  <c r="J51" i="37"/>
  <c r="H51" i="37"/>
  <c r="H50" i="37"/>
  <c r="G50" i="37"/>
  <c r="F50" i="37"/>
  <c r="E50" i="37"/>
  <c r="D46" i="37"/>
  <c r="E42" i="37" s="1"/>
  <c r="I44" i="37"/>
  <c r="E44" i="37"/>
  <c r="K44" i="37" s="1"/>
  <c r="G44" i="37"/>
  <c r="I43" i="37"/>
  <c r="E43" i="37"/>
  <c r="K43" i="37" s="1"/>
  <c r="J43" i="37"/>
  <c r="I42" i="37"/>
  <c r="I41" i="37"/>
  <c r="H41" i="37"/>
  <c r="G41" i="37"/>
  <c r="F41" i="37"/>
  <c r="H31" i="37"/>
  <c r="K30" i="37"/>
  <c r="K29" i="37"/>
  <c r="E25" i="37"/>
  <c r="D25" i="37"/>
  <c r="K24" i="37"/>
  <c r="I24" i="37"/>
  <c r="G24" i="37"/>
  <c r="K23" i="37"/>
  <c r="I23" i="37"/>
  <c r="G23" i="37"/>
  <c r="K22" i="37"/>
  <c r="I22" i="37"/>
  <c r="K21" i="37"/>
  <c r="I21" i="37"/>
  <c r="G21" i="37"/>
  <c r="K20" i="37"/>
  <c r="I20" i="37"/>
  <c r="K19" i="37"/>
  <c r="I19" i="37"/>
  <c r="J19" i="37"/>
  <c r="K18" i="37"/>
  <c r="I18" i="37"/>
  <c r="M18" i="37"/>
  <c r="K17" i="37"/>
  <c r="I17" i="37"/>
  <c r="J17" i="37"/>
  <c r="K16" i="37"/>
  <c r="I16" i="37"/>
  <c r="G16" i="37"/>
  <c r="K15" i="37"/>
  <c r="I15" i="37"/>
  <c r="G15" i="37"/>
  <c r="K14" i="37"/>
  <c r="I14" i="37"/>
  <c r="M14" i="37"/>
  <c r="K13" i="37"/>
  <c r="I13" i="37"/>
  <c r="G13" i="37"/>
  <c r="K12" i="37"/>
  <c r="I12" i="37"/>
  <c r="K11" i="37"/>
  <c r="I11" i="37"/>
  <c r="M11" i="37"/>
  <c r="K10" i="37"/>
  <c r="I10" i="37"/>
  <c r="J10" i="37"/>
  <c r="K9" i="37"/>
  <c r="I9" i="37"/>
  <c r="G9" i="37"/>
  <c r="K8" i="37"/>
  <c r="I8" i="37"/>
  <c r="K7" i="37"/>
  <c r="I7" i="37"/>
  <c r="M7" i="37"/>
  <c r="K6" i="37"/>
  <c r="I6" i="37"/>
  <c r="J6" i="37"/>
  <c r="K5" i="37"/>
  <c r="I5" i="37"/>
  <c r="M5" i="37"/>
  <c r="I4" i="37"/>
  <c r="H4" i="37"/>
  <c r="G4" i="37"/>
  <c r="F4" i="37"/>
  <c r="H46" i="172"/>
  <c r="H44" i="172"/>
  <c r="H42" i="172"/>
  <c r="H40" i="172"/>
  <c r="F40" i="172"/>
  <c r="J39" i="172"/>
  <c r="K39" i="172" s="1"/>
  <c r="H39" i="172"/>
  <c r="F39" i="172"/>
  <c r="J38" i="172"/>
  <c r="H38" i="172"/>
  <c r="I38" i="172"/>
  <c r="H37" i="172"/>
  <c r="G37" i="172"/>
  <c r="F37" i="172"/>
  <c r="E37" i="172"/>
  <c r="C34" i="172"/>
  <c r="D25" i="172" s="1"/>
  <c r="K4" i="172" s="1"/>
  <c r="J32" i="172"/>
  <c r="E23" i="172"/>
  <c r="L23" i="172" s="1"/>
  <c r="D23" i="172"/>
  <c r="L22" i="172"/>
  <c r="I22" i="172"/>
  <c r="L21" i="172"/>
  <c r="M21" i="172" s="1"/>
  <c r="I21" i="172"/>
  <c r="L20" i="172"/>
  <c r="I20" i="172"/>
  <c r="J20" i="172"/>
  <c r="L19" i="172"/>
  <c r="I19" i="172"/>
  <c r="J19" i="172"/>
  <c r="L18" i="172"/>
  <c r="I18" i="172"/>
  <c r="J18" i="172"/>
  <c r="L17" i="172"/>
  <c r="I17" i="172"/>
  <c r="G17" i="172"/>
  <c r="L16" i="172"/>
  <c r="I16" i="172"/>
  <c r="G16" i="172"/>
  <c r="L15" i="172"/>
  <c r="I15" i="172"/>
  <c r="L14" i="172"/>
  <c r="M14" i="172" s="1"/>
  <c r="I14" i="172"/>
  <c r="L13" i="172"/>
  <c r="I13" i="172"/>
  <c r="G13" i="172"/>
  <c r="L12" i="172"/>
  <c r="I12" i="172"/>
  <c r="L10" i="172"/>
  <c r="M10" i="172" s="1"/>
  <c r="I10" i="172"/>
  <c r="L9" i="172"/>
  <c r="I9" i="172"/>
  <c r="G9" i="172"/>
  <c r="L8" i="172"/>
  <c r="M8" i="172" s="1"/>
  <c r="J8" i="172"/>
  <c r="I8" i="172"/>
  <c r="G8" i="172"/>
  <c r="L7" i="172"/>
  <c r="I7" i="172"/>
  <c r="J7" i="172"/>
  <c r="L6" i="172"/>
  <c r="I6" i="172"/>
  <c r="L5" i="172"/>
  <c r="M5" i="172" s="1"/>
  <c r="I5" i="172"/>
  <c r="I4" i="172"/>
  <c r="H4" i="172"/>
  <c r="G4" i="172"/>
  <c r="F4" i="172"/>
  <c r="H45" i="27"/>
  <c r="H43" i="27"/>
  <c r="H41" i="27"/>
  <c r="J39" i="27"/>
  <c r="K39" i="27" s="1"/>
  <c r="H39" i="27"/>
  <c r="I39" i="27"/>
  <c r="J38" i="27"/>
  <c r="H38" i="27"/>
  <c r="I38" i="27"/>
  <c r="H37" i="27"/>
  <c r="G37" i="27"/>
  <c r="F37" i="27"/>
  <c r="E37" i="27"/>
  <c r="C34" i="27"/>
  <c r="D25" i="27"/>
  <c r="K4" i="27" s="1"/>
  <c r="K13" i="27" s="1"/>
  <c r="E23" i="27"/>
  <c r="D23" i="27"/>
  <c r="L22" i="27"/>
  <c r="I22" i="27"/>
  <c r="J22" i="27"/>
  <c r="L21" i="27"/>
  <c r="I21" i="27"/>
  <c r="J21" i="27"/>
  <c r="L20" i="27"/>
  <c r="I20" i="27"/>
  <c r="M20" i="27"/>
  <c r="L19" i="27"/>
  <c r="I19" i="27"/>
  <c r="L18" i="27"/>
  <c r="I18" i="27"/>
  <c r="J18" i="27"/>
  <c r="L17" i="27"/>
  <c r="I17" i="27"/>
  <c r="J17" i="27"/>
  <c r="L16" i="27"/>
  <c r="I16" i="27"/>
  <c r="L15" i="27"/>
  <c r="I15" i="27"/>
  <c r="L14" i="27"/>
  <c r="I14" i="27"/>
  <c r="J14" i="27"/>
  <c r="L13" i="27"/>
  <c r="I13" i="27"/>
  <c r="L11" i="27"/>
  <c r="I11" i="27"/>
  <c r="J11" i="27"/>
  <c r="L10" i="27"/>
  <c r="I10" i="27"/>
  <c r="J10" i="27"/>
  <c r="L9" i="27"/>
  <c r="I9" i="27"/>
  <c r="L8" i="27"/>
  <c r="M8" i="27" s="1"/>
  <c r="J8" i="27"/>
  <c r="I8" i="27"/>
  <c r="L7" i="27"/>
  <c r="I7" i="27"/>
  <c r="L6" i="27"/>
  <c r="J6" i="27"/>
  <c r="L5" i="27"/>
  <c r="I5" i="27"/>
  <c r="G5" i="27"/>
  <c r="I4" i="27"/>
  <c r="H4" i="27"/>
  <c r="G4" i="27"/>
  <c r="F4" i="27"/>
  <c r="H48" i="175"/>
  <c r="H46" i="175"/>
  <c r="H44" i="175"/>
  <c r="J42" i="175"/>
  <c r="H42" i="175"/>
  <c r="J41" i="175"/>
  <c r="H41" i="175"/>
  <c r="J40" i="175"/>
  <c r="H40" i="175"/>
  <c r="J39" i="175"/>
  <c r="H39" i="175"/>
  <c r="H38" i="175"/>
  <c r="G38" i="175"/>
  <c r="F38" i="175"/>
  <c r="E38" i="175"/>
  <c r="F36" i="175"/>
  <c r="C35" i="175"/>
  <c r="D26" i="175"/>
  <c r="K4" i="175" s="1"/>
  <c r="K13" i="175" s="1"/>
  <c r="E24" i="175"/>
  <c r="D24" i="175"/>
  <c r="L23" i="175"/>
  <c r="I23" i="175"/>
  <c r="L22" i="175"/>
  <c r="I22" i="175"/>
  <c r="L21" i="175"/>
  <c r="I21" i="175"/>
  <c r="G21" i="175"/>
  <c r="L20" i="175"/>
  <c r="I20" i="175"/>
  <c r="J20" i="175"/>
  <c r="L19" i="175"/>
  <c r="I19" i="175"/>
  <c r="L18" i="175"/>
  <c r="I18" i="175"/>
  <c r="G18" i="175"/>
  <c r="L17" i="175"/>
  <c r="I17" i="175"/>
  <c r="L16" i="175"/>
  <c r="M16" i="175" s="1"/>
  <c r="I16" i="175"/>
  <c r="L15" i="175"/>
  <c r="M15" i="175" s="1"/>
  <c r="I15" i="175"/>
  <c r="L14" i="175"/>
  <c r="I14" i="175"/>
  <c r="G14" i="175"/>
  <c r="L13" i="175"/>
  <c r="I13" i="175"/>
  <c r="L12" i="175"/>
  <c r="I12" i="175"/>
  <c r="G12" i="175"/>
  <c r="L11" i="175"/>
  <c r="I11" i="175"/>
  <c r="L10" i="175"/>
  <c r="I10" i="175"/>
  <c r="M10" i="175"/>
  <c r="L9" i="175"/>
  <c r="K9" i="175"/>
  <c r="I9" i="175"/>
  <c r="L8" i="175"/>
  <c r="I8" i="175"/>
  <c r="G8" i="175"/>
  <c r="L7" i="175"/>
  <c r="I7" i="175"/>
  <c r="J7" i="175"/>
  <c r="L6" i="175"/>
  <c r="I6" i="175"/>
  <c r="L5" i="175"/>
  <c r="K5" i="175"/>
  <c r="I5" i="175"/>
  <c r="G5" i="175"/>
  <c r="I4" i="175"/>
  <c r="H4" i="175"/>
  <c r="G4" i="175"/>
  <c r="F4" i="175"/>
  <c r="K75" i="65"/>
  <c r="J75" i="65"/>
  <c r="J76" i="65" s="1"/>
  <c r="J77" i="65" s="1"/>
  <c r="I65" i="65"/>
  <c r="D64" i="65"/>
  <c r="D62" i="65"/>
  <c r="I58" i="65"/>
  <c r="I57" i="65"/>
  <c r="H57" i="65"/>
  <c r="F57" i="65"/>
  <c r="H56" i="65"/>
  <c r="F56" i="65"/>
  <c r="I55" i="65"/>
  <c r="H55" i="65"/>
  <c r="F55" i="65"/>
  <c r="I54" i="65"/>
  <c r="H54" i="65"/>
  <c r="F54" i="65"/>
  <c r="I49" i="65"/>
  <c r="D49" i="65"/>
  <c r="E47" i="65" s="1"/>
  <c r="K47" i="65" s="1"/>
  <c r="L47" i="65" s="1"/>
  <c r="J47" i="65"/>
  <c r="G47" i="65"/>
  <c r="J46" i="65"/>
  <c r="G46" i="65"/>
  <c r="E45" i="65"/>
  <c r="K45" i="65" s="1"/>
  <c r="L45" i="65" s="1"/>
  <c r="C40" i="65"/>
  <c r="D28" i="65"/>
  <c r="E12" i="65" s="1"/>
  <c r="K12" i="65" s="1"/>
  <c r="J26" i="65"/>
  <c r="I26" i="65"/>
  <c r="G26" i="65"/>
  <c r="J25" i="65"/>
  <c r="I25" i="65"/>
  <c r="G25" i="65"/>
  <c r="J24" i="65"/>
  <c r="I24" i="65"/>
  <c r="G24" i="65"/>
  <c r="J23" i="65"/>
  <c r="I23" i="65"/>
  <c r="G23" i="65"/>
  <c r="J22" i="65"/>
  <c r="I22" i="65"/>
  <c r="G22" i="65"/>
  <c r="J21" i="65"/>
  <c r="I21" i="65"/>
  <c r="G21" i="65"/>
  <c r="J20" i="65"/>
  <c r="I20" i="65"/>
  <c r="G20" i="65"/>
  <c r="J19" i="65"/>
  <c r="I19" i="65"/>
  <c r="G19" i="65"/>
  <c r="J18" i="65"/>
  <c r="I18" i="65"/>
  <c r="G18" i="65"/>
  <c r="J17" i="65"/>
  <c r="I17" i="65"/>
  <c r="G17" i="65"/>
  <c r="J16" i="65"/>
  <c r="I16" i="65"/>
  <c r="G16" i="65"/>
  <c r="J15" i="65"/>
  <c r="I15" i="65"/>
  <c r="G15" i="65"/>
  <c r="J14" i="65"/>
  <c r="I14" i="65"/>
  <c r="G14" i="65"/>
  <c r="J13" i="65"/>
  <c r="I13" i="65"/>
  <c r="G13" i="65"/>
  <c r="J12" i="65"/>
  <c r="I12" i="65"/>
  <c r="G12" i="65"/>
  <c r="J11" i="65"/>
  <c r="I11" i="65"/>
  <c r="G11" i="65"/>
  <c r="J10" i="65"/>
  <c r="I10" i="65"/>
  <c r="G10" i="65"/>
  <c r="J9" i="65"/>
  <c r="I9" i="65"/>
  <c r="G9" i="65"/>
  <c r="J8" i="65"/>
  <c r="I8" i="65"/>
  <c r="G8" i="65"/>
  <c r="I7" i="65"/>
  <c r="G7" i="65"/>
  <c r="J6" i="65"/>
  <c r="I6" i="65"/>
  <c r="G6" i="65"/>
  <c r="J5" i="65"/>
  <c r="I5" i="65"/>
  <c r="G5" i="65"/>
  <c r="J73" i="56"/>
  <c r="J74" i="56" s="1"/>
  <c r="K72" i="56"/>
  <c r="J72" i="56"/>
  <c r="I62" i="56"/>
  <c r="D59" i="56"/>
  <c r="I55" i="56"/>
  <c r="I54" i="56"/>
  <c r="H54" i="56"/>
  <c r="F54" i="56"/>
  <c r="H53" i="56"/>
  <c r="F53" i="56"/>
  <c r="I52" i="56"/>
  <c r="H52" i="56"/>
  <c r="F52" i="56"/>
  <c r="I51" i="56"/>
  <c r="H51" i="56"/>
  <c r="F51" i="56"/>
  <c r="D46" i="56"/>
  <c r="E42" i="56" s="1"/>
  <c r="J44" i="56"/>
  <c r="I44" i="56"/>
  <c r="G44" i="56"/>
  <c r="E44" i="56"/>
  <c r="K44" i="56" s="1"/>
  <c r="L44" i="56" s="1"/>
  <c r="J43" i="56"/>
  <c r="I43" i="56"/>
  <c r="G43" i="56"/>
  <c r="I42" i="56"/>
  <c r="C37" i="56"/>
  <c r="D25" i="56"/>
  <c r="E14" i="56" s="1"/>
  <c r="J23" i="56"/>
  <c r="I23" i="56"/>
  <c r="G23" i="56"/>
  <c r="E23" i="56"/>
  <c r="K23" i="56" s="1"/>
  <c r="J22" i="56"/>
  <c r="I22" i="56"/>
  <c r="G22" i="56"/>
  <c r="J21" i="56"/>
  <c r="I21" i="56"/>
  <c r="G21" i="56"/>
  <c r="E21" i="56"/>
  <c r="K21" i="56" s="1"/>
  <c r="J20" i="56"/>
  <c r="I20" i="56"/>
  <c r="G20" i="56"/>
  <c r="E20" i="56"/>
  <c r="K20" i="56" s="1"/>
  <c r="J19" i="56"/>
  <c r="I19" i="56"/>
  <c r="G19" i="56"/>
  <c r="J18" i="56"/>
  <c r="I18" i="56"/>
  <c r="G18" i="56"/>
  <c r="E18" i="56"/>
  <c r="K18" i="56" s="1"/>
  <c r="J17" i="56"/>
  <c r="I17" i="56"/>
  <c r="G17" i="56"/>
  <c r="E17" i="56"/>
  <c r="K17" i="56" s="1"/>
  <c r="J16" i="56"/>
  <c r="I16" i="56"/>
  <c r="G16" i="56"/>
  <c r="E16" i="56"/>
  <c r="K16" i="56" s="1"/>
  <c r="J15" i="56"/>
  <c r="I15" i="56"/>
  <c r="G15" i="56"/>
  <c r="E15" i="56"/>
  <c r="K15" i="56" s="1"/>
  <c r="K14" i="56"/>
  <c r="J14" i="56"/>
  <c r="I14" i="56"/>
  <c r="G14" i="56"/>
  <c r="J13" i="56"/>
  <c r="I13" i="56"/>
  <c r="G13" i="56"/>
  <c r="E13" i="56"/>
  <c r="K13" i="56" s="1"/>
  <c r="J12" i="56"/>
  <c r="I12" i="56"/>
  <c r="G12" i="56"/>
  <c r="E12" i="56"/>
  <c r="K12" i="56" s="1"/>
  <c r="J11" i="56"/>
  <c r="I11" i="56"/>
  <c r="G11" i="56"/>
  <c r="J10" i="56"/>
  <c r="I10" i="56"/>
  <c r="G10" i="56"/>
  <c r="E10" i="56"/>
  <c r="K10" i="56" s="1"/>
  <c r="J9" i="56"/>
  <c r="I9" i="56"/>
  <c r="G9" i="56"/>
  <c r="E9" i="56"/>
  <c r="K9" i="56" s="1"/>
  <c r="J8" i="56"/>
  <c r="I8" i="56"/>
  <c r="G8" i="56"/>
  <c r="J7" i="56"/>
  <c r="I7" i="56"/>
  <c r="G7" i="56"/>
  <c r="E7" i="56"/>
  <c r="K7" i="56" s="1"/>
  <c r="J6" i="56"/>
  <c r="I6" i="56"/>
  <c r="G6" i="56"/>
  <c r="E6" i="56"/>
  <c r="K6" i="56" s="1"/>
  <c r="J5" i="56"/>
  <c r="I5" i="56"/>
  <c r="G5" i="56"/>
  <c r="E5" i="56"/>
  <c r="E23" i="13"/>
  <c r="D23" i="13"/>
  <c r="E21" i="13"/>
  <c r="E20" i="13"/>
  <c r="D8" i="13"/>
  <c r="D9" i="13" s="1"/>
  <c r="D6" i="13"/>
  <c r="H49" i="25"/>
  <c r="H47" i="25"/>
  <c r="H45" i="25"/>
  <c r="J43" i="25"/>
  <c r="H43" i="25"/>
  <c r="I43" i="25"/>
  <c r="J41" i="25"/>
  <c r="H41" i="25"/>
  <c r="F41" i="25"/>
  <c r="J40" i="25"/>
  <c r="H40" i="25"/>
  <c r="J39" i="25"/>
  <c r="H39" i="25"/>
  <c r="F39" i="25"/>
  <c r="H38" i="25"/>
  <c r="G38" i="25"/>
  <c r="F38" i="25"/>
  <c r="E38" i="25"/>
  <c r="C35" i="25"/>
  <c r="D26" i="25" s="1"/>
  <c r="E24" i="25"/>
  <c r="D24" i="25"/>
  <c r="I22" i="25"/>
  <c r="G22" i="25"/>
  <c r="I21" i="25"/>
  <c r="G21" i="25"/>
  <c r="I20" i="25"/>
  <c r="J20" i="25"/>
  <c r="I19" i="25"/>
  <c r="G19" i="25"/>
  <c r="I18" i="25"/>
  <c r="J18" i="25"/>
  <c r="I17" i="25"/>
  <c r="J17" i="25"/>
  <c r="I16" i="25"/>
  <c r="I15" i="25"/>
  <c r="I14" i="25"/>
  <c r="G14" i="25"/>
  <c r="I13" i="25"/>
  <c r="G13" i="25"/>
  <c r="I12" i="25"/>
  <c r="G12" i="25"/>
  <c r="I11" i="25"/>
  <c r="J11" i="25"/>
  <c r="I10" i="25"/>
  <c r="J10" i="25"/>
  <c r="I9" i="25"/>
  <c r="J9" i="25"/>
  <c r="I8" i="25"/>
  <c r="J8" i="25"/>
  <c r="I7" i="25"/>
  <c r="G7" i="25"/>
  <c r="I6" i="25"/>
  <c r="I5" i="25"/>
  <c r="G5" i="25"/>
  <c r="K4" i="25"/>
  <c r="I4" i="25"/>
  <c r="H4" i="25"/>
  <c r="G4" i="25"/>
  <c r="F4" i="25"/>
  <c r="K50" i="140"/>
  <c r="H49" i="140"/>
  <c r="H47" i="140"/>
  <c r="H45" i="140"/>
  <c r="H43" i="140"/>
  <c r="I43" i="140"/>
  <c r="J42" i="140"/>
  <c r="H42" i="140"/>
  <c r="J41" i="140"/>
  <c r="H41" i="140"/>
  <c r="I41" i="140"/>
  <c r="J40" i="140"/>
  <c r="H40" i="140"/>
  <c r="F40" i="140"/>
  <c r="J39" i="140"/>
  <c r="H39" i="140"/>
  <c r="I39" i="140"/>
  <c r="H38" i="140"/>
  <c r="G38" i="140"/>
  <c r="F38" i="140"/>
  <c r="E38" i="140"/>
  <c r="C35" i="140"/>
  <c r="D26" i="140" s="1"/>
  <c r="E24" i="140"/>
  <c r="D24" i="140"/>
  <c r="L23" i="140"/>
  <c r="L22" i="140"/>
  <c r="I22" i="140"/>
  <c r="L21" i="140"/>
  <c r="I21" i="140"/>
  <c r="L20" i="140"/>
  <c r="I20" i="140"/>
  <c r="J20" i="140"/>
  <c r="L19" i="140"/>
  <c r="M19" i="140" s="1"/>
  <c r="I19" i="140"/>
  <c r="L18" i="140"/>
  <c r="I18" i="140"/>
  <c r="L17" i="140"/>
  <c r="M17" i="140" s="1"/>
  <c r="I17" i="140"/>
  <c r="L16" i="140"/>
  <c r="I16" i="140"/>
  <c r="L15" i="140"/>
  <c r="I15" i="140"/>
  <c r="J15" i="140"/>
  <c r="L14" i="140"/>
  <c r="I14" i="140"/>
  <c r="L13" i="140"/>
  <c r="I13" i="140"/>
  <c r="L12" i="140"/>
  <c r="I12" i="140"/>
  <c r="L11" i="140"/>
  <c r="I11" i="140"/>
  <c r="M11" i="140"/>
  <c r="L10" i="140"/>
  <c r="I10" i="140"/>
  <c r="J10" i="140"/>
  <c r="L9" i="140"/>
  <c r="I9" i="140"/>
  <c r="J9" i="140"/>
  <c r="L8" i="140"/>
  <c r="I8" i="140"/>
  <c r="L7" i="140"/>
  <c r="I7" i="140"/>
  <c r="L6" i="140"/>
  <c r="I6" i="140"/>
  <c r="L5" i="140"/>
  <c r="I5" i="140"/>
  <c r="M5" i="140"/>
  <c r="K4" i="140"/>
  <c r="K8" i="140" s="1"/>
  <c r="I4" i="140"/>
  <c r="H4" i="140"/>
  <c r="G4" i="140"/>
  <c r="F4" i="140"/>
  <c r="K50" i="36"/>
  <c r="H49" i="36"/>
  <c r="H47" i="36"/>
  <c r="H45" i="36"/>
  <c r="H44" i="36"/>
  <c r="J43" i="36"/>
  <c r="I43" i="36"/>
  <c r="J42" i="36"/>
  <c r="F42" i="36"/>
  <c r="J40" i="36"/>
  <c r="I40" i="36"/>
  <c r="J39" i="36"/>
  <c r="H38" i="36"/>
  <c r="G38" i="36"/>
  <c r="F38" i="36"/>
  <c r="E38" i="36"/>
  <c r="C35" i="36"/>
  <c r="D26" i="36" s="1"/>
  <c r="K4" i="36" s="1"/>
  <c r="K11" i="36" s="1"/>
  <c r="G34" i="36"/>
  <c r="E24" i="36"/>
  <c r="D24" i="36"/>
  <c r="L22" i="36"/>
  <c r="I22" i="36"/>
  <c r="J22" i="36"/>
  <c r="L21" i="36"/>
  <c r="I21" i="36"/>
  <c r="L20" i="36"/>
  <c r="I20" i="36"/>
  <c r="L19" i="36"/>
  <c r="M19" i="36" s="1"/>
  <c r="K19" i="36"/>
  <c r="I19" i="36"/>
  <c r="L18" i="36"/>
  <c r="I18" i="36"/>
  <c r="J18" i="36"/>
  <c r="L17" i="36"/>
  <c r="I17" i="36"/>
  <c r="L16" i="36"/>
  <c r="I16" i="36"/>
  <c r="J16" i="36"/>
  <c r="L15" i="36"/>
  <c r="K15" i="36"/>
  <c r="I15" i="36"/>
  <c r="L14" i="36"/>
  <c r="I14" i="36"/>
  <c r="L13" i="36"/>
  <c r="I13" i="36"/>
  <c r="L12" i="36"/>
  <c r="I12" i="36"/>
  <c r="J12" i="36"/>
  <c r="L11" i="36"/>
  <c r="I11" i="36"/>
  <c r="L10" i="36"/>
  <c r="I10" i="36"/>
  <c r="L9" i="36"/>
  <c r="I9" i="36"/>
  <c r="J9" i="36"/>
  <c r="L8" i="36"/>
  <c r="I8" i="36"/>
  <c r="L7" i="36"/>
  <c r="I7" i="36"/>
  <c r="M7" i="36"/>
  <c r="L6" i="36"/>
  <c r="K6" i="36"/>
  <c r="I6" i="36"/>
  <c r="L5" i="36"/>
  <c r="I5" i="36"/>
  <c r="I4" i="36"/>
  <c r="H4" i="36"/>
  <c r="G4" i="36"/>
  <c r="F4" i="36"/>
  <c r="K39" i="137"/>
  <c r="H38" i="137"/>
  <c r="H36" i="137"/>
  <c r="H34" i="137"/>
  <c r="J32" i="137"/>
  <c r="H32" i="137"/>
  <c r="I32" i="137"/>
  <c r="J31" i="137"/>
  <c r="H31" i="137"/>
  <c r="I31" i="137"/>
  <c r="H30" i="137"/>
  <c r="I30" i="137"/>
  <c r="H29" i="137"/>
  <c r="I29" i="137"/>
  <c r="J28" i="137"/>
  <c r="H28" i="137"/>
  <c r="H27" i="137"/>
  <c r="G27" i="137"/>
  <c r="F27" i="137"/>
  <c r="E27" i="137"/>
  <c r="D15" i="137"/>
  <c r="E13" i="137"/>
  <c r="L12" i="137" s="1"/>
  <c r="D13" i="137"/>
  <c r="M12" i="137"/>
  <c r="I12" i="137"/>
  <c r="J12" i="137"/>
  <c r="L11" i="137"/>
  <c r="K11" i="137"/>
  <c r="I11" i="137"/>
  <c r="J11" i="137"/>
  <c r="L10" i="137"/>
  <c r="I10" i="137"/>
  <c r="L9" i="137"/>
  <c r="I9" i="137"/>
  <c r="J9" i="137"/>
  <c r="L8" i="137"/>
  <c r="I8" i="137"/>
  <c r="J8" i="137"/>
  <c r="L7" i="137"/>
  <c r="K7" i="137"/>
  <c r="I7" i="137"/>
  <c r="G7" i="137"/>
  <c r="L6" i="137"/>
  <c r="I6" i="137"/>
  <c r="J6" i="137"/>
  <c r="L5" i="137"/>
  <c r="I5" i="137"/>
  <c r="L4" i="137"/>
  <c r="K4" i="137"/>
  <c r="K8" i="137" s="1"/>
  <c r="I4" i="137"/>
  <c r="H4" i="137"/>
  <c r="G4" i="137"/>
  <c r="F4" i="137"/>
  <c r="K37" i="136"/>
  <c r="H36" i="136"/>
  <c r="H34" i="136"/>
  <c r="H32" i="136"/>
  <c r="H31" i="136"/>
  <c r="J30" i="136"/>
  <c r="J29" i="136"/>
  <c r="F29" i="136"/>
  <c r="J28" i="136"/>
  <c r="H27" i="136"/>
  <c r="G27" i="136"/>
  <c r="F27" i="136"/>
  <c r="E27" i="136"/>
  <c r="D15" i="136"/>
  <c r="E13" i="136"/>
  <c r="D13" i="136"/>
  <c r="L12" i="136"/>
  <c r="I12" i="136"/>
  <c r="J12" i="136"/>
  <c r="L11" i="136"/>
  <c r="K11" i="136"/>
  <c r="I11" i="136"/>
  <c r="L10" i="136"/>
  <c r="I10" i="136"/>
  <c r="J10" i="136"/>
  <c r="L9" i="136"/>
  <c r="I9" i="136"/>
  <c r="M9" i="136"/>
  <c r="L8" i="136"/>
  <c r="I8" i="136"/>
  <c r="L7" i="136"/>
  <c r="I7" i="136"/>
  <c r="L6" i="136"/>
  <c r="I6" i="136"/>
  <c r="L5" i="136"/>
  <c r="I5" i="136"/>
  <c r="K4" i="136"/>
  <c r="K8" i="136" s="1"/>
  <c r="I4" i="136"/>
  <c r="H4" i="136"/>
  <c r="G4" i="136"/>
  <c r="F4" i="136"/>
  <c r="I72" i="64"/>
  <c r="D69" i="64"/>
  <c r="F66" i="64"/>
  <c r="I65" i="64"/>
  <c r="H65" i="64"/>
  <c r="F65" i="64"/>
  <c r="I64" i="64"/>
  <c r="H64" i="64"/>
  <c r="H66" i="64" s="1"/>
  <c r="F64" i="64"/>
  <c r="I59" i="64"/>
  <c r="D56" i="64"/>
  <c r="I52" i="64"/>
  <c r="H52" i="64"/>
  <c r="F52" i="64"/>
  <c r="I51" i="64"/>
  <c r="H51" i="64"/>
  <c r="F51" i="64"/>
  <c r="I46" i="64"/>
  <c r="D43" i="64"/>
  <c r="I39" i="64"/>
  <c r="H39" i="64"/>
  <c r="F39" i="64"/>
  <c r="I38" i="64"/>
  <c r="H38" i="64"/>
  <c r="F38" i="64"/>
  <c r="I37" i="64"/>
  <c r="H37" i="64"/>
  <c r="F37" i="64"/>
  <c r="C33" i="64"/>
  <c r="D22" i="64"/>
  <c r="K21" i="64"/>
  <c r="J20" i="64"/>
  <c r="I20" i="64"/>
  <c r="G20" i="64"/>
  <c r="J19" i="64"/>
  <c r="I19" i="64"/>
  <c r="G19" i="64"/>
  <c r="J18" i="64"/>
  <c r="I18" i="64"/>
  <c r="G18" i="64"/>
  <c r="E18" i="64"/>
  <c r="K18" i="64" s="1"/>
  <c r="J17" i="64"/>
  <c r="I17" i="64"/>
  <c r="G17" i="64"/>
  <c r="J16" i="64"/>
  <c r="I16" i="64"/>
  <c r="G16" i="64"/>
  <c r="J15" i="64"/>
  <c r="I15" i="64"/>
  <c r="G15" i="64"/>
  <c r="J14" i="64"/>
  <c r="I14" i="64"/>
  <c r="G14" i="64"/>
  <c r="E14" i="64"/>
  <c r="K14" i="64" s="1"/>
  <c r="J13" i="64"/>
  <c r="I13" i="64"/>
  <c r="G13" i="64"/>
  <c r="E13" i="64"/>
  <c r="K13" i="64" s="1"/>
  <c r="J12" i="64"/>
  <c r="I12" i="64"/>
  <c r="G12" i="64"/>
  <c r="E12" i="64"/>
  <c r="K12" i="64" s="1"/>
  <c r="J11" i="64"/>
  <c r="I11" i="64"/>
  <c r="G11" i="64"/>
  <c r="E11" i="64"/>
  <c r="K11" i="64" s="1"/>
  <c r="J10" i="64"/>
  <c r="I10" i="64"/>
  <c r="G10" i="64"/>
  <c r="J9" i="64"/>
  <c r="I9" i="64"/>
  <c r="G9" i="64"/>
  <c r="E9" i="64"/>
  <c r="K9" i="64" s="1"/>
  <c r="J8" i="64"/>
  <c r="I8" i="64"/>
  <c r="G8" i="64"/>
  <c r="J7" i="64"/>
  <c r="I7" i="64"/>
  <c r="G7" i="64"/>
  <c r="J6" i="64"/>
  <c r="I6" i="64"/>
  <c r="G6" i="64"/>
  <c r="E6" i="64"/>
  <c r="K6" i="64" s="1"/>
  <c r="J5" i="64"/>
  <c r="I5" i="64"/>
  <c r="G5" i="64"/>
  <c r="K44" i="120"/>
  <c r="H43" i="120"/>
  <c r="H41" i="120"/>
  <c r="H39" i="120"/>
  <c r="H38" i="120"/>
  <c r="J37" i="120"/>
  <c r="I37" i="120"/>
  <c r="J36" i="120"/>
  <c r="F36" i="120"/>
  <c r="J35" i="120"/>
  <c r="H34" i="120"/>
  <c r="G34" i="120"/>
  <c r="F34" i="120"/>
  <c r="E34" i="120"/>
  <c r="D22" i="120"/>
  <c r="K4" i="120" s="1"/>
  <c r="E20" i="120"/>
  <c r="D20" i="120"/>
  <c r="K19" i="120"/>
  <c r="I19" i="120"/>
  <c r="J19" i="120"/>
  <c r="I18" i="120"/>
  <c r="G18" i="120"/>
  <c r="K17" i="120"/>
  <c r="I17" i="120"/>
  <c r="J17" i="120"/>
  <c r="K16" i="120"/>
  <c r="I16" i="120"/>
  <c r="J16" i="120"/>
  <c r="K15" i="120"/>
  <c r="I15" i="120"/>
  <c r="J15" i="120"/>
  <c r="I14" i="120"/>
  <c r="G14" i="120"/>
  <c r="K13" i="120"/>
  <c r="I13" i="120"/>
  <c r="J13" i="120"/>
  <c r="K12" i="120"/>
  <c r="I12" i="120"/>
  <c r="K11" i="120"/>
  <c r="I11" i="120"/>
  <c r="J11" i="120"/>
  <c r="I10" i="120"/>
  <c r="G10" i="120"/>
  <c r="I9" i="120"/>
  <c r="J9" i="120"/>
  <c r="K8" i="120"/>
  <c r="I8" i="120"/>
  <c r="K7" i="120"/>
  <c r="I7" i="120"/>
  <c r="J7" i="120"/>
  <c r="K6" i="120"/>
  <c r="I6" i="120"/>
  <c r="G6" i="120"/>
  <c r="I5" i="120"/>
  <c r="J5" i="120"/>
  <c r="I4" i="120"/>
  <c r="H4" i="120"/>
  <c r="G4" i="120"/>
  <c r="F4" i="120"/>
  <c r="H47" i="23"/>
  <c r="H45" i="23"/>
  <c r="H43" i="23"/>
  <c r="H41" i="23"/>
  <c r="F41" i="23"/>
  <c r="J40" i="23"/>
  <c r="H40" i="23"/>
  <c r="I40" i="23"/>
  <c r="J39" i="23"/>
  <c r="H39" i="23"/>
  <c r="J38" i="23"/>
  <c r="H38" i="23"/>
  <c r="I38" i="23"/>
  <c r="H37" i="23"/>
  <c r="G37" i="23"/>
  <c r="F37" i="23"/>
  <c r="E37" i="23"/>
  <c r="C34" i="23"/>
  <c r="D25" i="23" s="1"/>
  <c r="K4" i="23" s="1"/>
  <c r="K16" i="23" s="1"/>
  <c r="E23" i="23"/>
  <c r="D23" i="23"/>
  <c r="I22" i="23"/>
  <c r="J22" i="23"/>
  <c r="I21" i="23"/>
  <c r="I20" i="23"/>
  <c r="G20" i="23"/>
  <c r="I19" i="23"/>
  <c r="I18" i="23"/>
  <c r="J18" i="23"/>
  <c r="I17" i="23"/>
  <c r="G17" i="23"/>
  <c r="I16" i="23"/>
  <c r="J16" i="23"/>
  <c r="I15" i="23"/>
  <c r="J15" i="23"/>
  <c r="I14" i="23"/>
  <c r="I13" i="23"/>
  <c r="G13" i="23"/>
  <c r="I12" i="23"/>
  <c r="J12" i="23"/>
  <c r="I11" i="23"/>
  <c r="J11" i="23"/>
  <c r="I10" i="23"/>
  <c r="G10" i="23"/>
  <c r="I9" i="23"/>
  <c r="J9" i="23"/>
  <c r="I8" i="23"/>
  <c r="G8" i="23"/>
  <c r="I7" i="23"/>
  <c r="I6" i="23"/>
  <c r="G6" i="23"/>
  <c r="I5" i="23"/>
  <c r="G5" i="23"/>
  <c r="I4" i="23"/>
  <c r="H4" i="23"/>
  <c r="G4" i="23"/>
  <c r="F4" i="23"/>
  <c r="M43" i="24"/>
  <c r="L43" i="24"/>
  <c r="H43" i="24"/>
  <c r="H42" i="24"/>
  <c r="H40" i="24"/>
  <c r="H38" i="24"/>
  <c r="K36" i="24"/>
  <c r="J36" i="24"/>
  <c r="H36" i="24"/>
  <c r="K35" i="24"/>
  <c r="J35" i="24"/>
  <c r="H35" i="24"/>
  <c r="F35" i="24"/>
  <c r="H34" i="24"/>
  <c r="G34" i="24"/>
  <c r="F34" i="24"/>
  <c r="E34" i="24"/>
  <c r="C31" i="24"/>
  <c r="D22" i="24" s="1"/>
  <c r="K4" i="24" s="1"/>
  <c r="E20" i="24"/>
  <c r="D20" i="24"/>
  <c r="I19" i="24"/>
  <c r="I18" i="24"/>
  <c r="J18" i="24"/>
  <c r="I17" i="24"/>
  <c r="J17" i="24"/>
  <c r="I16" i="24"/>
  <c r="I14" i="24"/>
  <c r="I13" i="24"/>
  <c r="J13" i="24"/>
  <c r="I12" i="24"/>
  <c r="I11" i="24"/>
  <c r="J11" i="24"/>
  <c r="I10" i="24"/>
  <c r="I9" i="24"/>
  <c r="I8" i="24"/>
  <c r="I7" i="24"/>
  <c r="J7" i="24"/>
  <c r="I6" i="24"/>
  <c r="I5" i="24"/>
  <c r="J5" i="24"/>
  <c r="I4" i="24"/>
  <c r="H4" i="24"/>
  <c r="G4" i="24"/>
  <c r="F4" i="24"/>
  <c r="H42" i="35"/>
  <c r="H40" i="35"/>
  <c r="H38" i="35"/>
  <c r="H37" i="35"/>
  <c r="J36" i="35"/>
  <c r="F36" i="35"/>
  <c r="I36" i="35" s="1"/>
  <c r="J35" i="35"/>
  <c r="F35" i="35"/>
  <c r="I35" i="35" s="1"/>
  <c r="H34" i="35"/>
  <c r="G34" i="35"/>
  <c r="F34" i="35"/>
  <c r="E34" i="35"/>
  <c r="C31" i="35"/>
  <c r="D22" i="35" s="1"/>
  <c r="K4" i="35" s="1"/>
  <c r="D20" i="35"/>
  <c r="I19" i="35"/>
  <c r="I18" i="35"/>
  <c r="I17" i="35"/>
  <c r="G17" i="35"/>
  <c r="I16" i="35"/>
  <c r="J16" i="35"/>
  <c r="I14" i="35"/>
  <c r="I13" i="35"/>
  <c r="G13" i="35"/>
  <c r="I12" i="35"/>
  <c r="J12" i="35"/>
  <c r="I11" i="35"/>
  <c r="I10" i="35"/>
  <c r="G10" i="35"/>
  <c r="I9" i="35"/>
  <c r="G9" i="35"/>
  <c r="I8" i="35"/>
  <c r="I7" i="35"/>
  <c r="G7" i="35"/>
  <c r="I6" i="35"/>
  <c r="G6" i="35"/>
  <c r="I5" i="35"/>
  <c r="J5" i="35"/>
  <c r="I4" i="35"/>
  <c r="H4" i="35"/>
  <c r="G4" i="35"/>
  <c r="F4" i="35"/>
  <c r="K52" i="21"/>
  <c r="H51" i="21"/>
  <c r="H49" i="21"/>
  <c r="H47" i="21"/>
  <c r="J45" i="21"/>
  <c r="H45" i="21"/>
  <c r="J44" i="21"/>
  <c r="H44" i="21"/>
  <c r="I44" i="21"/>
  <c r="H42" i="21"/>
  <c r="I42" i="21"/>
  <c r="J41" i="21"/>
  <c r="H41" i="21"/>
  <c r="J40" i="21"/>
  <c r="I40" i="21"/>
  <c r="H39" i="21"/>
  <c r="G39" i="21"/>
  <c r="F39" i="21"/>
  <c r="E39" i="21"/>
  <c r="C36" i="21"/>
  <c r="D27" i="21" s="1"/>
  <c r="K4" i="21" s="1"/>
  <c r="D25" i="21"/>
  <c r="I23" i="21"/>
  <c r="G23" i="21"/>
  <c r="I22" i="21"/>
  <c r="J22" i="21"/>
  <c r="I21" i="21"/>
  <c r="I20" i="21"/>
  <c r="J20" i="21"/>
  <c r="I19" i="21"/>
  <c r="J19" i="21"/>
  <c r="I18" i="21"/>
  <c r="I17" i="21"/>
  <c r="G17" i="21"/>
  <c r="I16" i="21"/>
  <c r="I15" i="21"/>
  <c r="J15" i="21"/>
  <c r="I14" i="21"/>
  <c r="G14" i="21"/>
  <c r="I13" i="21"/>
  <c r="J13" i="21"/>
  <c r="I12" i="21"/>
  <c r="J12" i="21"/>
  <c r="I11" i="21"/>
  <c r="I10" i="21"/>
  <c r="G10" i="21"/>
  <c r="I9" i="21"/>
  <c r="J9" i="21"/>
  <c r="I8" i="21"/>
  <c r="J8" i="21"/>
  <c r="I7" i="21"/>
  <c r="I6" i="21"/>
  <c r="I5" i="21"/>
  <c r="I4" i="21"/>
  <c r="H4" i="21"/>
  <c r="G4" i="21"/>
  <c r="F4" i="21"/>
  <c r="H51" i="22"/>
  <c r="H49" i="22"/>
  <c r="H47" i="22"/>
  <c r="J45" i="22"/>
  <c r="H45" i="22"/>
  <c r="I45" i="22"/>
  <c r="J44" i="22"/>
  <c r="H44" i="22"/>
  <c r="F44" i="22"/>
  <c r="H42" i="22"/>
  <c r="F42" i="22"/>
  <c r="J41" i="22"/>
  <c r="H41" i="22"/>
  <c r="I41" i="22"/>
  <c r="J40" i="22"/>
  <c r="H40" i="22"/>
  <c r="F40" i="22"/>
  <c r="H39" i="22"/>
  <c r="G39" i="22"/>
  <c r="F39" i="22"/>
  <c r="E39" i="22"/>
  <c r="C36" i="22"/>
  <c r="D27" i="22" s="1"/>
  <c r="K4" i="22" s="1"/>
  <c r="D25" i="22"/>
  <c r="I23" i="22"/>
  <c r="J23" i="22"/>
  <c r="I22" i="22"/>
  <c r="G22" i="22"/>
  <c r="I21" i="22"/>
  <c r="I20" i="22"/>
  <c r="I19" i="22"/>
  <c r="J19" i="22"/>
  <c r="I18" i="22"/>
  <c r="I17" i="22"/>
  <c r="J17" i="22"/>
  <c r="I16" i="22"/>
  <c r="G16" i="22"/>
  <c r="I15" i="22"/>
  <c r="J15" i="22"/>
  <c r="I14" i="22"/>
  <c r="J14" i="22"/>
  <c r="I13" i="22"/>
  <c r="J13" i="22"/>
  <c r="I12" i="22"/>
  <c r="I11" i="22"/>
  <c r="J11" i="22"/>
  <c r="I10" i="22"/>
  <c r="G10" i="22"/>
  <c r="I9" i="22"/>
  <c r="J9" i="22"/>
  <c r="I8" i="22"/>
  <c r="I7" i="22"/>
  <c r="I6" i="22"/>
  <c r="I5" i="22"/>
  <c r="I4" i="22"/>
  <c r="H4" i="22"/>
  <c r="G4" i="22"/>
  <c r="F4" i="22"/>
  <c r="H50" i="184"/>
  <c r="H48" i="184"/>
  <c r="H46" i="184"/>
  <c r="J44" i="184"/>
  <c r="H44" i="184"/>
  <c r="J43" i="184"/>
  <c r="H43" i="184"/>
  <c r="I43" i="184"/>
  <c r="H42" i="184"/>
  <c r="F42" i="184"/>
  <c r="J41" i="184"/>
  <c r="H41" i="184"/>
  <c r="J40" i="184"/>
  <c r="H40" i="184"/>
  <c r="H39" i="184"/>
  <c r="G39" i="184"/>
  <c r="F39" i="184"/>
  <c r="E39" i="184"/>
  <c r="C36" i="184"/>
  <c r="D27" i="184" s="1"/>
  <c r="K4" i="184" s="1"/>
  <c r="D25" i="184"/>
  <c r="I23" i="184"/>
  <c r="I22" i="184"/>
  <c r="I21" i="184"/>
  <c r="G21" i="184"/>
  <c r="I20" i="184"/>
  <c r="I19" i="184"/>
  <c r="G19" i="184"/>
  <c r="I18" i="184"/>
  <c r="I17" i="184"/>
  <c r="I16" i="184"/>
  <c r="G16" i="184"/>
  <c r="I15" i="184"/>
  <c r="I14" i="184"/>
  <c r="I13" i="184"/>
  <c r="I12" i="184"/>
  <c r="G12" i="184"/>
  <c r="I11" i="184"/>
  <c r="I10" i="184"/>
  <c r="I9" i="184"/>
  <c r="I8" i="184"/>
  <c r="I7" i="184"/>
  <c r="I6" i="184"/>
  <c r="J6" i="184"/>
  <c r="I5" i="184"/>
  <c r="I4" i="184"/>
  <c r="H4" i="184"/>
  <c r="G4" i="184"/>
  <c r="F4" i="184"/>
  <c r="L49" i="174"/>
  <c r="I48" i="174"/>
  <c r="I46" i="174"/>
  <c r="I44" i="174"/>
  <c r="H42" i="174"/>
  <c r="F42" i="174"/>
  <c r="H41" i="174"/>
  <c r="F41" i="174"/>
  <c r="H40" i="174"/>
  <c r="F40" i="174"/>
  <c r="I40" i="174" s="1"/>
  <c r="H39" i="174"/>
  <c r="F39" i="174"/>
  <c r="H38" i="174"/>
  <c r="G38" i="174"/>
  <c r="F38" i="174"/>
  <c r="E38" i="174"/>
  <c r="F35" i="174"/>
  <c r="C35" i="174"/>
  <c r="D26" i="174" s="1"/>
  <c r="E24" i="174"/>
  <c r="D24" i="174"/>
  <c r="L23" i="174"/>
  <c r="M23" i="174" s="1"/>
  <c r="I23" i="174"/>
  <c r="L22" i="174"/>
  <c r="M22" i="174" s="1"/>
  <c r="I22" i="174"/>
  <c r="G22" i="174"/>
  <c r="L21" i="174"/>
  <c r="I21" i="174"/>
  <c r="L20" i="174"/>
  <c r="I20" i="174"/>
  <c r="L19" i="174"/>
  <c r="I19" i="174"/>
  <c r="L18" i="174"/>
  <c r="M18" i="174" s="1"/>
  <c r="I18" i="174"/>
  <c r="G18" i="174"/>
  <c r="L17" i="174"/>
  <c r="I17" i="174"/>
  <c r="L16" i="174"/>
  <c r="I16" i="174"/>
  <c r="M16" i="174"/>
  <c r="L15" i="174"/>
  <c r="I15" i="174"/>
  <c r="L14" i="174"/>
  <c r="I14" i="174"/>
  <c r="M14" i="174"/>
  <c r="L13" i="174"/>
  <c r="I13" i="174"/>
  <c r="J13" i="174"/>
  <c r="L12" i="174"/>
  <c r="L11" i="174"/>
  <c r="M11" i="174" s="1"/>
  <c r="I11" i="174"/>
  <c r="L10" i="174"/>
  <c r="I10" i="174"/>
  <c r="L9" i="174"/>
  <c r="M9" i="174" s="1"/>
  <c r="I9" i="174"/>
  <c r="L8" i="174"/>
  <c r="K8" i="174"/>
  <c r="I8" i="174"/>
  <c r="M8" i="174"/>
  <c r="L7" i="174"/>
  <c r="M7" i="174" s="1"/>
  <c r="I7" i="174"/>
  <c r="L6" i="174"/>
  <c r="I6" i="174"/>
  <c r="L5" i="174"/>
  <c r="M5" i="174" s="1"/>
  <c r="I5" i="174"/>
  <c r="K4" i="174"/>
  <c r="I4" i="174"/>
  <c r="H4" i="174"/>
  <c r="G4" i="174"/>
  <c r="F4" i="174"/>
  <c r="L46" i="155"/>
  <c r="I45" i="155"/>
  <c r="I43" i="155"/>
  <c r="I41" i="155"/>
  <c r="H39" i="155"/>
  <c r="F39" i="155"/>
  <c r="I39" i="155" s="1"/>
  <c r="H38" i="155"/>
  <c r="F38" i="155"/>
  <c r="H37" i="155"/>
  <c r="F37" i="155"/>
  <c r="H36" i="155"/>
  <c r="F36" i="155"/>
  <c r="H35" i="155"/>
  <c r="G35" i="155"/>
  <c r="F35" i="155"/>
  <c r="E35" i="155"/>
  <c r="C32" i="155"/>
  <c r="D23" i="155" s="1"/>
  <c r="K4" i="155" s="1"/>
  <c r="K16" i="155" s="1"/>
  <c r="E21" i="155"/>
  <c r="D21" i="155"/>
  <c r="L20" i="155"/>
  <c r="M20" i="155" s="1"/>
  <c r="I20" i="155"/>
  <c r="L19" i="155"/>
  <c r="M19" i="155" s="1"/>
  <c r="I19" i="155"/>
  <c r="L18" i="155"/>
  <c r="I18" i="155"/>
  <c r="L17" i="155"/>
  <c r="M17" i="155" s="1"/>
  <c r="I17" i="155"/>
  <c r="L16" i="155"/>
  <c r="M16" i="155" s="1"/>
  <c r="I16" i="155"/>
  <c r="L15" i="155"/>
  <c r="I15" i="155"/>
  <c r="M15" i="155"/>
  <c r="L14" i="155"/>
  <c r="I14" i="155"/>
  <c r="L13" i="155"/>
  <c r="M13" i="155" s="1"/>
  <c r="I13" i="155"/>
  <c r="L12" i="155"/>
  <c r="M12" i="155" s="1"/>
  <c r="I12" i="155"/>
  <c r="L11" i="155"/>
  <c r="M11" i="155" s="1"/>
  <c r="I11" i="155"/>
  <c r="L10" i="155"/>
  <c r="I10" i="155"/>
  <c r="L9" i="155"/>
  <c r="M9" i="155" s="1"/>
  <c r="I9" i="155"/>
  <c r="L8" i="155"/>
  <c r="M8" i="155" s="1"/>
  <c r="I8" i="155"/>
  <c r="L7" i="155"/>
  <c r="M7" i="155" s="1"/>
  <c r="I7" i="155"/>
  <c r="L6" i="155"/>
  <c r="I6" i="155"/>
  <c r="L5" i="155"/>
  <c r="M5" i="155" s="1"/>
  <c r="I5" i="155"/>
  <c r="I4" i="155"/>
  <c r="H4" i="155"/>
  <c r="G4" i="155"/>
  <c r="F4" i="155"/>
  <c r="L46" i="173"/>
  <c r="I45" i="173"/>
  <c r="I43" i="173"/>
  <c r="I41" i="173"/>
  <c r="H39" i="173"/>
  <c r="F39" i="173"/>
  <c r="H38" i="173"/>
  <c r="F38" i="173"/>
  <c r="H37" i="173"/>
  <c r="F37" i="173"/>
  <c r="I37" i="173" s="1"/>
  <c r="H36" i="173"/>
  <c r="F36" i="173"/>
  <c r="H35" i="173"/>
  <c r="G35" i="173"/>
  <c r="F35" i="173"/>
  <c r="E35" i="173"/>
  <c r="E33" i="173"/>
  <c r="F32" i="173"/>
  <c r="C32" i="173"/>
  <c r="D23" i="173"/>
  <c r="K4" i="173" s="1"/>
  <c r="K14" i="173" s="1"/>
  <c r="E21" i="173"/>
  <c r="D21" i="173"/>
  <c r="L20" i="173"/>
  <c r="I20" i="173"/>
  <c r="G20" i="173"/>
  <c r="L19" i="173"/>
  <c r="I19" i="173"/>
  <c r="G19" i="173"/>
  <c r="L18" i="173"/>
  <c r="I18" i="173"/>
  <c r="G18" i="173"/>
  <c r="L17" i="173"/>
  <c r="I17" i="173"/>
  <c r="L16" i="173"/>
  <c r="I16" i="173"/>
  <c r="G16" i="173"/>
  <c r="L15" i="173"/>
  <c r="I15" i="173"/>
  <c r="J15" i="173"/>
  <c r="L14" i="173"/>
  <c r="M14" i="173" s="1"/>
  <c r="I14" i="173"/>
  <c r="L13" i="173"/>
  <c r="I13" i="173"/>
  <c r="L12" i="173"/>
  <c r="I12" i="173"/>
  <c r="L11" i="173"/>
  <c r="I11" i="173"/>
  <c r="J11" i="173"/>
  <c r="L10" i="173"/>
  <c r="I10" i="173"/>
  <c r="J10" i="173"/>
  <c r="L9" i="173"/>
  <c r="I9" i="173"/>
  <c r="J9" i="173"/>
  <c r="L8" i="173"/>
  <c r="I8" i="173"/>
  <c r="L7" i="173"/>
  <c r="I7" i="173"/>
  <c r="J7" i="173"/>
  <c r="L6" i="173"/>
  <c r="I6" i="173"/>
  <c r="L5" i="173"/>
  <c r="I5" i="173"/>
  <c r="I4" i="173"/>
  <c r="H4" i="173"/>
  <c r="G4" i="173"/>
  <c r="F4" i="173"/>
  <c r="L46" i="171"/>
  <c r="I45" i="171"/>
  <c r="I43" i="171"/>
  <c r="I41" i="171"/>
  <c r="H39" i="171"/>
  <c r="F39" i="171"/>
  <c r="H38" i="171"/>
  <c r="F38" i="171"/>
  <c r="H37" i="171"/>
  <c r="F37" i="171"/>
  <c r="I37" i="171" s="1"/>
  <c r="H36" i="171"/>
  <c r="F36" i="171"/>
  <c r="H35" i="171"/>
  <c r="G35" i="171"/>
  <c r="F35" i="171"/>
  <c r="E35" i="171"/>
  <c r="C32" i="171"/>
  <c r="D23" i="171"/>
  <c r="K4" i="171" s="1"/>
  <c r="K7" i="171" s="1"/>
  <c r="I21" i="171"/>
  <c r="E21" i="171"/>
  <c r="D21" i="171"/>
  <c r="L20" i="171"/>
  <c r="K20" i="171"/>
  <c r="J20" i="171"/>
  <c r="L19" i="171"/>
  <c r="M19" i="171" s="1"/>
  <c r="L18" i="171"/>
  <c r="L17" i="171"/>
  <c r="L16" i="171"/>
  <c r="L15" i="171"/>
  <c r="M15" i="171" s="1"/>
  <c r="L14" i="171"/>
  <c r="K14" i="171"/>
  <c r="L13" i="171"/>
  <c r="M13" i="171" s="1"/>
  <c r="L12" i="171"/>
  <c r="M12" i="171"/>
  <c r="L11" i="171"/>
  <c r="G11" i="171"/>
  <c r="L10" i="171"/>
  <c r="K10" i="171"/>
  <c r="J10" i="171"/>
  <c r="L9" i="171"/>
  <c r="M9" i="171" s="1"/>
  <c r="L8" i="171"/>
  <c r="G8" i="171"/>
  <c r="L7" i="171"/>
  <c r="M7" i="171" s="1"/>
  <c r="L6" i="171"/>
  <c r="J6" i="171"/>
  <c r="L5" i="171"/>
  <c r="K5" i="171"/>
  <c r="I4" i="171"/>
  <c r="H4" i="171"/>
  <c r="G4" i="171"/>
  <c r="F4" i="171"/>
  <c r="L47" i="180"/>
  <c r="I46" i="180"/>
  <c r="I44" i="180"/>
  <c r="I42" i="180"/>
  <c r="H40" i="180"/>
  <c r="F40" i="180"/>
  <c r="H39" i="180"/>
  <c r="F39" i="180"/>
  <c r="H38" i="180"/>
  <c r="F38" i="180"/>
  <c r="H37" i="180"/>
  <c r="F37" i="180"/>
  <c r="H36" i="180"/>
  <c r="F36" i="180"/>
  <c r="H35" i="180"/>
  <c r="G35" i="180"/>
  <c r="F35" i="180"/>
  <c r="E35" i="180"/>
  <c r="F33" i="180"/>
  <c r="E33" i="180"/>
  <c r="C32" i="180"/>
  <c r="D23" i="180" s="1"/>
  <c r="D21" i="180"/>
  <c r="L20" i="180"/>
  <c r="I20" i="180"/>
  <c r="L19" i="180"/>
  <c r="I19" i="180"/>
  <c r="L18" i="180"/>
  <c r="I18" i="180"/>
  <c r="L17" i="180"/>
  <c r="I17" i="180"/>
  <c r="L16" i="180"/>
  <c r="I16" i="180"/>
  <c r="L15" i="180"/>
  <c r="I15" i="180"/>
  <c r="L14" i="180"/>
  <c r="I14" i="180"/>
  <c r="L13" i="180"/>
  <c r="I13" i="180"/>
  <c r="L12" i="180"/>
  <c r="M12" i="180" s="1"/>
  <c r="I12" i="180"/>
  <c r="L11" i="180"/>
  <c r="I11" i="180"/>
  <c r="L10" i="180"/>
  <c r="I10" i="180"/>
  <c r="M10" i="180"/>
  <c r="L9" i="180"/>
  <c r="I9" i="180"/>
  <c r="J9" i="180"/>
  <c r="L8" i="180"/>
  <c r="I8" i="180"/>
  <c r="L7" i="180"/>
  <c r="M7" i="180" s="1"/>
  <c r="I7" i="180"/>
  <c r="L6" i="180"/>
  <c r="I6" i="180"/>
  <c r="L5" i="180"/>
  <c r="I5" i="180"/>
  <c r="K4" i="180"/>
  <c r="K12" i="180" s="1"/>
  <c r="I4" i="180"/>
  <c r="H4" i="180"/>
  <c r="G4" i="180"/>
  <c r="F4" i="180"/>
  <c r="L46" i="178"/>
  <c r="I45" i="178"/>
  <c r="I43" i="178"/>
  <c r="I41" i="178"/>
  <c r="H39" i="178"/>
  <c r="F39" i="178"/>
  <c r="H38" i="178"/>
  <c r="F38" i="178"/>
  <c r="I38" i="178" s="1"/>
  <c r="H37" i="178"/>
  <c r="F37" i="178"/>
  <c r="H36" i="178"/>
  <c r="F36" i="178"/>
  <c r="H35" i="178"/>
  <c r="G35" i="178"/>
  <c r="F35" i="178"/>
  <c r="E35" i="178"/>
  <c r="E33" i="178"/>
  <c r="C32" i="178"/>
  <c r="D23" i="178"/>
  <c r="K4" i="178" s="1"/>
  <c r="K17" i="178" s="1"/>
  <c r="I21" i="178"/>
  <c r="D21" i="178"/>
  <c r="L20" i="178"/>
  <c r="M20" i="178"/>
  <c r="L19" i="178"/>
  <c r="G19" i="178"/>
  <c r="L18" i="178"/>
  <c r="L17" i="178"/>
  <c r="J17" i="178"/>
  <c r="L16" i="178"/>
  <c r="G16" i="178"/>
  <c r="L15" i="178"/>
  <c r="M15" i="178" s="1"/>
  <c r="L14" i="178"/>
  <c r="L13" i="178"/>
  <c r="L12" i="178"/>
  <c r="M12" i="178"/>
  <c r="L11" i="178"/>
  <c r="L10" i="178"/>
  <c r="M10" i="178" s="1"/>
  <c r="L9" i="178"/>
  <c r="M9" i="178" s="1"/>
  <c r="L8" i="178"/>
  <c r="G8" i="178"/>
  <c r="L7" i="178"/>
  <c r="J7" i="178"/>
  <c r="L6" i="178"/>
  <c r="L5" i="178"/>
  <c r="J5" i="178"/>
  <c r="I4" i="178"/>
  <c r="H4" i="178"/>
  <c r="G4" i="178"/>
  <c r="F4" i="178"/>
  <c r="L46" i="156"/>
  <c r="I45" i="156"/>
  <c r="I43" i="156"/>
  <c r="I41" i="156"/>
  <c r="H39" i="156"/>
  <c r="F39" i="156"/>
  <c r="H38" i="156"/>
  <c r="F38" i="156"/>
  <c r="H37" i="156"/>
  <c r="F37" i="156"/>
  <c r="H36" i="156"/>
  <c r="F36" i="156"/>
  <c r="H35" i="156"/>
  <c r="G35" i="156"/>
  <c r="F35" i="156"/>
  <c r="E35" i="156"/>
  <c r="C32" i="156"/>
  <c r="D23" i="156" s="1"/>
  <c r="K4" i="156" s="1"/>
  <c r="I21" i="156"/>
  <c r="D21" i="156"/>
  <c r="L20" i="156"/>
  <c r="L19" i="156"/>
  <c r="L18" i="156"/>
  <c r="L17" i="156"/>
  <c r="G17" i="156"/>
  <c r="L16" i="156"/>
  <c r="G16" i="156"/>
  <c r="L15" i="156"/>
  <c r="L14" i="156"/>
  <c r="J14" i="156"/>
  <c r="L13" i="156"/>
  <c r="M13" i="156" s="1"/>
  <c r="L12" i="156"/>
  <c r="M12" i="156" s="1"/>
  <c r="L11" i="156"/>
  <c r="J11" i="156"/>
  <c r="L10" i="156"/>
  <c r="L9" i="156"/>
  <c r="G9" i="156"/>
  <c r="L8" i="156"/>
  <c r="L7" i="156"/>
  <c r="L6" i="156"/>
  <c r="J6" i="156"/>
  <c r="L5" i="156"/>
  <c r="M5" i="156" s="1"/>
  <c r="I4" i="156"/>
  <c r="H4" i="156"/>
  <c r="G4" i="156"/>
  <c r="F4" i="156"/>
  <c r="I44" i="90"/>
  <c r="D41" i="90"/>
  <c r="I37" i="90"/>
  <c r="H37" i="90"/>
  <c r="F37" i="90"/>
  <c r="I36" i="90"/>
  <c r="H36" i="90"/>
  <c r="F36" i="90"/>
  <c r="I35" i="90"/>
  <c r="H35" i="90"/>
  <c r="F35" i="90"/>
  <c r="I34" i="90"/>
  <c r="H34" i="90"/>
  <c r="F34" i="90"/>
  <c r="C30" i="90"/>
  <c r="I19" i="90"/>
  <c r="D19" i="90"/>
  <c r="E8" i="90" s="1"/>
  <c r="K8" i="90" s="1"/>
  <c r="J17" i="90"/>
  <c r="G17" i="90"/>
  <c r="J16" i="90"/>
  <c r="G16" i="90"/>
  <c r="J15" i="90"/>
  <c r="G15" i="90"/>
  <c r="J14" i="90"/>
  <c r="G14" i="90"/>
  <c r="J13" i="90"/>
  <c r="G13" i="90"/>
  <c r="J12" i="90"/>
  <c r="G12" i="90"/>
  <c r="E12" i="90"/>
  <c r="K12" i="90" s="1"/>
  <c r="J11" i="90"/>
  <c r="G11" i="90"/>
  <c r="J10" i="90"/>
  <c r="G10" i="90"/>
  <c r="J9" i="90"/>
  <c r="G9" i="90"/>
  <c r="J8" i="90"/>
  <c r="G8" i="90"/>
  <c r="J7" i="90"/>
  <c r="G7" i="90"/>
  <c r="J6" i="90"/>
  <c r="G6" i="90"/>
  <c r="J5" i="90"/>
  <c r="G5" i="90"/>
  <c r="H46" i="130"/>
  <c r="D43" i="130"/>
  <c r="F40" i="130"/>
  <c r="F39" i="130"/>
  <c r="F38" i="130"/>
  <c r="F37" i="130"/>
  <c r="F36" i="130"/>
  <c r="C32" i="130"/>
  <c r="G19" i="130"/>
  <c r="E19" i="130"/>
  <c r="H19" i="130" s="1"/>
  <c r="G18" i="130"/>
  <c r="E18" i="130"/>
  <c r="H18" i="130" s="1"/>
  <c r="G17" i="130"/>
  <c r="E17" i="130"/>
  <c r="H17" i="130" s="1"/>
  <c r="G16" i="130"/>
  <c r="E16" i="130"/>
  <c r="H16" i="130" s="1"/>
  <c r="G15" i="130"/>
  <c r="E15" i="130"/>
  <c r="H15" i="130" s="1"/>
  <c r="H14" i="130"/>
  <c r="G14" i="130"/>
  <c r="E14" i="130"/>
  <c r="G13" i="130"/>
  <c r="E13" i="130"/>
  <c r="H13" i="130" s="1"/>
  <c r="G12" i="130"/>
  <c r="E12" i="130"/>
  <c r="H12" i="130" s="1"/>
  <c r="G11" i="130"/>
  <c r="E11" i="130"/>
  <c r="G10" i="130"/>
  <c r="E10" i="130"/>
  <c r="H10" i="130" s="1"/>
  <c r="G9" i="130"/>
  <c r="E9" i="130"/>
  <c r="H9" i="130" s="1"/>
  <c r="G8" i="130"/>
  <c r="E8" i="130"/>
  <c r="H8" i="130" s="1"/>
  <c r="G7" i="130"/>
  <c r="E7" i="130"/>
  <c r="H7" i="130" s="1"/>
  <c r="H6" i="130"/>
  <c r="G6" i="130"/>
  <c r="E6" i="130"/>
  <c r="G5" i="130"/>
  <c r="E5" i="130"/>
  <c r="H5" i="130" s="1"/>
  <c r="H46" i="129"/>
  <c r="D43" i="129"/>
  <c r="F39" i="129"/>
  <c r="F38" i="129"/>
  <c r="F37" i="129"/>
  <c r="F36" i="129"/>
  <c r="C32" i="129"/>
  <c r="D21" i="129"/>
  <c r="G19" i="129"/>
  <c r="G18" i="129"/>
  <c r="G17" i="129"/>
  <c r="G16" i="129"/>
  <c r="G15" i="129"/>
  <c r="G14" i="129"/>
  <c r="G13" i="129"/>
  <c r="G12" i="129"/>
  <c r="E12" i="129"/>
  <c r="G11" i="129"/>
  <c r="G10" i="129"/>
  <c r="G9" i="129"/>
  <c r="G8" i="129"/>
  <c r="G7" i="129"/>
  <c r="E7" i="129"/>
  <c r="G6" i="129"/>
  <c r="E6" i="129"/>
  <c r="G5" i="129"/>
  <c r="L46" i="119"/>
  <c r="I43" i="119"/>
  <c r="I41" i="119"/>
  <c r="H40" i="119"/>
  <c r="F39" i="119"/>
  <c r="I39" i="119" s="1"/>
  <c r="F38" i="119"/>
  <c r="I38" i="119" s="1"/>
  <c r="F37" i="119"/>
  <c r="I37" i="119" s="1"/>
  <c r="F36" i="119"/>
  <c r="I36" i="119" s="1"/>
  <c r="H35" i="119"/>
  <c r="G35" i="119"/>
  <c r="F35" i="119"/>
  <c r="E35" i="119"/>
  <c r="C32" i="119"/>
  <c r="D23" i="119" s="1"/>
  <c r="K4" i="119" s="1"/>
  <c r="K18" i="119" s="1"/>
  <c r="D21" i="119"/>
  <c r="L19" i="119"/>
  <c r="M19" i="119" s="1"/>
  <c r="L20" i="119"/>
  <c r="L17" i="119"/>
  <c r="L16" i="119"/>
  <c r="G16" i="119"/>
  <c r="L15" i="119"/>
  <c r="G15" i="119"/>
  <c r="L14" i="119"/>
  <c r="L13" i="119"/>
  <c r="G13" i="119"/>
  <c r="L12" i="119"/>
  <c r="L11" i="119"/>
  <c r="L10" i="119"/>
  <c r="M10" i="119" s="1"/>
  <c r="L9" i="119"/>
  <c r="L8" i="119"/>
  <c r="L7" i="119"/>
  <c r="G7" i="119"/>
  <c r="L6" i="119"/>
  <c r="L5" i="119"/>
  <c r="I4" i="119"/>
  <c r="H4" i="119"/>
  <c r="G4" i="119"/>
  <c r="F4" i="119"/>
  <c r="H43" i="182"/>
  <c r="H41" i="182"/>
  <c r="H38" i="182"/>
  <c r="J37" i="182"/>
  <c r="F37" i="182"/>
  <c r="I37" i="182" s="1"/>
  <c r="J36" i="182"/>
  <c r="F36" i="182"/>
  <c r="I36" i="182" s="1"/>
  <c r="J35" i="182"/>
  <c r="F35" i="182"/>
  <c r="I35" i="182" s="1"/>
  <c r="H34" i="182"/>
  <c r="G34" i="182"/>
  <c r="F34" i="182"/>
  <c r="E34" i="182"/>
  <c r="C31" i="182"/>
  <c r="D22" i="182" s="1"/>
  <c r="K4" i="182" s="1"/>
  <c r="I20" i="182"/>
  <c r="D20" i="182"/>
  <c r="J19" i="182"/>
  <c r="G18" i="182"/>
  <c r="J16" i="182"/>
  <c r="J13" i="182"/>
  <c r="G10" i="182"/>
  <c r="J8" i="182"/>
  <c r="J6" i="182"/>
  <c r="J5" i="182"/>
  <c r="I4" i="182"/>
  <c r="H4" i="182"/>
  <c r="G4" i="182"/>
  <c r="F4" i="182"/>
  <c r="H45" i="146"/>
  <c r="H43" i="146"/>
  <c r="H41" i="146"/>
  <c r="J39" i="146"/>
  <c r="H39" i="146"/>
  <c r="F39" i="146"/>
  <c r="I39" i="146" s="1"/>
  <c r="H38" i="146"/>
  <c r="F38" i="146"/>
  <c r="J37" i="146"/>
  <c r="H37" i="146"/>
  <c r="F37" i="146"/>
  <c r="J36" i="146"/>
  <c r="H36" i="146"/>
  <c r="F36" i="146"/>
  <c r="J35" i="146"/>
  <c r="H35" i="146"/>
  <c r="F35" i="146"/>
  <c r="I35" i="146" s="1"/>
  <c r="H34" i="146"/>
  <c r="G34" i="146"/>
  <c r="F34" i="146"/>
  <c r="E34" i="146"/>
  <c r="C31" i="146"/>
  <c r="D22" i="146" s="1"/>
  <c r="K4" i="146" s="1"/>
  <c r="K14" i="146" s="1"/>
  <c r="D20" i="146"/>
  <c r="E17" i="146" s="1"/>
  <c r="L17" i="146" s="1"/>
  <c r="M17" i="146" s="1"/>
  <c r="I19" i="146"/>
  <c r="E19" i="146"/>
  <c r="L19" i="146" s="1"/>
  <c r="M19" i="146" s="1"/>
  <c r="G19" i="146"/>
  <c r="I18" i="146"/>
  <c r="E18" i="146"/>
  <c r="L18" i="146" s="1"/>
  <c r="M18" i="146" s="1"/>
  <c r="J18" i="146"/>
  <c r="I17" i="146"/>
  <c r="I16" i="146"/>
  <c r="E16" i="146"/>
  <c r="L16" i="146" s="1"/>
  <c r="M16" i="146" s="1"/>
  <c r="J16" i="146"/>
  <c r="I15" i="146"/>
  <c r="E15" i="146"/>
  <c r="L15" i="146" s="1"/>
  <c r="M15" i="146" s="1"/>
  <c r="G15" i="146"/>
  <c r="I14" i="146"/>
  <c r="E14" i="146"/>
  <c r="L14" i="146" s="1"/>
  <c r="M14" i="146" s="1"/>
  <c r="I13" i="146"/>
  <c r="J13" i="146"/>
  <c r="I12" i="146"/>
  <c r="E12" i="146"/>
  <c r="L12" i="146" s="1"/>
  <c r="M12" i="146" s="1"/>
  <c r="J12" i="146"/>
  <c r="I11" i="146"/>
  <c r="E11" i="146"/>
  <c r="L11" i="146" s="1"/>
  <c r="M11" i="146" s="1"/>
  <c r="G11" i="146"/>
  <c r="I10" i="146"/>
  <c r="J10" i="146"/>
  <c r="I9" i="146"/>
  <c r="E9" i="146"/>
  <c r="L9" i="146" s="1"/>
  <c r="M9" i="146" s="1"/>
  <c r="I8" i="146"/>
  <c r="E8" i="146"/>
  <c r="J8" i="146"/>
  <c r="I7" i="146"/>
  <c r="E7" i="146"/>
  <c r="L7" i="146" s="1"/>
  <c r="M7" i="146" s="1"/>
  <c r="G7" i="146"/>
  <c r="I6" i="146"/>
  <c r="E6" i="146"/>
  <c r="L6" i="146" s="1"/>
  <c r="M6" i="146" s="1"/>
  <c r="J6" i="146"/>
  <c r="I5" i="146"/>
  <c r="E5" i="146"/>
  <c r="L5" i="146" s="1"/>
  <c r="J5" i="146"/>
  <c r="I4" i="146"/>
  <c r="H4" i="146"/>
  <c r="G4" i="146"/>
  <c r="F4" i="146"/>
  <c r="K46" i="157"/>
  <c r="H45" i="157"/>
  <c r="H43" i="157"/>
  <c r="H41" i="157"/>
  <c r="H39" i="157"/>
  <c r="F39" i="157"/>
  <c r="J38" i="157"/>
  <c r="H38" i="157"/>
  <c r="F38" i="157"/>
  <c r="J37" i="157"/>
  <c r="H37" i="157"/>
  <c r="I37" i="157"/>
  <c r="J36" i="157"/>
  <c r="H36" i="157"/>
  <c r="J35" i="157"/>
  <c r="H35" i="157"/>
  <c r="H34" i="157"/>
  <c r="G34" i="157"/>
  <c r="F34" i="157"/>
  <c r="E34" i="157"/>
  <c r="C31" i="157"/>
  <c r="D22" i="157"/>
  <c r="K4" i="157" s="1"/>
  <c r="D20" i="157"/>
  <c r="E17" i="157" s="1"/>
  <c r="K17" i="157" s="1"/>
  <c r="I19" i="157"/>
  <c r="I18" i="157"/>
  <c r="G18" i="157"/>
  <c r="I17" i="157"/>
  <c r="I16" i="157"/>
  <c r="I15" i="157"/>
  <c r="J15" i="157"/>
  <c r="I14" i="157"/>
  <c r="I13" i="157"/>
  <c r="I12" i="157"/>
  <c r="I11" i="157"/>
  <c r="J11" i="157"/>
  <c r="I10" i="157"/>
  <c r="G10" i="157"/>
  <c r="I9" i="157"/>
  <c r="I8" i="157"/>
  <c r="I7" i="157"/>
  <c r="I6" i="157"/>
  <c r="G6" i="157"/>
  <c r="I5" i="157"/>
  <c r="I4" i="157"/>
  <c r="H4" i="157"/>
  <c r="G4" i="157"/>
  <c r="F4" i="157"/>
  <c r="K44" i="181"/>
  <c r="H43" i="181"/>
  <c r="H41" i="181"/>
  <c r="H39" i="181"/>
  <c r="J37" i="181"/>
  <c r="H37" i="181"/>
  <c r="J36" i="181"/>
  <c r="H36" i="181"/>
  <c r="J35" i="181"/>
  <c r="H35" i="181"/>
  <c r="I35" i="181"/>
  <c r="H34" i="181"/>
  <c r="G34" i="181"/>
  <c r="F34" i="181"/>
  <c r="E34" i="181"/>
  <c r="C31" i="181"/>
  <c r="D22" i="181"/>
  <c r="K4" i="181" s="1"/>
  <c r="K11" i="181" s="1"/>
  <c r="D20" i="181"/>
  <c r="E12" i="181" s="1"/>
  <c r="I19" i="181"/>
  <c r="I18" i="181"/>
  <c r="I17" i="181"/>
  <c r="I16" i="181"/>
  <c r="J16" i="181"/>
  <c r="I15" i="181"/>
  <c r="I14" i="181"/>
  <c r="I13" i="181"/>
  <c r="I12" i="181"/>
  <c r="J12" i="181"/>
  <c r="I11" i="181"/>
  <c r="I10" i="181"/>
  <c r="I9" i="181"/>
  <c r="J9" i="181"/>
  <c r="I8" i="181"/>
  <c r="J8" i="181"/>
  <c r="I7" i="181"/>
  <c r="I6" i="181"/>
  <c r="I5" i="181"/>
  <c r="I4" i="181"/>
  <c r="H4" i="181"/>
  <c r="G4" i="181"/>
  <c r="F4" i="181"/>
  <c r="K43" i="162"/>
  <c r="H42" i="162"/>
  <c r="H40" i="162"/>
  <c r="H38" i="162"/>
  <c r="J35" i="162"/>
  <c r="H35" i="162"/>
  <c r="J34" i="162"/>
  <c r="H34" i="162"/>
  <c r="J33" i="162"/>
  <c r="H33" i="162"/>
  <c r="H32" i="162"/>
  <c r="G32" i="162"/>
  <c r="F32" i="162"/>
  <c r="E32" i="162"/>
  <c r="E30" i="162"/>
  <c r="C29" i="162"/>
  <c r="D20" i="162" s="1"/>
  <c r="K4" i="162" s="1"/>
  <c r="E18" i="162"/>
  <c r="D18" i="162"/>
  <c r="L17" i="162"/>
  <c r="I17" i="162"/>
  <c r="G17" i="162"/>
  <c r="L16" i="162"/>
  <c r="I16" i="162"/>
  <c r="L15" i="162"/>
  <c r="M15" i="162" s="1"/>
  <c r="I15" i="162"/>
  <c r="L14" i="162"/>
  <c r="I14" i="162"/>
  <c r="L13" i="162"/>
  <c r="M13" i="162" s="1"/>
  <c r="I13" i="162"/>
  <c r="L12" i="162"/>
  <c r="I12" i="162"/>
  <c r="L11" i="162"/>
  <c r="M11" i="162" s="1"/>
  <c r="I11" i="162"/>
  <c r="L10" i="162"/>
  <c r="I10" i="162"/>
  <c r="L9" i="162"/>
  <c r="M9" i="162" s="1"/>
  <c r="I9" i="162"/>
  <c r="L8" i="162"/>
  <c r="I8" i="162"/>
  <c r="G8" i="162"/>
  <c r="L7" i="162"/>
  <c r="I7" i="162"/>
  <c r="L6" i="162"/>
  <c r="I6" i="162"/>
  <c r="G6" i="162"/>
  <c r="L5" i="162"/>
  <c r="I5" i="162"/>
  <c r="G5" i="162"/>
  <c r="I4" i="162"/>
  <c r="H4" i="162"/>
  <c r="G4" i="162"/>
  <c r="F4" i="162"/>
  <c r="H44" i="145"/>
  <c r="H42" i="145"/>
  <c r="H40" i="145"/>
  <c r="J38" i="145"/>
  <c r="H38" i="145"/>
  <c r="I38" i="145"/>
  <c r="J36" i="145"/>
  <c r="H36" i="145"/>
  <c r="J35" i="145"/>
  <c r="H35" i="145"/>
  <c r="F35" i="145"/>
  <c r="J34" i="145"/>
  <c r="H34" i="145"/>
  <c r="I34" i="145"/>
  <c r="H33" i="145"/>
  <c r="G33" i="145"/>
  <c r="F33" i="145"/>
  <c r="E33" i="145"/>
  <c r="C30" i="145"/>
  <c r="D21" i="145" s="1"/>
  <c r="K4" i="145" s="1"/>
  <c r="K16" i="145" s="1"/>
  <c r="E19" i="145"/>
  <c r="D19" i="145"/>
  <c r="I18" i="145"/>
  <c r="G18" i="145"/>
  <c r="I17" i="145"/>
  <c r="I16" i="145"/>
  <c r="I15" i="145"/>
  <c r="J15" i="145"/>
  <c r="I14" i="145"/>
  <c r="J14" i="145"/>
  <c r="I13" i="145"/>
  <c r="I12" i="145"/>
  <c r="G12" i="145"/>
  <c r="I11" i="145"/>
  <c r="I10" i="145"/>
  <c r="J10" i="145"/>
  <c r="I9" i="145"/>
  <c r="I8" i="145"/>
  <c r="G8" i="145"/>
  <c r="I7" i="145"/>
  <c r="J7" i="145"/>
  <c r="I6" i="145"/>
  <c r="I5" i="145"/>
  <c r="G5" i="145"/>
  <c r="I4" i="145"/>
  <c r="H4" i="145"/>
  <c r="G4" i="145"/>
  <c r="F4" i="145"/>
  <c r="H43" i="183"/>
  <c r="H41" i="183"/>
  <c r="H39" i="183"/>
  <c r="J37" i="183"/>
  <c r="H37" i="183"/>
  <c r="I37" i="183"/>
  <c r="J36" i="183"/>
  <c r="H36" i="183"/>
  <c r="J35" i="183"/>
  <c r="H35" i="183"/>
  <c r="F35" i="183"/>
  <c r="J34" i="183"/>
  <c r="H34" i="183"/>
  <c r="F34" i="183"/>
  <c r="H33" i="183"/>
  <c r="G33" i="183"/>
  <c r="F33" i="183"/>
  <c r="E33" i="183"/>
  <c r="E31" i="183"/>
  <c r="C30" i="183"/>
  <c r="D21" i="183"/>
  <c r="E19" i="183"/>
  <c r="D19" i="183"/>
  <c r="I18" i="183"/>
  <c r="G18" i="183"/>
  <c r="I17" i="183"/>
  <c r="G17" i="183"/>
  <c r="I16" i="183"/>
  <c r="J16" i="183"/>
  <c r="I15" i="183"/>
  <c r="I14" i="183"/>
  <c r="J14" i="183"/>
  <c r="I13" i="183"/>
  <c r="G13" i="183"/>
  <c r="I12" i="183"/>
  <c r="J12" i="183"/>
  <c r="I11" i="183"/>
  <c r="J11" i="183"/>
  <c r="I10" i="183"/>
  <c r="K9" i="183"/>
  <c r="I9" i="183"/>
  <c r="G9" i="183"/>
  <c r="I8" i="183"/>
  <c r="I7" i="183"/>
  <c r="I6" i="183"/>
  <c r="J6" i="183"/>
  <c r="I5" i="183"/>
  <c r="G5" i="183"/>
  <c r="K4" i="183"/>
  <c r="I4" i="183"/>
  <c r="H4" i="183"/>
  <c r="G4" i="183"/>
  <c r="F4" i="183"/>
  <c r="H43" i="34"/>
  <c r="H41" i="34"/>
  <c r="H39" i="34"/>
  <c r="J37" i="34"/>
  <c r="H37" i="34"/>
  <c r="H36" i="34"/>
  <c r="F36" i="34"/>
  <c r="J35" i="34"/>
  <c r="H35" i="34"/>
  <c r="F35" i="34"/>
  <c r="J34" i="34"/>
  <c r="H34" i="34"/>
  <c r="I34" i="34"/>
  <c r="H33" i="34"/>
  <c r="G33" i="34"/>
  <c r="F33" i="34"/>
  <c r="E33" i="34"/>
  <c r="E31" i="34"/>
  <c r="C30" i="34"/>
  <c r="D21" i="34" s="1"/>
  <c r="K4" i="34" s="1"/>
  <c r="E19" i="34"/>
  <c r="D19" i="34"/>
  <c r="L18" i="34"/>
  <c r="I18" i="34"/>
  <c r="L17" i="34"/>
  <c r="I17" i="34"/>
  <c r="L16" i="34"/>
  <c r="I16" i="34"/>
  <c r="L15" i="34"/>
  <c r="I15" i="34"/>
  <c r="L14" i="34"/>
  <c r="M14" i="34" s="1"/>
  <c r="I14" i="34"/>
  <c r="L13" i="34"/>
  <c r="M13" i="34" s="1"/>
  <c r="I13" i="34"/>
  <c r="L12" i="34"/>
  <c r="M12" i="34" s="1"/>
  <c r="I12" i="34"/>
  <c r="L11" i="34"/>
  <c r="M11" i="34" s="1"/>
  <c r="I11" i="34"/>
  <c r="L10" i="34"/>
  <c r="M10" i="34" s="1"/>
  <c r="I10" i="34"/>
  <c r="L9" i="34"/>
  <c r="M9" i="34" s="1"/>
  <c r="I9" i="34"/>
  <c r="L8" i="34"/>
  <c r="M8" i="34" s="1"/>
  <c r="I8" i="34"/>
  <c r="L7" i="34"/>
  <c r="M7" i="34" s="1"/>
  <c r="I7" i="34"/>
  <c r="L6" i="34"/>
  <c r="M6" i="34" s="1"/>
  <c r="I6" i="34"/>
  <c r="L5" i="34"/>
  <c r="I5" i="34"/>
  <c r="I4" i="34"/>
  <c r="H4" i="34"/>
  <c r="G4" i="34"/>
  <c r="F4" i="34"/>
  <c r="H48" i="17"/>
  <c r="H46" i="17"/>
  <c r="H44" i="17"/>
  <c r="J42" i="17"/>
  <c r="H42" i="17"/>
  <c r="I42" i="17"/>
  <c r="J40" i="17"/>
  <c r="H40" i="17"/>
  <c r="I40" i="17"/>
  <c r="J39" i="17"/>
  <c r="H39" i="17"/>
  <c r="I39" i="17"/>
  <c r="H38" i="17"/>
  <c r="G38" i="17"/>
  <c r="F38" i="17"/>
  <c r="E38" i="17"/>
  <c r="E36" i="17"/>
  <c r="C35" i="17"/>
  <c r="D26" i="17" s="1"/>
  <c r="E24" i="17"/>
  <c r="D24" i="17"/>
  <c r="K23" i="17"/>
  <c r="I23" i="17"/>
  <c r="K22" i="17"/>
  <c r="I22" i="17"/>
  <c r="J22" i="17"/>
  <c r="K21" i="17"/>
  <c r="I21" i="17"/>
  <c r="J21" i="17"/>
  <c r="K20" i="17"/>
  <c r="I20" i="17"/>
  <c r="K19" i="17"/>
  <c r="I19" i="17"/>
  <c r="K18" i="17"/>
  <c r="I18" i="17"/>
  <c r="J18" i="17"/>
  <c r="K17" i="17"/>
  <c r="I17" i="17"/>
  <c r="K16" i="17"/>
  <c r="I16" i="17"/>
  <c r="K15" i="17"/>
  <c r="I15" i="17"/>
  <c r="J15" i="17"/>
  <c r="K14" i="17"/>
  <c r="I14" i="17"/>
  <c r="J14" i="17"/>
  <c r="K13" i="17"/>
  <c r="I13" i="17"/>
  <c r="K12" i="17"/>
  <c r="I12" i="17"/>
  <c r="K11" i="17"/>
  <c r="I11" i="17"/>
  <c r="K9" i="17"/>
  <c r="I9" i="17"/>
  <c r="J9" i="17"/>
  <c r="K8" i="17"/>
  <c r="I8" i="17"/>
  <c r="K7" i="17"/>
  <c r="I7" i="17"/>
  <c r="J7" i="17"/>
  <c r="K6" i="17"/>
  <c r="I6" i="17"/>
  <c r="K5" i="17"/>
  <c r="I5" i="17"/>
  <c r="J5" i="17"/>
  <c r="I4" i="17"/>
  <c r="H4" i="17"/>
  <c r="G4" i="17"/>
  <c r="F4" i="17"/>
  <c r="H48" i="179"/>
  <c r="H46" i="179"/>
  <c r="H44" i="179"/>
  <c r="J42" i="179"/>
  <c r="H42" i="179"/>
  <c r="F42" i="179"/>
  <c r="I42" i="179" s="1"/>
  <c r="J41" i="179"/>
  <c r="H41" i="179"/>
  <c r="F41" i="179"/>
  <c r="J40" i="179"/>
  <c r="H40" i="179"/>
  <c r="F40" i="179"/>
  <c r="J39" i="179"/>
  <c r="H39" i="179"/>
  <c r="F39" i="179"/>
  <c r="H38" i="179"/>
  <c r="G38" i="179"/>
  <c r="F38" i="179"/>
  <c r="E38" i="179"/>
  <c r="E36" i="179"/>
  <c r="C35" i="179"/>
  <c r="D26" i="179" s="1"/>
  <c r="E24" i="179"/>
  <c r="L23" i="179"/>
  <c r="K23" i="179"/>
  <c r="I23" i="179"/>
  <c r="J23" i="179"/>
  <c r="L22" i="179"/>
  <c r="K22" i="179"/>
  <c r="I22" i="179"/>
  <c r="L21" i="179"/>
  <c r="K21" i="179"/>
  <c r="I21" i="179"/>
  <c r="L20" i="179"/>
  <c r="K20" i="179"/>
  <c r="I20" i="179"/>
  <c r="L19" i="179"/>
  <c r="K19" i="179"/>
  <c r="I19" i="179"/>
  <c r="J19" i="179"/>
  <c r="L18" i="179"/>
  <c r="K18" i="179"/>
  <c r="I18" i="179"/>
  <c r="L17" i="179"/>
  <c r="K17" i="179"/>
  <c r="I17" i="179"/>
  <c r="L16" i="179"/>
  <c r="K16" i="179"/>
  <c r="I16" i="179"/>
  <c r="J16" i="179"/>
  <c r="L15" i="179"/>
  <c r="K15" i="179"/>
  <c r="I15" i="179"/>
  <c r="J15" i="179"/>
  <c r="L14" i="179"/>
  <c r="K14" i="179"/>
  <c r="I14" i="179"/>
  <c r="L13" i="179"/>
  <c r="K13" i="179"/>
  <c r="I13" i="179"/>
  <c r="L12" i="179"/>
  <c r="K12" i="179"/>
  <c r="I12" i="179"/>
  <c r="L10" i="179"/>
  <c r="K10" i="179"/>
  <c r="I10" i="179"/>
  <c r="J10" i="179"/>
  <c r="L9" i="179"/>
  <c r="K9" i="179"/>
  <c r="I9" i="179"/>
  <c r="L8" i="179"/>
  <c r="K8" i="179"/>
  <c r="I8" i="179"/>
  <c r="L7" i="179"/>
  <c r="K7" i="179"/>
  <c r="I7" i="179"/>
  <c r="J7" i="179"/>
  <c r="L6" i="179"/>
  <c r="K6" i="179"/>
  <c r="I6" i="179"/>
  <c r="J6" i="179"/>
  <c r="L5" i="179"/>
  <c r="K5" i="179"/>
  <c r="I5" i="179"/>
  <c r="I4" i="179"/>
  <c r="H4" i="179"/>
  <c r="G4" i="179"/>
  <c r="F4" i="179"/>
  <c r="H49" i="33"/>
  <c r="H47" i="33"/>
  <c r="H45" i="33"/>
  <c r="J42" i="33"/>
  <c r="H42" i="33"/>
  <c r="J41" i="33"/>
  <c r="H41" i="33"/>
  <c r="J40" i="33"/>
  <c r="H40" i="33"/>
  <c r="I40" i="33"/>
  <c r="J39" i="33"/>
  <c r="H39" i="33"/>
  <c r="H38" i="33"/>
  <c r="G38" i="33"/>
  <c r="F38" i="33"/>
  <c r="E38" i="33"/>
  <c r="C35" i="33"/>
  <c r="D26" i="33"/>
  <c r="E24" i="33"/>
  <c r="K23" i="33"/>
  <c r="I23" i="33"/>
  <c r="K22" i="33"/>
  <c r="I22" i="33"/>
  <c r="G22" i="33"/>
  <c r="K21" i="33"/>
  <c r="I21" i="33"/>
  <c r="K20" i="33"/>
  <c r="I20" i="33"/>
  <c r="G20" i="33"/>
  <c r="K19" i="33"/>
  <c r="I19" i="33"/>
  <c r="J19" i="33"/>
  <c r="K18" i="33"/>
  <c r="I18" i="33"/>
  <c r="K17" i="33"/>
  <c r="I17" i="33"/>
  <c r="K16" i="33"/>
  <c r="I16" i="33"/>
  <c r="G16" i="33"/>
  <c r="K15" i="33"/>
  <c r="I15" i="33"/>
  <c r="K14" i="33"/>
  <c r="I14" i="33"/>
  <c r="K13" i="33"/>
  <c r="I13" i="33"/>
  <c r="K12" i="33"/>
  <c r="I12" i="33"/>
  <c r="G12" i="33"/>
  <c r="K11" i="33"/>
  <c r="I11" i="33"/>
  <c r="J11" i="33"/>
  <c r="K9" i="33"/>
  <c r="I9" i="33"/>
  <c r="K8" i="33"/>
  <c r="I8" i="33"/>
  <c r="K7" i="33"/>
  <c r="I7" i="33"/>
  <c r="G7" i="33"/>
  <c r="K6" i="33"/>
  <c r="I6" i="33"/>
  <c r="K5" i="33"/>
  <c r="I5" i="33"/>
  <c r="I4" i="33"/>
  <c r="H4" i="33"/>
  <c r="G4" i="33"/>
  <c r="F4" i="33"/>
  <c r="K49" i="18"/>
  <c r="H48" i="18"/>
  <c r="H46" i="18"/>
  <c r="H44" i="18"/>
  <c r="J42" i="18"/>
  <c r="H42" i="18"/>
  <c r="F42" i="18"/>
  <c r="J40" i="18"/>
  <c r="H41" i="18"/>
  <c r="J39" i="18"/>
  <c r="H39" i="18"/>
  <c r="H38" i="18"/>
  <c r="G38" i="18"/>
  <c r="F38" i="18"/>
  <c r="E38" i="18"/>
  <c r="C35" i="18"/>
  <c r="D26" i="18"/>
  <c r="E24" i="18"/>
  <c r="D24" i="18"/>
  <c r="K23" i="18"/>
  <c r="I23" i="18"/>
  <c r="K22" i="18"/>
  <c r="I22" i="18"/>
  <c r="K21" i="18"/>
  <c r="I21" i="18"/>
  <c r="K20" i="18"/>
  <c r="I20" i="18"/>
  <c r="K19" i="18"/>
  <c r="I19" i="18"/>
  <c r="K18" i="18"/>
  <c r="I18" i="18"/>
  <c r="K17" i="18"/>
  <c r="I17" i="18"/>
  <c r="K16" i="18"/>
  <c r="I16" i="18"/>
  <c r="K15" i="18"/>
  <c r="I15" i="18"/>
  <c r="K14" i="18"/>
  <c r="I14" i="18"/>
  <c r="K13" i="18"/>
  <c r="I13" i="18"/>
  <c r="K12" i="18"/>
  <c r="I12" i="18"/>
  <c r="J12" i="18"/>
  <c r="K11" i="18"/>
  <c r="I11" i="18"/>
  <c r="K9" i="18"/>
  <c r="I9" i="18"/>
  <c r="K8" i="18"/>
  <c r="I8" i="18"/>
  <c r="K7" i="18"/>
  <c r="I7" i="18"/>
  <c r="J7" i="18"/>
  <c r="K6" i="18"/>
  <c r="I6" i="18"/>
  <c r="K5" i="18"/>
  <c r="I5" i="18"/>
  <c r="I4" i="18"/>
  <c r="H4" i="18"/>
  <c r="G4" i="18"/>
  <c r="F4" i="18"/>
  <c r="J51" i="160"/>
  <c r="G50" i="160"/>
  <c r="G48" i="160"/>
  <c r="G46" i="160"/>
  <c r="H43" i="160"/>
  <c r="F43" i="160"/>
  <c r="H42" i="160"/>
  <c r="I42" i="160"/>
  <c r="H41" i="160"/>
  <c r="H40" i="160"/>
  <c r="F40" i="160"/>
  <c r="H39" i="160"/>
  <c r="F39" i="160"/>
  <c r="H38" i="160"/>
  <c r="G38" i="160"/>
  <c r="F38" i="160"/>
  <c r="E38" i="160"/>
  <c r="C35" i="160"/>
  <c r="D26" i="160" s="1"/>
  <c r="E24" i="160"/>
  <c r="D24" i="160"/>
  <c r="K23" i="160"/>
  <c r="I23" i="160"/>
  <c r="K22" i="160"/>
  <c r="I22" i="160"/>
  <c r="G22" i="160"/>
  <c r="K21" i="160"/>
  <c r="I21" i="160"/>
  <c r="K20" i="160"/>
  <c r="I20" i="160"/>
  <c r="K19" i="160"/>
  <c r="I19" i="160"/>
  <c r="K18" i="160"/>
  <c r="I18" i="160"/>
  <c r="K17" i="160"/>
  <c r="I17" i="160"/>
  <c r="J17" i="160"/>
  <c r="K16" i="160"/>
  <c r="I16" i="160"/>
  <c r="K15" i="160"/>
  <c r="I15" i="160"/>
  <c r="G15" i="160"/>
  <c r="K14" i="160"/>
  <c r="I14" i="160"/>
  <c r="K13" i="160"/>
  <c r="I13" i="160"/>
  <c r="K12" i="160"/>
  <c r="I12" i="160"/>
  <c r="G12" i="160"/>
  <c r="K11" i="160"/>
  <c r="I11" i="160"/>
  <c r="J11" i="160"/>
  <c r="K10" i="160"/>
  <c r="I10" i="160"/>
  <c r="K9" i="160"/>
  <c r="I9" i="160"/>
  <c r="J9" i="160"/>
  <c r="K8" i="160"/>
  <c r="I8" i="160"/>
  <c r="G8" i="160"/>
  <c r="K7" i="160"/>
  <c r="I7" i="160"/>
  <c r="K6" i="160"/>
  <c r="I6" i="160"/>
  <c r="G6" i="160"/>
  <c r="L5" i="160"/>
  <c r="K5" i="160"/>
  <c r="I5" i="160"/>
  <c r="I4" i="160"/>
  <c r="H4" i="160"/>
  <c r="G4" i="160"/>
  <c r="F4" i="160"/>
  <c r="J50" i="131"/>
  <c r="G49" i="131"/>
  <c r="G47" i="131"/>
  <c r="G45" i="131"/>
  <c r="H42" i="131"/>
  <c r="I42" i="131"/>
  <c r="H41" i="131"/>
  <c r="H40" i="131"/>
  <c r="H39" i="131"/>
  <c r="H38" i="131"/>
  <c r="G38" i="131"/>
  <c r="F38" i="131"/>
  <c r="E38" i="131"/>
  <c r="C35" i="131"/>
  <c r="D26" i="131" s="1"/>
  <c r="K4" i="131" s="1"/>
  <c r="E24" i="131"/>
  <c r="D24" i="131"/>
  <c r="L23" i="131"/>
  <c r="I23" i="131"/>
  <c r="L22" i="131"/>
  <c r="M22" i="131" s="1"/>
  <c r="I22" i="131"/>
  <c r="L21" i="131"/>
  <c r="M21" i="131" s="1"/>
  <c r="I21" i="131"/>
  <c r="L20" i="131"/>
  <c r="I20" i="131"/>
  <c r="M20" i="131"/>
  <c r="L19" i="131"/>
  <c r="I19" i="131"/>
  <c r="L18" i="131"/>
  <c r="I18" i="131"/>
  <c r="M18" i="131"/>
  <c r="L17" i="131"/>
  <c r="M17" i="131" s="1"/>
  <c r="I17" i="131"/>
  <c r="L16" i="131"/>
  <c r="M16" i="131" s="1"/>
  <c r="I16" i="131"/>
  <c r="L15" i="131"/>
  <c r="I15" i="131"/>
  <c r="L14" i="131"/>
  <c r="I14" i="131"/>
  <c r="M14" i="131"/>
  <c r="L13" i="131"/>
  <c r="M13" i="131" s="1"/>
  <c r="I13" i="131"/>
  <c r="L12" i="131"/>
  <c r="M12" i="131" s="1"/>
  <c r="I12" i="131"/>
  <c r="L11" i="131"/>
  <c r="I11" i="131"/>
  <c r="L10" i="131"/>
  <c r="M10" i="131" s="1"/>
  <c r="I10" i="131"/>
  <c r="L9" i="131"/>
  <c r="M9" i="131" s="1"/>
  <c r="I9" i="131"/>
  <c r="L8" i="131"/>
  <c r="M8" i="131" s="1"/>
  <c r="I8" i="131"/>
  <c r="L7" i="131"/>
  <c r="I7" i="131"/>
  <c r="L6" i="131"/>
  <c r="M6" i="131" s="1"/>
  <c r="I6" i="131"/>
  <c r="L5" i="131"/>
  <c r="I5" i="131"/>
  <c r="M5" i="131"/>
  <c r="I4" i="131"/>
  <c r="H4" i="131"/>
  <c r="G4" i="131"/>
  <c r="F4" i="131"/>
  <c r="H29" i="62"/>
  <c r="H25" i="62"/>
  <c r="H22" i="62"/>
  <c r="H23" i="62" s="1"/>
  <c r="H21" i="62"/>
  <c r="G21" i="62"/>
  <c r="F21" i="62"/>
  <c r="E21" i="62"/>
  <c r="C18" i="62"/>
  <c r="I7" i="62"/>
  <c r="D7" i="62"/>
  <c r="E5" i="62" s="1"/>
  <c r="E7" i="62" s="1"/>
  <c r="J6" i="62"/>
  <c r="I4" i="62"/>
  <c r="H4" i="62"/>
  <c r="G4" i="62"/>
  <c r="F4" i="62"/>
  <c r="K46" i="55"/>
  <c r="I46" i="55"/>
  <c r="H44" i="55"/>
  <c r="H42" i="55"/>
  <c r="H40" i="55"/>
  <c r="H39" i="55"/>
  <c r="F39" i="55"/>
  <c r="H38" i="55"/>
  <c r="F38" i="55"/>
  <c r="H37" i="55"/>
  <c r="I37" i="55"/>
  <c r="H36" i="55"/>
  <c r="J35" i="55"/>
  <c r="J36" i="55" s="1"/>
  <c r="J40" i="55" s="1"/>
  <c r="H35" i="55"/>
  <c r="I35" i="55"/>
  <c r="H34" i="55"/>
  <c r="G34" i="55"/>
  <c r="F34" i="55"/>
  <c r="E34" i="55"/>
  <c r="C31" i="55"/>
  <c r="D22" i="55" s="1"/>
  <c r="K4" i="55" s="1"/>
  <c r="K15" i="55" s="1"/>
  <c r="E20" i="55"/>
  <c r="D20" i="55"/>
  <c r="I19" i="55"/>
  <c r="I18" i="55"/>
  <c r="I17" i="55"/>
  <c r="I16" i="55"/>
  <c r="G16" i="55"/>
  <c r="I14" i="55"/>
  <c r="J14" i="55"/>
  <c r="I13" i="55"/>
  <c r="I12" i="55"/>
  <c r="J12" i="55"/>
  <c r="I10" i="55"/>
  <c r="G10" i="55"/>
  <c r="I9" i="55"/>
  <c r="I8" i="55"/>
  <c r="G8" i="55"/>
  <c r="I7" i="55"/>
  <c r="J7" i="55"/>
  <c r="I6" i="55"/>
  <c r="I5" i="55"/>
  <c r="J5" i="55"/>
  <c r="I4" i="55"/>
  <c r="H4" i="55"/>
  <c r="G4" i="55"/>
  <c r="F4" i="55"/>
  <c r="K44" i="16"/>
  <c r="H43" i="16"/>
  <c r="H41" i="16"/>
  <c r="H39" i="16"/>
  <c r="J37" i="16"/>
  <c r="H37" i="16"/>
  <c r="J36" i="16"/>
  <c r="H36" i="16"/>
  <c r="F36" i="16"/>
  <c r="J35" i="16"/>
  <c r="H35" i="16"/>
  <c r="I35" i="16"/>
  <c r="H34" i="16"/>
  <c r="G34" i="16"/>
  <c r="F34" i="16"/>
  <c r="E34" i="16"/>
  <c r="C31" i="16"/>
  <c r="D22" i="16" s="1"/>
  <c r="K4" i="16" s="1"/>
  <c r="D20" i="16"/>
  <c r="I19" i="16"/>
  <c r="J19" i="16"/>
  <c r="I18" i="16"/>
  <c r="J18" i="16"/>
  <c r="I17" i="16"/>
  <c r="G17" i="16"/>
  <c r="I16" i="16"/>
  <c r="G16" i="16"/>
  <c r="I15" i="16"/>
  <c r="J15" i="16"/>
  <c r="I14" i="16"/>
  <c r="G14" i="16"/>
  <c r="I13" i="16"/>
  <c r="G13" i="16"/>
  <c r="I12" i="16"/>
  <c r="G12" i="16"/>
  <c r="I11" i="16"/>
  <c r="G11" i="16"/>
  <c r="I9" i="16"/>
  <c r="J9" i="16"/>
  <c r="I8" i="16"/>
  <c r="G8" i="16"/>
  <c r="I7" i="16"/>
  <c r="G7" i="16"/>
  <c r="I6" i="16"/>
  <c r="J6" i="16"/>
  <c r="I5" i="16"/>
  <c r="J5" i="16"/>
  <c r="I4" i="16"/>
  <c r="H4" i="16"/>
  <c r="G4" i="16"/>
  <c r="F4" i="16"/>
  <c r="K44" i="63"/>
  <c r="H43" i="63"/>
  <c r="H41" i="63"/>
  <c r="H39" i="63"/>
  <c r="J37" i="63"/>
  <c r="H37" i="63"/>
  <c r="I37" i="63"/>
  <c r="J36" i="63"/>
  <c r="H36" i="63"/>
  <c r="F36" i="63"/>
  <c r="J35" i="63"/>
  <c r="H35" i="63"/>
  <c r="F35" i="63"/>
  <c r="H34" i="63"/>
  <c r="G34" i="63"/>
  <c r="F34" i="63"/>
  <c r="C31" i="63"/>
  <c r="D22" i="63" s="1"/>
  <c r="K4" i="63" s="1"/>
  <c r="I19" i="63"/>
  <c r="I18" i="63"/>
  <c r="I17" i="63"/>
  <c r="I16" i="63"/>
  <c r="I15" i="63"/>
  <c r="I14" i="63"/>
  <c r="I13" i="63"/>
  <c r="I12" i="63"/>
  <c r="I11" i="63"/>
  <c r="I9" i="63"/>
  <c r="I8" i="63"/>
  <c r="I7" i="63"/>
  <c r="I6" i="63"/>
  <c r="J6" i="63"/>
  <c r="I5" i="63"/>
  <c r="I4" i="63"/>
  <c r="H4" i="63"/>
  <c r="F4" i="63"/>
  <c r="H43" i="15"/>
  <c r="H41" i="15"/>
  <c r="H39" i="15"/>
  <c r="J37" i="15"/>
  <c r="H37" i="15"/>
  <c r="I37" i="15"/>
  <c r="J36" i="15"/>
  <c r="H36" i="15"/>
  <c r="F36" i="15"/>
  <c r="J35" i="15"/>
  <c r="H35" i="15"/>
  <c r="I35" i="15"/>
  <c r="H34" i="15"/>
  <c r="G34" i="15"/>
  <c r="F34" i="15"/>
  <c r="E34" i="15"/>
  <c r="C31" i="15"/>
  <c r="D22" i="15" s="1"/>
  <c r="K4" i="15" s="1"/>
  <c r="L19" i="15"/>
  <c r="I19" i="15"/>
  <c r="L18" i="15"/>
  <c r="I18" i="15"/>
  <c r="J18" i="15"/>
  <c r="L17" i="15"/>
  <c r="I17" i="15"/>
  <c r="J17" i="15"/>
  <c r="L16" i="15"/>
  <c r="I16" i="15"/>
  <c r="J16" i="15"/>
  <c r="L15" i="15"/>
  <c r="I15" i="15"/>
  <c r="L14" i="15"/>
  <c r="I14" i="15"/>
  <c r="J14" i="15"/>
  <c r="L13" i="15"/>
  <c r="I13" i="15"/>
  <c r="J13" i="15"/>
  <c r="L12" i="15"/>
  <c r="I12" i="15"/>
  <c r="L11" i="15"/>
  <c r="I11" i="15"/>
  <c r="L9" i="15"/>
  <c r="I9" i="15"/>
  <c r="J9" i="15"/>
  <c r="L8" i="15"/>
  <c r="I8" i="15"/>
  <c r="J8" i="15"/>
  <c r="L7" i="15"/>
  <c r="I7" i="15"/>
  <c r="J7" i="15"/>
  <c r="L6" i="15"/>
  <c r="I6" i="15"/>
  <c r="L5" i="15"/>
  <c r="I5" i="15"/>
  <c r="J5" i="15"/>
  <c r="I4" i="15"/>
  <c r="H4" i="15"/>
  <c r="G4" i="15"/>
  <c r="F4" i="15"/>
  <c r="D42" i="14"/>
  <c r="D40" i="14"/>
  <c r="F38" i="14"/>
  <c r="J36" i="14"/>
  <c r="H36" i="14"/>
  <c r="F36" i="14"/>
  <c r="J35" i="14"/>
  <c r="H35" i="14"/>
  <c r="I35" i="14"/>
  <c r="H34" i="14"/>
  <c r="G34" i="14"/>
  <c r="F34" i="14"/>
  <c r="E34" i="14"/>
  <c r="D22" i="14"/>
  <c r="K4" i="14" s="1"/>
  <c r="E20" i="14"/>
  <c r="D20" i="14"/>
  <c r="L19" i="14"/>
  <c r="M19" i="14" s="1"/>
  <c r="I19" i="14"/>
  <c r="J19" i="14"/>
  <c r="L18" i="14"/>
  <c r="M18" i="14" s="1"/>
  <c r="I18" i="14"/>
  <c r="J18" i="14"/>
  <c r="L17" i="14"/>
  <c r="M17" i="14" s="1"/>
  <c r="I17" i="14"/>
  <c r="J17" i="14"/>
  <c r="L16" i="14"/>
  <c r="M16" i="14" s="1"/>
  <c r="I16" i="14"/>
  <c r="J16" i="14"/>
  <c r="L15" i="14"/>
  <c r="M15" i="14" s="1"/>
  <c r="I15" i="14"/>
  <c r="L14" i="14"/>
  <c r="M14" i="14" s="1"/>
  <c r="I14" i="14"/>
  <c r="J14" i="14"/>
  <c r="L13" i="14"/>
  <c r="M13" i="14" s="1"/>
  <c r="I13" i="14"/>
  <c r="J13" i="14"/>
  <c r="L12" i="14"/>
  <c r="M12" i="14" s="1"/>
  <c r="I12" i="14"/>
  <c r="J12" i="14"/>
  <c r="L11" i="14"/>
  <c r="M11" i="14" s="1"/>
  <c r="I11" i="14"/>
  <c r="L9" i="14"/>
  <c r="M9" i="14" s="1"/>
  <c r="I9" i="14"/>
  <c r="L8" i="14"/>
  <c r="M8" i="14" s="1"/>
  <c r="I8" i="14"/>
  <c r="J8" i="14"/>
  <c r="L5" i="14"/>
  <c r="M5" i="14" s="1"/>
  <c r="I5" i="14"/>
  <c r="J5" i="14"/>
  <c r="I4" i="14"/>
  <c r="H4" i="14"/>
  <c r="G4" i="14"/>
  <c r="F4" i="14"/>
  <c r="F77" i="94"/>
  <c r="D68" i="113"/>
  <c r="D67" i="113"/>
  <c r="D66" i="113"/>
  <c r="D65" i="113"/>
  <c r="D64" i="113"/>
  <c r="D63" i="113"/>
  <c r="D62" i="113"/>
  <c r="D61" i="113"/>
  <c r="D60" i="113"/>
  <c r="D59" i="113"/>
  <c r="D58" i="113"/>
  <c r="D57" i="113"/>
  <c r="D56" i="113"/>
  <c r="D55" i="113"/>
  <c r="D54" i="113"/>
  <c r="D53" i="113"/>
  <c r="D52" i="113"/>
  <c r="D51" i="113"/>
  <c r="D50" i="113"/>
  <c r="D49" i="113"/>
  <c r="D48" i="113"/>
  <c r="D47" i="113"/>
  <c r="D46" i="113"/>
  <c r="D45" i="113"/>
  <c r="D44" i="113"/>
  <c r="D43" i="113"/>
  <c r="D42" i="113"/>
  <c r="D41" i="113"/>
  <c r="D40" i="113"/>
  <c r="D39" i="113"/>
  <c r="D38" i="113"/>
  <c r="D37" i="113"/>
  <c r="D36" i="113"/>
  <c r="D35" i="113"/>
  <c r="D34" i="113"/>
  <c r="D33" i="113"/>
  <c r="D32" i="113"/>
  <c r="D31" i="113"/>
  <c r="D30" i="113"/>
  <c r="D29" i="113"/>
  <c r="D28" i="113"/>
  <c r="D27" i="113"/>
  <c r="D26" i="113"/>
  <c r="D25" i="113"/>
  <c r="D24" i="113"/>
  <c r="D23" i="113"/>
  <c r="D22" i="113"/>
  <c r="D21" i="113"/>
  <c r="D20" i="113"/>
  <c r="D19" i="113"/>
  <c r="D18" i="113"/>
  <c r="D17" i="113"/>
  <c r="D16" i="113"/>
  <c r="D15" i="113"/>
  <c r="D14" i="113"/>
  <c r="D13" i="113"/>
  <c r="D12" i="113"/>
  <c r="D11" i="113"/>
  <c r="D10" i="113"/>
  <c r="D9" i="113"/>
  <c r="D8" i="113"/>
  <c r="D7" i="113"/>
  <c r="D6" i="113"/>
  <c r="D5" i="113"/>
  <c r="D4" i="113"/>
  <c r="D3" i="113"/>
  <c r="D2" i="113"/>
  <c r="G71" i="100"/>
  <c r="G70" i="100"/>
  <c r="G69" i="100"/>
  <c r="G68" i="100"/>
  <c r="G67" i="100"/>
  <c r="G66" i="100"/>
  <c r="G65" i="100"/>
  <c r="G64" i="100"/>
  <c r="G63" i="100"/>
  <c r="G62" i="100"/>
  <c r="G61" i="100"/>
  <c r="G60" i="100"/>
  <c r="G59" i="100"/>
  <c r="G58" i="100"/>
  <c r="G57" i="100"/>
  <c r="G56" i="100"/>
  <c r="G55" i="100"/>
  <c r="G54" i="100"/>
  <c r="G53" i="100"/>
  <c r="G52" i="100"/>
  <c r="G51" i="100"/>
  <c r="G50" i="100"/>
  <c r="G49" i="100"/>
  <c r="G48" i="100"/>
  <c r="G47" i="100"/>
  <c r="G46" i="100"/>
  <c r="G45" i="100"/>
  <c r="G44" i="100"/>
  <c r="G43" i="100"/>
  <c r="G42" i="100"/>
  <c r="G41" i="100"/>
  <c r="G40" i="100"/>
  <c r="G39" i="100"/>
  <c r="G38" i="100"/>
  <c r="G37" i="100"/>
  <c r="G36" i="100"/>
  <c r="G35" i="100"/>
  <c r="G34" i="100"/>
  <c r="G33" i="100"/>
  <c r="G32" i="100"/>
  <c r="G31" i="100"/>
  <c r="G30" i="100"/>
  <c r="G29" i="100"/>
  <c r="G28" i="100"/>
  <c r="G27" i="100"/>
  <c r="G26" i="100"/>
  <c r="G25" i="100"/>
  <c r="G24" i="100"/>
  <c r="G23" i="100"/>
  <c r="G22" i="100"/>
  <c r="G21" i="100"/>
  <c r="G20" i="100"/>
  <c r="G19" i="100"/>
  <c r="G18" i="100"/>
  <c r="G17" i="100"/>
  <c r="G16" i="100"/>
  <c r="G15" i="100"/>
  <c r="G14" i="100"/>
  <c r="G13" i="100"/>
  <c r="G12" i="100"/>
  <c r="G11" i="100"/>
  <c r="G10" i="100"/>
  <c r="G9" i="100"/>
  <c r="G8" i="100"/>
  <c r="G7" i="100"/>
  <c r="G6" i="100"/>
  <c r="G5" i="100"/>
  <c r="G73" i="97"/>
  <c r="G72" i="97"/>
  <c r="G71" i="97"/>
  <c r="G70" i="97"/>
  <c r="G69" i="97"/>
  <c r="G68" i="97"/>
  <c r="G67" i="97"/>
  <c r="G66" i="97"/>
  <c r="G65" i="97"/>
  <c r="G64" i="97"/>
  <c r="G63" i="97"/>
  <c r="G62" i="97"/>
  <c r="G61" i="97"/>
  <c r="G60" i="97"/>
  <c r="G59" i="97"/>
  <c r="G58" i="97"/>
  <c r="G57" i="97"/>
  <c r="G56" i="97"/>
  <c r="G55" i="97"/>
  <c r="G54" i="97"/>
  <c r="G53" i="97"/>
  <c r="G52" i="97"/>
  <c r="G51" i="97"/>
  <c r="G50" i="97"/>
  <c r="G49" i="97"/>
  <c r="G48" i="97"/>
  <c r="G47" i="97"/>
  <c r="G46" i="97"/>
  <c r="G45" i="97"/>
  <c r="G44" i="97"/>
  <c r="G43" i="97"/>
  <c r="G42" i="97"/>
  <c r="G41" i="97"/>
  <c r="G40" i="97"/>
  <c r="G39" i="97"/>
  <c r="G38" i="97"/>
  <c r="G37" i="97"/>
  <c r="G36" i="97"/>
  <c r="G35" i="97"/>
  <c r="G34" i="97"/>
  <c r="G33" i="97"/>
  <c r="G32" i="97"/>
  <c r="G31" i="97"/>
  <c r="G30" i="97"/>
  <c r="G29" i="97"/>
  <c r="G28" i="97"/>
  <c r="G27" i="97"/>
  <c r="G26" i="97"/>
  <c r="G25" i="97"/>
  <c r="G24" i="97"/>
  <c r="G23" i="97"/>
  <c r="G22" i="97"/>
  <c r="G21" i="97"/>
  <c r="G20" i="97"/>
  <c r="G19" i="97"/>
  <c r="G18" i="97"/>
  <c r="G17" i="97"/>
  <c r="G16" i="97"/>
  <c r="G15" i="97"/>
  <c r="G14" i="97"/>
  <c r="G13" i="97"/>
  <c r="G12" i="97"/>
  <c r="G11" i="97"/>
  <c r="G10" i="97"/>
  <c r="G9" i="97"/>
  <c r="G8" i="97"/>
  <c r="G7" i="97"/>
  <c r="G6" i="97"/>
  <c r="G5" i="97"/>
  <c r="H71" i="71"/>
  <c r="G71" i="71"/>
  <c r="E71" i="71"/>
  <c r="H70" i="71"/>
  <c r="G70" i="71"/>
  <c r="E70" i="71"/>
  <c r="H69" i="71"/>
  <c r="G69" i="71"/>
  <c r="E69" i="71"/>
  <c r="H68" i="71"/>
  <c r="E68" i="71"/>
  <c r="H67" i="71"/>
  <c r="G67" i="71"/>
  <c r="E67" i="71"/>
  <c r="H66" i="71"/>
  <c r="G66" i="71"/>
  <c r="E66" i="71"/>
  <c r="H65" i="71"/>
  <c r="G65" i="71"/>
  <c r="E65" i="71"/>
  <c r="H64" i="71"/>
  <c r="G64" i="71"/>
  <c r="E64" i="71"/>
  <c r="H63" i="71"/>
  <c r="G63" i="71"/>
  <c r="E63" i="71"/>
  <c r="H62" i="71"/>
  <c r="G62" i="71"/>
  <c r="E62" i="71"/>
  <c r="H61" i="71"/>
  <c r="G61" i="71"/>
  <c r="E61" i="71"/>
  <c r="H60" i="71"/>
  <c r="G60" i="71"/>
  <c r="E60" i="71"/>
  <c r="H59" i="71"/>
  <c r="G59" i="71"/>
  <c r="E59" i="71"/>
  <c r="H58" i="71"/>
  <c r="G58" i="71"/>
  <c r="E58" i="71"/>
  <c r="H57" i="71"/>
  <c r="G57" i="71"/>
  <c r="E57" i="71"/>
  <c r="H56" i="71"/>
  <c r="G56" i="71"/>
  <c r="E56" i="71"/>
  <c r="H55" i="71"/>
  <c r="G55" i="71"/>
  <c r="E55" i="71"/>
  <c r="H54" i="71"/>
  <c r="G54" i="71"/>
  <c r="E54" i="71"/>
  <c r="H53" i="71"/>
  <c r="G53" i="71"/>
  <c r="E53" i="71"/>
  <c r="H52" i="71"/>
  <c r="G52" i="71"/>
  <c r="E52" i="71"/>
  <c r="H51" i="71"/>
  <c r="G51" i="71"/>
  <c r="E51" i="71"/>
  <c r="H50" i="71"/>
  <c r="G50" i="71"/>
  <c r="E50" i="71"/>
  <c r="H49" i="71"/>
  <c r="G49" i="71"/>
  <c r="E49" i="71"/>
  <c r="H48" i="71"/>
  <c r="G48" i="71"/>
  <c r="E48" i="71"/>
  <c r="H47" i="71"/>
  <c r="G47" i="71"/>
  <c r="E47" i="71"/>
  <c r="H46" i="71"/>
  <c r="G46" i="71"/>
  <c r="E46" i="71"/>
  <c r="H45" i="71"/>
  <c r="G45" i="71"/>
  <c r="E45" i="71"/>
  <c r="H44" i="71"/>
  <c r="G44" i="71"/>
  <c r="E44" i="71"/>
  <c r="H43" i="71"/>
  <c r="G43" i="71"/>
  <c r="E43" i="71"/>
  <c r="H42" i="71"/>
  <c r="G42" i="71"/>
  <c r="E42" i="71"/>
  <c r="H41" i="71"/>
  <c r="G41" i="71"/>
  <c r="E41" i="71"/>
  <c r="H40" i="71"/>
  <c r="G40" i="71"/>
  <c r="E40" i="71"/>
  <c r="H39" i="71"/>
  <c r="G39" i="71"/>
  <c r="E39" i="71"/>
  <c r="H38" i="71"/>
  <c r="G38" i="71"/>
  <c r="E38" i="71"/>
  <c r="H37" i="71"/>
  <c r="G37" i="71"/>
  <c r="E37" i="71"/>
  <c r="H36" i="71"/>
  <c r="G36" i="71"/>
  <c r="E36" i="71"/>
  <c r="H35" i="71"/>
  <c r="G35" i="71"/>
  <c r="E35" i="71"/>
  <c r="H34" i="71"/>
  <c r="G34" i="71"/>
  <c r="E34" i="71"/>
  <c r="H33" i="71"/>
  <c r="G33" i="71"/>
  <c r="E33" i="71"/>
  <c r="H32" i="71"/>
  <c r="G32" i="71"/>
  <c r="E32" i="71"/>
  <c r="H31" i="71"/>
  <c r="G31" i="71"/>
  <c r="E31" i="71"/>
  <c r="H30" i="71"/>
  <c r="G30" i="71"/>
  <c r="E30" i="71"/>
  <c r="H29" i="71"/>
  <c r="G29" i="71"/>
  <c r="E29" i="71"/>
  <c r="H28" i="71"/>
  <c r="G28" i="71"/>
  <c r="E28" i="71"/>
  <c r="H27" i="71"/>
  <c r="G27" i="71"/>
  <c r="E27" i="71"/>
  <c r="H26" i="71"/>
  <c r="E26" i="71"/>
  <c r="H25" i="71"/>
  <c r="G25" i="71"/>
  <c r="E25" i="71"/>
  <c r="H24" i="71"/>
  <c r="G24" i="71"/>
  <c r="E24" i="71"/>
  <c r="H23" i="71"/>
  <c r="G23" i="71"/>
  <c r="E23" i="71"/>
  <c r="H22" i="71"/>
  <c r="G22" i="71"/>
  <c r="E22" i="71"/>
  <c r="H21" i="71"/>
  <c r="G21" i="71"/>
  <c r="E21" i="71"/>
  <c r="H20" i="71"/>
  <c r="E20" i="71"/>
  <c r="H19" i="71"/>
  <c r="G19" i="71"/>
  <c r="E19" i="71"/>
  <c r="H18" i="71"/>
  <c r="G18" i="71"/>
  <c r="E18" i="71"/>
  <c r="H17" i="71"/>
  <c r="G17" i="71"/>
  <c r="E17" i="71"/>
  <c r="H16" i="71"/>
  <c r="E16" i="71"/>
  <c r="H15" i="71"/>
  <c r="G15" i="71"/>
  <c r="E15" i="71"/>
  <c r="H14" i="71"/>
  <c r="G14" i="71"/>
  <c r="E14" i="71"/>
  <c r="H13" i="71"/>
  <c r="G13" i="71"/>
  <c r="E13" i="71"/>
  <c r="H12" i="71"/>
  <c r="G12" i="71"/>
  <c r="E12" i="71"/>
  <c r="H11" i="71"/>
  <c r="G11" i="71"/>
  <c r="E11" i="71"/>
  <c r="H10" i="71"/>
  <c r="G10" i="71"/>
  <c r="E10" i="71"/>
  <c r="H9" i="71"/>
  <c r="G9" i="71"/>
  <c r="E9" i="71"/>
  <c r="H8" i="71"/>
  <c r="G8" i="71"/>
  <c r="E8" i="71"/>
  <c r="H7" i="71"/>
  <c r="G7" i="71"/>
  <c r="E7" i="71"/>
  <c r="H6" i="71"/>
  <c r="G6" i="71"/>
  <c r="E6" i="71"/>
  <c r="H5" i="71"/>
  <c r="G5" i="71"/>
  <c r="E5" i="71"/>
  <c r="H4" i="71"/>
  <c r="G4" i="71"/>
  <c r="E4" i="71"/>
  <c r="H3" i="71"/>
  <c r="G3" i="71"/>
  <c r="E3" i="71"/>
  <c r="H2" i="71"/>
  <c r="E2" i="71"/>
  <c r="I72" i="70"/>
  <c r="H72" i="70"/>
  <c r="F72" i="70"/>
  <c r="D72" i="70"/>
  <c r="I71" i="70"/>
  <c r="H71" i="70"/>
  <c r="F71" i="70"/>
  <c r="I69" i="70"/>
  <c r="H69" i="70"/>
  <c r="F69" i="70"/>
  <c r="I68" i="70"/>
  <c r="H68" i="70"/>
  <c r="F68" i="70"/>
  <c r="I67" i="70"/>
  <c r="H67" i="70"/>
  <c r="F67" i="70"/>
  <c r="D67" i="70"/>
  <c r="I66" i="70"/>
  <c r="H66" i="70"/>
  <c r="F66" i="70"/>
  <c r="I65" i="70"/>
  <c r="H65" i="70"/>
  <c r="F65" i="70"/>
  <c r="D65" i="70"/>
  <c r="I64" i="70"/>
  <c r="H64" i="70"/>
  <c r="F64" i="70"/>
  <c r="D64" i="70"/>
  <c r="I63" i="70"/>
  <c r="H63" i="70"/>
  <c r="F63" i="70"/>
  <c r="D63" i="70"/>
  <c r="I62" i="70"/>
  <c r="H62" i="70"/>
  <c r="I61" i="70"/>
  <c r="H61" i="70"/>
  <c r="F61" i="70"/>
  <c r="D61" i="70"/>
  <c r="I60" i="70"/>
  <c r="H60" i="70"/>
  <c r="F60" i="70"/>
  <c r="I59" i="70"/>
  <c r="H59" i="70"/>
  <c r="F59" i="70"/>
  <c r="I58" i="70"/>
  <c r="H58" i="70"/>
  <c r="F58" i="70"/>
  <c r="D58" i="70"/>
  <c r="I57" i="70"/>
  <c r="H57" i="70"/>
  <c r="F57" i="70"/>
  <c r="D57" i="70"/>
  <c r="I56" i="70"/>
  <c r="H56" i="70"/>
  <c r="F56" i="70"/>
  <c r="D56" i="70"/>
  <c r="I55" i="70"/>
  <c r="H55" i="70"/>
  <c r="F55" i="70"/>
  <c r="D55" i="70"/>
  <c r="I54" i="70"/>
  <c r="H54" i="70"/>
  <c r="F54" i="70"/>
  <c r="D54" i="70"/>
  <c r="I53" i="70"/>
  <c r="H53" i="70"/>
  <c r="F53" i="70"/>
  <c r="I52" i="70"/>
  <c r="H52" i="70"/>
  <c r="F52" i="70"/>
  <c r="D52" i="70"/>
  <c r="I51" i="70"/>
  <c r="H51" i="70"/>
  <c r="F51" i="70"/>
  <c r="D51" i="70"/>
  <c r="I50" i="70"/>
  <c r="H50" i="70"/>
  <c r="F50" i="70"/>
  <c r="I49" i="70"/>
  <c r="H49" i="70"/>
  <c r="F49" i="70"/>
  <c r="D49" i="70"/>
  <c r="I48" i="70"/>
  <c r="H48" i="70"/>
  <c r="F48" i="70"/>
  <c r="I47" i="70"/>
  <c r="H47" i="70"/>
  <c r="F47" i="70"/>
  <c r="I46" i="70"/>
  <c r="H46" i="70"/>
  <c r="F46" i="70"/>
  <c r="D46" i="70"/>
  <c r="I45" i="70"/>
  <c r="H45" i="70"/>
  <c r="F45" i="70"/>
  <c r="D45" i="70"/>
  <c r="I44" i="70"/>
  <c r="H44" i="70"/>
  <c r="F44" i="70"/>
  <c r="D44" i="70"/>
  <c r="I43" i="70"/>
  <c r="H43" i="70"/>
  <c r="F43" i="70"/>
  <c r="D43" i="70"/>
  <c r="I42" i="70"/>
  <c r="H42" i="70"/>
  <c r="F42" i="70"/>
  <c r="D42" i="70"/>
  <c r="I41" i="70"/>
  <c r="H41" i="70"/>
  <c r="F41" i="70"/>
  <c r="D41" i="70"/>
  <c r="I40" i="70"/>
  <c r="H40" i="70"/>
  <c r="F40" i="70"/>
  <c r="D40" i="70"/>
  <c r="I39" i="70"/>
  <c r="H39" i="70"/>
  <c r="F39" i="70"/>
  <c r="D39" i="70"/>
  <c r="I38" i="70"/>
  <c r="H38" i="70"/>
  <c r="F38" i="70"/>
  <c r="D38" i="70"/>
  <c r="I37" i="70"/>
  <c r="H37" i="70"/>
  <c r="F37" i="70"/>
  <c r="I36" i="70"/>
  <c r="H36" i="70"/>
  <c r="F36" i="70"/>
  <c r="I35" i="70"/>
  <c r="H35" i="70"/>
  <c r="F35" i="70"/>
  <c r="D35" i="70"/>
  <c r="I34" i="70"/>
  <c r="H34" i="70"/>
  <c r="F34" i="70"/>
  <c r="D34" i="70"/>
  <c r="I33" i="70"/>
  <c r="H33" i="70"/>
  <c r="F33" i="70"/>
  <c r="D33" i="70"/>
  <c r="I32" i="70"/>
  <c r="H32" i="70"/>
  <c r="F32" i="70"/>
  <c r="D32" i="70"/>
  <c r="I31" i="70"/>
  <c r="H31" i="70"/>
  <c r="F31" i="70"/>
  <c r="D31" i="70"/>
  <c r="I30" i="70"/>
  <c r="H30" i="70"/>
  <c r="F30" i="70"/>
  <c r="I29" i="70"/>
  <c r="H29" i="70"/>
  <c r="F29" i="70"/>
  <c r="D29" i="70"/>
  <c r="I28" i="70"/>
  <c r="H28" i="70"/>
  <c r="F28" i="70"/>
  <c r="D28" i="70"/>
  <c r="I27" i="70"/>
  <c r="H27" i="70"/>
  <c r="F27" i="70"/>
  <c r="D27" i="70"/>
  <c r="I26" i="70"/>
  <c r="H26" i="70"/>
  <c r="F26" i="70"/>
  <c r="D26" i="70"/>
  <c r="I24" i="70"/>
  <c r="H24" i="70"/>
  <c r="F24" i="70"/>
  <c r="D24" i="70"/>
  <c r="I23" i="70"/>
  <c r="H23" i="70"/>
  <c r="F23" i="70"/>
  <c r="I22" i="70"/>
  <c r="H22" i="70"/>
  <c r="F22" i="70"/>
  <c r="I21" i="70"/>
  <c r="H21" i="70"/>
  <c r="F21" i="70"/>
  <c r="I20" i="70"/>
  <c r="H20" i="70"/>
  <c r="F20" i="70"/>
  <c r="D20" i="70"/>
  <c r="I19" i="70"/>
  <c r="H19" i="70"/>
  <c r="F19" i="70"/>
  <c r="D19" i="70"/>
  <c r="I18" i="70"/>
  <c r="H18" i="70"/>
  <c r="F18" i="70"/>
  <c r="D18" i="70"/>
  <c r="I17" i="70"/>
  <c r="H17" i="70"/>
  <c r="F17" i="70"/>
  <c r="D17" i="70"/>
  <c r="I16" i="70"/>
  <c r="H16" i="70"/>
  <c r="F16" i="70"/>
  <c r="D16" i="70"/>
  <c r="I15" i="70"/>
  <c r="H15" i="70"/>
  <c r="F15" i="70"/>
  <c r="I14" i="70"/>
  <c r="H14" i="70"/>
  <c r="F14" i="70"/>
  <c r="D14" i="70"/>
  <c r="I13" i="70"/>
  <c r="H13" i="70"/>
  <c r="F13" i="70"/>
  <c r="D13" i="70"/>
  <c r="I12" i="70"/>
  <c r="H12" i="70"/>
  <c r="F12" i="70"/>
  <c r="D12" i="70"/>
  <c r="I11" i="70"/>
  <c r="H11" i="70"/>
  <c r="F11" i="70"/>
  <c r="I10" i="70"/>
  <c r="H10" i="70"/>
  <c r="F10" i="70"/>
  <c r="D10" i="70"/>
  <c r="I9" i="70"/>
  <c r="F9" i="70"/>
  <c r="D9" i="70"/>
  <c r="I8" i="70"/>
  <c r="H8" i="70"/>
  <c r="F8" i="70"/>
  <c r="I7" i="70"/>
  <c r="F7" i="70"/>
  <c r="D7" i="70"/>
  <c r="I6" i="70"/>
  <c r="H6" i="70"/>
  <c r="F6" i="70"/>
  <c r="D6" i="70"/>
  <c r="I5" i="70"/>
  <c r="H5" i="70"/>
  <c r="F5" i="70"/>
  <c r="D5" i="70"/>
  <c r="I4" i="70"/>
  <c r="H4" i="70"/>
  <c r="F4" i="70"/>
  <c r="D4" i="70"/>
  <c r="I3" i="70"/>
  <c r="H3" i="70"/>
  <c r="F3" i="70"/>
  <c r="I2" i="70"/>
  <c r="H2" i="70"/>
  <c r="F2" i="70"/>
  <c r="D2" i="70"/>
  <c r="K12" i="145" l="1"/>
  <c r="K12" i="36"/>
  <c r="K18" i="28"/>
  <c r="K14" i="28"/>
  <c r="K19" i="28"/>
  <c r="K12" i="16"/>
  <c r="K7" i="16"/>
  <c r="K6" i="44"/>
  <c r="K8" i="44"/>
  <c r="K5" i="35"/>
  <c r="K17" i="175"/>
  <c r="M5" i="146"/>
  <c r="K8" i="146"/>
  <c r="L8" i="146"/>
  <c r="M8" i="146" s="1"/>
  <c r="K5" i="146"/>
  <c r="E6" i="157"/>
  <c r="K18" i="40"/>
  <c r="K11" i="40"/>
  <c r="F33" i="67"/>
  <c r="F35" i="67"/>
  <c r="F46" i="67"/>
  <c r="F47" i="67"/>
  <c r="F40" i="67"/>
  <c r="F48" i="67"/>
  <c r="K5" i="28"/>
  <c r="K10" i="28"/>
  <c r="K20" i="28"/>
  <c r="K15" i="28"/>
  <c r="K6" i="28"/>
  <c r="K11" i="28"/>
  <c r="K7" i="28"/>
  <c r="K7" i="38"/>
  <c r="K14" i="38"/>
  <c r="K18" i="38"/>
  <c r="K11" i="38"/>
  <c r="K5" i="38"/>
  <c r="M20" i="14"/>
  <c r="I20" i="15"/>
  <c r="F40" i="171"/>
  <c r="J40" i="171" s="1"/>
  <c r="K6" i="14"/>
  <c r="K7" i="14"/>
  <c r="K22" i="131"/>
  <c r="K20" i="131"/>
  <c r="K16" i="131"/>
  <c r="K7" i="131"/>
  <c r="K10" i="131"/>
  <c r="K23" i="131"/>
  <c r="K13" i="131"/>
  <c r="K16" i="162"/>
  <c r="K7" i="162"/>
  <c r="E45" i="66"/>
  <c r="K45" i="66" s="1"/>
  <c r="E36" i="66"/>
  <c r="K36" i="66" s="1"/>
  <c r="E35" i="66"/>
  <c r="K35" i="66" s="1"/>
  <c r="E39" i="66"/>
  <c r="K39" i="66" s="1"/>
  <c r="E40" i="66"/>
  <c r="K40" i="66" s="1"/>
  <c r="E49" i="66"/>
  <c r="K49" i="66" s="1"/>
  <c r="E44" i="66"/>
  <c r="K44" i="66" s="1"/>
  <c r="E31" i="66"/>
  <c r="K31" i="66" s="1"/>
  <c r="E48" i="66"/>
  <c r="K48" i="66" s="1"/>
  <c r="E43" i="66"/>
  <c r="K43" i="66" s="1"/>
  <c r="E30" i="66"/>
  <c r="K30" i="66" s="1"/>
  <c r="E38" i="66"/>
  <c r="K38" i="66" s="1"/>
  <c r="E47" i="66"/>
  <c r="K47" i="66" s="1"/>
  <c r="E34" i="66"/>
  <c r="K34" i="66" s="1"/>
  <c r="E42" i="66"/>
  <c r="K42" i="66" s="1"/>
  <c r="K18" i="29"/>
  <c r="K6" i="29"/>
  <c r="K17" i="29"/>
  <c r="C34" i="153"/>
  <c r="K42" i="56"/>
  <c r="L42" i="56" s="1"/>
  <c r="K8" i="27"/>
  <c r="E16" i="93"/>
  <c r="K16" i="93" s="1"/>
  <c r="E37" i="66"/>
  <c r="K37" i="66" s="1"/>
  <c r="J35" i="43"/>
  <c r="J41" i="43"/>
  <c r="E14" i="48"/>
  <c r="K14" i="48" s="1"/>
  <c r="E23" i="88"/>
  <c r="K23" i="88" s="1"/>
  <c r="D23" i="153"/>
  <c r="K13" i="63"/>
  <c r="K12" i="63"/>
  <c r="K19" i="63"/>
  <c r="K18" i="63"/>
  <c r="E16" i="115"/>
  <c r="E11" i="115"/>
  <c r="E5" i="115"/>
  <c r="E10" i="115"/>
  <c r="D51" i="152"/>
  <c r="G51" i="152" s="1"/>
  <c r="D42" i="152"/>
  <c r="G42" i="152" s="1"/>
  <c r="D46" i="152"/>
  <c r="D41" i="152"/>
  <c r="D50" i="152"/>
  <c r="D45" i="152"/>
  <c r="D44" i="152"/>
  <c r="D40" i="152"/>
  <c r="D49" i="152"/>
  <c r="E44" i="101"/>
  <c r="K44" i="101" s="1"/>
  <c r="L44" i="101" s="1"/>
  <c r="E42" i="101"/>
  <c r="K42" i="101" s="1"/>
  <c r="L42" i="101" s="1"/>
  <c r="E34" i="101"/>
  <c r="K34" i="101" s="1"/>
  <c r="L34" i="101" s="1"/>
  <c r="E38" i="101"/>
  <c r="K38" i="101" s="1"/>
  <c r="L38" i="101" s="1"/>
  <c r="E9" i="115"/>
  <c r="E15" i="182"/>
  <c r="K15" i="182" s="1"/>
  <c r="E9" i="182"/>
  <c r="K9" i="182" s="1"/>
  <c r="K11" i="27"/>
  <c r="K12" i="29"/>
  <c r="K18" i="44"/>
  <c r="K15" i="44"/>
  <c r="K7" i="44"/>
  <c r="K20" i="44"/>
  <c r="K14" i="44"/>
  <c r="K5" i="44"/>
  <c r="K13" i="44"/>
  <c r="K19" i="44"/>
  <c r="K12" i="44"/>
  <c r="D47" i="152"/>
  <c r="H47" i="152" s="1"/>
  <c r="E16" i="157"/>
  <c r="E19" i="157"/>
  <c r="K19" i="157" s="1"/>
  <c r="E11" i="157"/>
  <c r="L11" i="157" s="1"/>
  <c r="M11" i="157" s="1"/>
  <c r="E9" i="157"/>
  <c r="K9" i="157" s="1"/>
  <c r="H56" i="56"/>
  <c r="E39" i="47"/>
  <c r="H51" i="153"/>
  <c r="D39" i="152"/>
  <c r="D53" i="152" s="1"/>
  <c r="E24" i="58"/>
  <c r="H24" i="58" s="1"/>
  <c r="E17" i="58"/>
  <c r="H17" i="58" s="1"/>
  <c r="E16" i="58"/>
  <c r="H16" i="58" s="1"/>
  <c r="E9" i="58"/>
  <c r="H9" i="58" s="1"/>
  <c r="E13" i="58"/>
  <c r="H13" i="58" s="1"/>
  <c r="E21" i="58"/>
  <c r="H21" i="58" s="1"/>
  <c r="E8" i="58"/>
  <c r="H8" i="58" s="1"/>
  <c r="F47" i="68"/>
  <c r="D70" i="113"/>
  <c r="E50" i="47"/>
  <c r="E35" i="47"/>
  <c r="E42" i="47"/>
  <c r="E38" i="47"/>
  <c r="E45" i="47"/>
  <c r="E41" i="47"/>
  <c r="E48" i="47"/>
  <c r="E33" i="47"/>
  <c r="E47" i="47"/>
  <c r="H43" i="152"/>
  <c r="E14" i="90"/>
  <c r="K14" i="90" s="1"/>
  <c r="E17" i="90"/>
  <c r="K17" i="90" s="1"/>
  <c r="E7" i="90"/>
  <c r="E10" i="90"/>
  <c r="K10" i="90" s="1"/>
  <c r="E13" i="90"/>
  <c r="K13" i="90" s="1"/>
  <c r="E16" i="90"/>
  <c r="K16" i="90" s="1"/>
  <c r="E6" i="90"/>
  <c r="K6" i="90" s="1"/>
  <c r="E9" i="90"/>
  <c r="K9" i="90" s="1"/>
  <c r="K11" i="175"/>
  <c r="K12" i="175"/>
  <c r="K8" i="175"/>
  <c r="K19" i="175"/>
  <c r="K15" i="175"/>
  <c r="K22" i="175"/>
  <c r="K6" i="175"/>
  <c r="K5" i="27"/>
  <c r="E15" i="45"/>
  <c r="E18" i="45"/>
  <c r="E7" i="45"/>
  <c r="E17" i="45"/>
  <c r="E16" i="45"/>
  <c r="E8" i="45"/>
  <c r="E6" i="45"/>
  <c r="E5" i="45"/>
  <c r="E11" i="48"/>
  <c r="K11" i="48" s="1"/>
  <c r="E13" i="129"/>
  <c r="E19" i="129"/>
  <c r="E5" i="129"/>
  <c r="E11" i="129"/>
  <c r="E17" i="129"/>
  <c r="E9" i="129"/>
  <c r="E18" i="129"/>
  <c r="E15" i="129"/>
  <c r="E8" i="129"/>
  <c r="E5" i="90"/>
  <c r="K5" i="90" s="1"/>
  <c r="E15" i="90"/>
  <c r="K15" i="90" s="1"/>
  <c r="K16" i="175"/>
  <c r="E46" i="66"/>
  <c r="K46" i="66" s="1"/>
  <c r="D44" i="153"/>
  <c r="D43" i="153"/>
  <c r="H43" i="153" s="1"/>
  <c r="D48" i="153"/>
  <c r="D47" i="153"/>
  <c r="D41" i="153"/>
  <c r="D39" i="153"/>
  <c r="H39" i="153" s="1"/>
  <c r="D48" i="152"/>
  <c r="E10" i="59"/>
  <c r="H10" i="59" s="1"/>
  <c r="E19" i="59"/>
  <c r="H19" i="59" s="1"/>
  <c r="E14" i="59"/>
  <c r="H14" i="59" s="1"/>
  <c r="E13" i="59"/>
  <c r="H13" i="59" s="1"/>
  <c r="E23" i="59"/>
  <c r="H23" i="59" s="1"/>
  <c r="E5" i="59"/>
  <c r="E18" i="59"/>
  <c r="H18" i="59" s="1"/>
  <c r="E9" i="59"/>
  <c r="H9" i="59" s="1"/>
  <c r="E22" i="59"/>
  <c r="H22" i="59" s="1"/>
  <c r="E8" i="59"/>
  <c r="H8" i="59" s="1"/>
  <c r="E16" i="59"/>
  <c r="H16" i="59" s="1"/>
  <c r="E17" i="59"/>
  <c r="H17" i="59" s="1"/>
  <c r="E12" i="59"/>
  <c r="H12" i="59" s="1"/>
  <c r="E21" i="59"/>
  <c r="H21" i="59" s="1"/>
  <c r="E7" i="59"/>
  <c r="H7" i="59" s="1"/>
  <c r="D12" i="13"/>
  <c r="D14" i="13" s="1"/>
  <c r="D25" i="13" s="1"/>
  <c r="J32" i="101"/>
  <c r="K16" i="27"/>
  <c r="D30" i="153"/>
  <c r="D29" i="153"/>
  <c r="D22" i="153"/>
  <c r="D28" i="153"/>
  <c r="D27" i="153"/>
  <c r="D21" i="153"/>
  <c r="D20" i="153"/>
  <c r="D32" i="153" s="1"/>
  <c r="D26" i="153"/>
  <c r="E17" i="65"/>
  <c r="K17" i="65" s="1"/>
  <c r="E26" i="65"/>
  <c r="K26" i="65" s="1"/>
  <c r="E22" i="65"/>
  <c r="K22" i="65" s="1"/>
  <c r="E10" i="65"/>
  <c r="K10" i="65" s="1"/>
  <c r="E6" i="65"/>
  <c r="K6" i="65" s="1"/>
  <c r="E30" i="101"/>
  <c r="K30" i="101" s="1"/>
  <c r="L30" i="101" s="1"/>
  <c r="K6" i="63"/>
  <c r="H38" i="15"/>
  <c r="E14" i="157"/>
  <c r="L14" i="157" s="1"/>
  <c r="M14" i="157" s="1"/>
  <c r="E40" i="101"/>
  <c r="K40" i="101" s="1"/>
  <c r="L40" i="101" s="1"/>
  <c r="I25" i="48"/>
  <c r="D68" i="64"/>
  <c r="D70" i="64" s="1"/>
  <c r="D71" i="64" s="1"/>
  <c r="K18" i="27"/>
  <c r="K22" i="27"/>
  <c r="K19" i="27"/>
  <c r="K21" i="27"/>
  <c r="K9" i="27"/>
  <c r="K6" i="27"/>
  <c r="K17" i="27"/>
  <c r="G21" i="129"/>
  <c r="K20" i="27"/>
  <c r="E21" i="48"/>
  <c r="K21" i="48" s="1"/>
  <c r="E16" i="48"/>
  <c r="K16" i="48" s="1"/>
  <c r="E8" i="48"/>
  <c r="K8" i="48" s="1"/>
  <c r="E5" i="48"/>
  <c r="K5" i="48" s="1"/>
  <c r="E18" i="48"/>
  <c r="K18" i="48" s="1"/>
  <c r="E13" i="48"/>
  <c r="K13" i="48" s="1"/>
  <c r="E7" i="48"/>
  <c r="K7" i="48" s="1"/>
  <c r="E23" i="48"/>
  <c r="K23" i="48" s="1"/>
  <c r="E10" i="48"/>
  <c r="K10" i="48" s="1"/>
  <c r="E20" i="48"/>
  <c r="K20" i="48" s="1"/>
  <c r="E15" i="48"/>
  <c r="K15" i="48" s="1"/>
  <c r="E9" i="48"/>
  <c r="K9" i="48" s="1"/>
  <c r="E12" i="48"/>
  <c r="K12" i="48" s="1"/>
  <c r="E17" i="48"/>
  <c r="K17" i="48" s="1"/>
  <c r="E11" i="90"/>
  <c r="K11" i="90" s="1"/>
  <c r="E9" i="65"/>
  <c r="K9" i="65" s="1"/>
  <c r="E15" i="93"/>
  <c r="K15" i="93" s="1"/>
  <c r="E8" i="93"/>
  <c r="K8" i="93" s="1"/>
  <c r="E7" i="93"/>
  <c r="K7" i="93" s="1"/>
  <c r="E22" i="93"/>
  <c r="K22" i="93" s="1"/>
  <c r="E21" i="93"/>
  <c r="K21" i="93" s="1"/>
  <c r="E18" i="93"/>
  <c r="K18" i="93" s="1"/>
  <c r="E11" i="93"/>
  <c r="K11" i="93" s="1"/>
  <c r="E14" i="93"/>
  <c r="K14" i="93" s="1"/>
  <c r="E10" i="93"/>
  <c r="K10" i="93" s="1"/>
  <c r="E13" i="93"/>
  <c r="K13" i="93" s="1"/>
  <c r="E17" i="93"/>
  <c r="K17" i="93" s="1"/>
  <c r="E6" i="93"/>
  <c r="E24" i="93" s="1"/>
  <c r="E32" i="66"/>
  <c r="K32" i="66" s="1"/>
  <c r="E7" i="141"/>
  <c r="E6" i="141"/>
  <c r="E5" i="141"/>
  <c r="E9" i="141" s="1"/>
  <c r="E36" i="101"/>
  <c r="K36" i="101" s="1"/>
  <c r="L36" i="101" s="1"/>
  <c r="E22" i="88"/>
  <c r="K22" i="88" s="1"/>
  <c r="E15" i="88"/>
  <c r="K15" i="88" s="1"/>
  <c r="E9" i="88"/>
  <c r="K9" i="88" s="1"/>
  <c r="E20" i="88"/>
  <c r="K20" i="88" s="1"/>
  <c r="E25" i="88"/>
  <c r="K25" i="88" s="1"/>
  <c r="E19" i="88"/>
  <c r="K19" i="88" s="1"/>
  <c r="E13" i="88"/>
  <c r="K13" i="88" s="1"/>
  <c r="E8" i="88"/>
  <c r="K8" i="88" s="1"/>
  <c r="E24" i="88"/>
  <c r="K24" i="88" s="1"/>
  <c r="E17" i="88"/>
  <c r="K17" i="88" s="1"/>
  <c r="E12" i="88"/>
  <c r="K12" i="88" s="1"/>
  <c r="E7" i="88"/>
  <c r="K7" i="88" s="1"/>
  <c r="T3" i="73"/>
  <c r="G24" i="60"/>
  <c r="G22" i="64"/>
  <c r="H41" i="28"/>
  <c r="E16" i="57"/>
  <c r="I12" i="87"/>
  <c r="F40" i="129"/>
  <c r="H38" i="90"/>
  <c r="I40" i="90" s="1"/>
  <c r="I42" i="90" s="1"/>
  <c r="E5" i="61"/>
  <c r="F59" i="66"/>
  <c r="D61" i="66" s="1"/>
  <c r="K13" i="38"/>
  <c r="F68" i="43"/>
  <c r="H69" i="47"/>
  <c r="H45" i="48"/>
  <c r="I24" i="60"/>
  <c r="G12" i="87"/>
  <c r="E10" i="57"/>
  <c r="E22" i="57"/>
  <c r="H47" i="88"/>
  <c r="I42" i="174"/>
  <c r="E10" i="30"/>
  <c r="E8" i="66"/>
  <c r="H8" i="66" s="1"/>
  <c r="K9" i="38"/>
  <c r="E19" i="43"/>
  <c r="J32" i="43"/>
  <c r="E20" i="47"/>
  <c r="E5" i="57"/>
  <c r="E25" i="57" s="1"/>
  <c r="E11" i="57"/>
  <c r="E17" i="57"/>
  <c r="F47" i="88"/>
  <c r="I47" i="88" s="1"/>
  <c r="F40" i="115"/>
  <c r="E6" i="60"/>
  <c r="F46" i="58"/>
  <c r="L3" i="69"/>
  <c r="E7" i="87"/>
  <c r="K7" i="87" s="1"/>
  <c r="E30" i="87"/>
  <c r="E25" i="87"/>
  <c r="F52" i="87"/>
  <c r="H38" i="44"/>
  <c r="J41" i="47"/>
  <c r="E6" i="57"/>
  <c r="E12" i="57"/>
  <c r="E18" i="57"/>
  <c r="G33" i="87"/>
  <c r="E28" i="87"/>
  <c r="L28" i="87" s="1"/>
  <c r="H52" i="87"/>
  <c r="K31" i="37"/>
  <c r="H43" i="42"/>
  <c r="E14" i="30"/>
  <c r="K15" i="171"/>
  <c r="K5" i="36"/>
  <c r="E8" i="56"/>
  <c r="K8" i="56" s="1"/>
  <c r="E19" i="56"/>
  <c r="K19" i="56" s="1"/>
  <c r="E22" i="56"/>
  <c r="K22" i="56" s="1"/>
  <c r="I46" i="56"/>
  <c r="F56" i="56"/>
  <c r="I24" i="30"/>
  <c r="E6" i="61"/>
  <c r="K10" i="38"/>
  <c r="J44" i="101"/>
  <c r="E14" i="47"/>
  <c r="E17" i="60"/>
  <c r="E17" i="87"/>
  <c r="E20" i="87" s="1"/>
  <c r="I33" i="87"/>
  <c r="K9" i="36"/>
  <c r="E43" i="56"/>
  <c r="K43" i="56" s="1"/>
  <c r="L43" i="56" s="1"/>
  <c r="E11" i="30"/>
  <c r="E10" i="66"/>
  <c r="H10" i="66" s="1"/>
  <c r="E18" i="66"/>
  <c r="H18" i="66" s="1"/>
  <c r="K21" i="38"/>
  <c r="K9" i="31"/>
  <c r="E11" i="47"/>
  <c r="J42" i="47"/>
  <c r="E7" i="57"/>
  <c r="E13" i="57"/>
  <c r="E19" i="57"/>
  <c r="G72" i="154"/>
  <c r="E14" i="60"/>
  <c r="G20" i="87"/>
  <c r="J20" i="87" s="1"/>
  <c r="E31" i="87"/>
  <c r="I9" i="61"/>
  <c r="J9" i="61" s="1"/>
  <c r="I42" i="33"/>
  <c r="K16" i="171"/>
  <c r="H53" i="64"/>
  <c r="E11" i="56"/>
  <c r="K11" i="56" s="1"/>
  <c r="E8" i="30"/>
  <c r="H43" i="30"/>
  <c r="K6" i="38"/>
  <c r="J34" i="43"/>
  <c r="J40" i="43"/>
  <c r="E18" i="47"/>
  <c r="E26" i="87"/>
  <c r="K17" i="15"/>
  <c r="K14" i="15"/>
  <c r="K8" i="15"/>
  <c r="K5" i="15"/>
  <c r="K15" i="15"/>
  <c r="K9" i="15"/>
  <c r="K6" i="15"/>
  <c r="K19" i="15"/>
  <c r="K16" i="15"/>
  <c r="K13" i="15"/>
  <c r="K18" i="15"/>
  <c r="K12" i="15"/>
  <c r="K11" i="15"/>
  <c r="K7" i="15"/>
  <c r="K13" i="119"/>
  <c r="K8" i="119"/>
  <c r="K17" i="119"/>
  <c r="K7" i="119"/>
  <c r="K15" i="119"/>
  <c r="K19" i="119"/>
  <c r="K12" i="119"/>
  <c r="K9" i="119"/>
  <c r="K14" i="119"/>
  <c r="K20" i="119"/>
  <c r="K6" i="119"/>
  <c r="K5" i="119"/>
  <c r="K11" i="119"/>
  <c r="K16" i="119"/>
  <c r="K10" i="119"/>
  <c r="K17" i="146"/>
  <c r="K7" i="146"/>
  <c r="K12" i="146"/>
  <c r="K15" i="146"/>
  <c r="K18" i="146"/>
  <c r="K16" i="146"/>
  <c r="K6" i="146"/>
  <c r="K9" i="146"/>
  <c r="K19" i="146"/>
  <c r="K21" i="25"/>
  <c r="K13" i="25"/>
  <c r="K8" i="25"/>
  <c r="K12" i="25"/>
  <c r="K16" i="25"/>
  <c r="K9" i="25"/>
  <c r="K20" i="25"/>
  <c r="D45" i="93"/>
  <c r="D47" i="93" s="1"/>
  <c r="D48" i="93" s="1"/>
  <c r="J29" i="43"/>
  <c r="G48" i="43"/>
  <c r="E22" i="101"/>
  <c r="E19" i="101"/>
  <c r="E16" i="101"/>
  <c r="E13" i="101"/>
  <c r="E10" i="101"/>
  <c r="E7" i="101"/>
  <c r="E6" i="101"/>
  <c r="E9" i="101"/>
  <c r="E12" i="101"/>
  <c r="E15" i="101"/>
  <c r="E21" i="101"/>
  <c r="E8" i="101"/>
  <c r="E18" i="101"/>
  <c r="E11" i="101"/>
  <c r="E14" i="101"/>
  <c r="E20" i="101"/>
  <c r="E17" i="101"/>
  <c r="K11" i="146"/>
  <c r="K18" i="180"/>
  <c r="K14" i="180"/>
  <c r="K7" i="180"/>
  <c r="K10" i="180"/>
  <c r="K16" i="180"/>
  <c r="K5" i="180"/>
  <c r="K20" i="180"/>
  <c r="K8" i="180"/>
  <c r="K17" i="180"/>
  <c r="K6" i="180"/>
  <c r="K15" i="180"/>
  <c r="K11" i="180"/>
  <c r="K19" i="180"/>
  <c r="K13" i="180"/>
  <c r="K9" i="180"/>
  <c r="K11" i="35"/>
  <c r="K7" i="35"/>
  <c r="K10" i="35"/>
  <c r="K9" i="35"/>
  <c r="K14" i="35"/>
  <c r="K19" i="35"/>
  <c r="K13" i="35"/>
  <c r="K16" i="35"/>
  <c r="K18" i="35"/>
  <c r="K8" i="35"/>
  <c r="K17" i="35"/>
  <c r="K12" i="35"/>
  <c r="K6" i="35"/>
  <c r="E21" i="130"/>
  <c r="H11" i="130"/>
  <c r="K13" i="172"/>
  <c r="K19" i="172"/>
  <c r="K16" i="172"/>
  <c r="K6" i="172"/>
  <c r="K22" i="172"/>
  <c r="K21" i="172"/>
  <c r="K18" i="172"/>
  <c r="K15" i="172"/>
  <c r="K9" i="172"/>
  <c r="K17" i="172"/>
  <c r="K8" i="172"/>
  <c r="K20" i="172"/>
  <c r="K12" i="172"/>
  <c r="K7" i="172"/>
  <c r="K5" i="172"/>
  <c r="K10" i="172"/>
  <c r="K14" i="172"/>
  <c r="K12" i="173"/>
  <c r="K5" i="173"/>
  <c r="K15" i="173"/>
  <c r="K18" i="173"/>
  <c r="K20" i="173"/>
  <c r="K17" i="173"/>
  <c r="K13" i="173"/>
  <c r="K6" i="173"/>
  <c r="K11" i="173"/>
  <c r="K9" i="173"/>
  <c r="K19" i="173"/>
  <c r="K16" i="173"/>
  <c r="K8" i="173"/>
  <c r="K23" i="174"/>
  <c r="K20" i="174"/>
  <c r="K13" i="174"/>
  <c r="K16" i="174"/>
  <c r="K9" i="174"/>
  <c r="K6" i="174"/>
  <c r="K19" i="174"/>
  <c r="K22" i="174"/>
  <c r="K12" i="174"/>
  <c r="K5" i="174"/>
  <c r="K17" i="174"/>
  <c r="K21" i="174"/>
  <c r="K11" i="174"/>
  <c r="K15" i="174"/>
  <c r="K10" i="174"/>
  <c r="K7" i="174"/>
  <c r="K14" i="174"/>
  <c r="K18" i="174"/>
  <c r="K14" i="157"/>
  <c r="L19" i="157"/>
  <c r="M19" i="157" s="1"/>
  <c r="K24" i="22"/>
  <c r="K20" i="23"/>
  <c r="K11" i="23"/>
  <c r="K7" i="23"/>
  <c r="K15" i="23"/>
  <c r="K19" i="23"/>
  <c r="K6" i="23"/>
  <c r="K18" i="23"/>
  <c r="K14" i="23"/>
  <c r="K21" i="23"/>
  <c r="K10" i="23"/>
  <c r="K5" i="23"/>
  <c r="K12" i="23"/>
  <c r="K9" i="23"/>
  <c r="K17" i="23"/>
  <c r="K22" i="23"/>
  <c r="K13" i="23"/>
  <c r="K8" i="23"/>
  <c r="K16" i="16"/>
  <c r="K15" i="157"/>
  <c r="K5" i="63"/>
  <c r="K17" i="63"/>
  <c r="K11" i="63"/>
  <c r="K8" i="63"/>
  <c r="K7" i="63"/>
  <c r="K14" i="63"/>
  <c r="K16" i="63"/>
  <c r="K9" i="63"/>
  <c r="K15" i="63"/>
  <c r="K8" i="182"/>
  <c r="K16" i="182"/>
  <c r="D42" i="129"/>
  <c r="D44" i="129" s="1"/>
  <c r="D45" i="129" s="1"/>
  <c r="K16" i="178"/>
  <c r="K11" i="178"/>
  <c r="K20" i="178"/>
  <c r="K6" i="178"/>
  <c r="K10" i="178"/>
  <c r="K5" i="178"/>
  <c r="K13" i="178"/>
  <c r="K12" i="178"/>
  <c r="K9" i="178"/>
  <c r="K14" i="178"/>
  <c r="K8" i="178"/>
  <c r="K7" i="178"/>
  <c r="K15" i="178"/>
  <c r="K19" i="178"/>
  <c r="K18" i="178"/>
  <c r="K10" i="173"/>
  <c r="K5" i="24"/>
  <c r="E23" i="68"/>
  <c r="H23" i="68" s="1"/>
  <c r="E19" i="68"/>
  <c r="H19" i="68" s="1"/>
  <c r="E15" i="68"/>
  <c r="H15" i="68" s="1"/>
  <c r="E11" i="68"/>
  <c r="H11" i="68" s="1"/>
  <c r="E7" i="68"/>
  <c r="H7" i="68" s="1"/>
  <c r="E22" i="68"/>
  <c r="H22" i="68" s="1"/>
  <c r="E18" i="68"/>
  <c r="H18" i="68" s="1"/>
  <c r="E14" i="68"/>
  <c r="H14" i="68" s="1"/>
  <c r="E10" i="68"/>
  <c r="H10" i="68" s="1"/>
  <c r="E6" i="68"/>
  <c r="H6" i="68" s="1"/>
  <c r="E17" i="68"/>
  <c r="H17" i="68" s="1"/>
  <c r="E12" i="68"/>
  <c r="H12" i="68" s="1"/>
  <c r="E21" i="68"/>
  <c r="H21" i="68" s="1"/>
  <c r="E16" i="68"/>
  <c r="H16" i="68" s="1"/>
  <c r="E5" i="68"/>
  <c r="E24" i="68"/>
  <c r="H24" i="68" s="1"/>
  <c r="E8" i="68"/>
  <c r="H8" i="68" s="1"/>
  <c r="E13" i="68"/>
  <c r="H13" i="68" s="1"/>
  <c r="E20" i="68"/>
  <c r="H20" i="68" s="1"/>
  <c r="D12" i="86"/>
  <c r="D14" i="86" s="1"/>
  <c r="D27" i="86" s="1"/>
  <c r="D9" i="86"/>
  <c r="K20" i="140"/>
  <c r="K16" i="140"/>
  <c r="K9" i="140"/>
  <c r="K6" i="140"/>
  <c r="K19" i="140"/>
  <c r="K12" i="140"/>
  <c r="K22" i="140"/>
  <c r="K15" i="140"/>
  <c r="K5" i="140"/>
  <c r="K18" i="140"/>
  <c r="K11" i="140"/>
  <c r="K21" i="140"/>
  <c r="K17" i="140"/>
  <c r="K7" i="140"/>
  <c r="K14" i="140"/>
  <c r="K10" i="140"/>
  <c r="K13" i="140"/>
  <c r="K11" i="145"/>
  <c r="K8" i="145"/>
  <c r="K15" i="145"/>
  <c r="K6" i="145"/>
  <c r="K9" i="145"/>
  <c r="K10" i="145"/>
  <c r="K13" i="145"/>
  <c r="K5" i="145"/>
  <c r="K14" i="145"/>
  <c r="G21" i="130"/>
  <c r="D42" i="130" s="1"/>
  <c r="D44" i="130" s="1"/>
  <c r="D45" i="130" s="1"/>
  <c r="K7" i="90"/>
  <c r="I43" i="30"/>
  <c r="K7" i="145"/>
  <c r="H21" i="130"/>
  <c r="K17" i="183"/>
  <c r="K15" i="183"/>
  <c r="K10" i="183"/>
  <c r="K5" i="183"/>
  <c r="K8" i="183"/>
  <c r="K12" i="183"/>
  <c r="K14" i="183"/>
  <c r="K16" i="183"/>
  <c r="K7" i="183"/>
  <c r="K11" i="183"/>
  <c r="K6" i="183"/>
  <c r="K12" i="155"/>
  <c r="K5" i="155"/>
  <c r="K19" i="155"/>
  <c r="K15" i="155"/>
  <c r="K8" i="155"/>
  <c r="K18" i="155"/>
  <c r="K11" i="155"/>
  <c r="K13" i="155"/>
  <c r="K20" i="155"/>
  <c r="K17" i="155"/>
  <c r="K9" i="155"/>
  <c r="K7" i="155"/>
  <c r="K14" i="155"/>
  <c r="K10" i="155"/>
  <c r="K6" i="155"/>
  <c r="E14" i="182"/>
  <c r="K14" i="182" s="1"/>
  <c r="E18" i="182"/>
  <c r="K18" i="182" s="1"/>
  <c r="E13" i="182"/>
  <c r="K13" i="182" s="1"/>
  <c r="E8" i="182"/>
  <c r="E16" i="182"/>
  <c r="E10" i="182"/>
  <c r="K10" i="182" s="1"/>
  <c r="E19" i="182"/>
  <c r="K19" i="182" s="1"/>
  <c r="E7" i="182"/>
  <c r="K7" i="182" s="1"/>
  <c r="E6" i="182"/>
  <c r="K6" i="182" s="1"/>
  <c r="E11" i="182"/>
  <c r="K11" i="182" s="1"/>
  <c r="E12" i="182"/>
  <c r="K12" i="182" s="1"/>
  <c r="E17" i="182"/>
  <c r="K17" i="182" s="1"/>
  <c r="E5" i="182"/>
  <c r="K5" i="182" s="1"/>
  <c r="G19" i="90"/>
  <c r="J19" i="90" s="1"/>
  <c r="F38" i="90"/>
  <c r="L20" i="15"/>
  <c r="K13" i="183"/>
  <c r="K17" i="145"/>
  <c r="I20" i="120"/>
  <c r="E46" i="43"/>
  <c r="K46" i="43" s="1"/>
  <c r="E36" i="43"/>
  <c r="K36" i="43" s="1"/>
  <c r="E41" i="43"/>
  <c r="K41" i="43" s="1"/>
  <c r="E31" i="43"/>
  <c r="K31" i="43" s="1"/>
  <c r="E38" i="43"/>
  <c r="K38" i="43" s="1"/>
  <c r="E43" i="43"/>
  <c r="K43" i="43" s="1"/>
  <c r="E33" i="43"/>
  <c r="K33" i="43" s="1"/>
  <c r="E37" i="43"/>
  <c r="K37" i="43" s="1"/>
  <c r="E34" i="43"/>
  <c r="K34" i="43" s="1"/>
  <c r="E40" i="43"/>
  <c r="K40" i="43" s="1"/>
  <c r="E30" i="43"/>
  <c r="K30" i="43" s="1"/>
  <c r="E39" i="43"/>
  <c r="K39" i="43" s="1"/>
  <c r="E45" i="43"/>
  <c r="K45" i="43" s="1"/>
  <c r="E42" i="43"/>
  <c r="K42" i="43" s="1"/>
  <c r="E29" i="43"/>
  <c r="E35" i="43"/>
  <c r="K35" i="43" s="1"/>
  <c r="E32" i="43"/>
  <c r="K32" i="43" s="1"/>
  <c r="E44" i="43"/>
  <c r="K44" i="43" s="1"/>
  <c r="I25" i="47"/>
  <c r="K8" i="16"/>
  <c r="K19" i="16"/>
  <c r="K15" i="16"/>
  <c r="K11" i="16"/>
  <c r="K6" i="16"/>
  <c r="K17" i="16"/>
  <c r="K13" i="16"/>
  <c r="K18" i="16"/>
  <c r="K14" i="16"/>
  <c r="K9" i="16"/>
  <c r="K5" i="16"/>
  <c r="K6" i="157"/>
  <c r="L6" i="157"/>
  <c r="K7" i="173"/>
  <c r="E43" i="26"/>
  <c r="K43" i="26" s="1"/>
  <c r="E44" i="26"/>
  <c r="K44" i="26" s="1"/>
  <c r="E42" i="26"/>
  <c r="G26" i="58"/>
  <c r="D48" i="58" s="1"/>
  <c r="D50" i="58" s="1"/>
  <c r="D51" i="58" s="1"/>
  <c r="D52" i="58" s="1"/>
  <c r="D53" i="58" s="1"/>
  <c r="L23" i="27"/>
  <c r="K23" i="29"/>
  <c r="K15" i="29"/>
  <c r="K11" i="29"/>
  <c r="K7" i="29"/>
  <c r="K14" i="29"/>
  <c r="L14" i="29" s="1"/>
  <c r="K10" i="29"/>
  <c r="K20" i="29"/>
  <c r="K9" i="29"/>
  <c r="K5" i="29"/>
  <c r="K19" i="29"/>
  <c r="K8" i="29"/>
  <c r="K22" i="29"/>
  <c r="K16" i="29"/>
  <c r="K21" i="29"/>
  <c r="K5" i="88"/>
  <c r="K8" i="131"/>
  <c r="E12" i="157"/>
  <c r="L12" i="157" s="1"/>
  <c r="M12" i="157" s="1"/>
  <c r="K17" i="171"/>
  <c r="G25" i="56"/>
  <c r="K13" i="29"/>
  <c r="K25" i="149"/>
  <c r="K21" i="149"/>
  <c r="K17" i="149"/>
  <c r="K13" i="149"/>
  <c r="K8" i="149"/>
  <c r="K28" i="149"/>
  <c r="K24" i="149"/>
  <c r="K20" i="149"/>
  <c r="K16" i="149"/>
  <c r="K12" i="149"/>
  <c r="K7" i="149"/>
  <c r="K19" i="149"/>
  <c r="K14" i="149"/>
  <c r="K23" i="149"/>
  <c r="K18" i="149"/>
  <c r="K22" i="149"/>
  <c r="K11" i="149"/>
  <c r="K27" i="149"/>
  <c r="K5" i="149"/>
  <c r="K26" i="149"/>
  <c r="M30" i="87"/>
  <c r="L30" i="87"/>
  <c r="K30" i="87"/>
  <c r="K5" i="131"/>
  <c r="K21" i="131"/>
  <c r="H43" i="17"/>
  <c r="K14" i="162"/>
  <c r="E7" i="157"/>
  <c r="L7" i="157" s="1"/>
  <c r="M7" i="157" s="1"/>
  <c r="L9" i="157"/>
  <c r="M9" i="157" s="1"/>
  <c r="E15" i="157"/>
  <c r="L15" i="157" s="1"/>
  <c r="M15" i="157" s="1"/>
  <c r="L17" i="157"/>
  <c r="M17" i="157" s="1"/>
  <c r="E10" i="146"/>
  <c r="E13" i="146"/>
  <c r="I36" i="146"/>
  <c r="E20" i="64"/>
  <c r="K20" i="64" s="1"/>
  <c r="E8" i="64"/>
  <c r="K8" i="64" s="1"/>
  <c r="E15" i="64"/>
  <c r="K15" i="64" s="1"/>
  <c r="E10" i="64"/>
  <c r="K10" i="64" s="1"/>
  <c r="E17" i="64"/>
  <c r="K17" i="64" s="1"/>
  <c r="E5" i="64"/>
  <c r="E19" i="64"/>
  <c r="K19" i="64" s="1"/>
  <c r="E7" i="64"/>
  <c r="K7" i="64" s="1"/>
  <c r="I66" i="64"/>
  <c r="K5" i="137"/>
  <c r="K17" i="36"/>
  <c r="I25" i="56"/>
  <c r="E20" i="65"/>
  <c r="K20" i="65" s="1"/>
  <c r="E23" i="65"/>
  <c r="K23" i="65" s="1"/>
  <c r="F22" i="67"/>
  <c r="F11" i="67"/>
  <c r="F6" i="67"/>
  <c r="F5" i="67"/>
  <c r="F23" i="67"/>
  <c r="F12" i="67"/>
  <c r="J24" i="101"/>
  <c r="H41" i="153"/>
  <c r="G41" i="153"/>
  <c r="M2" i="69"/>
  <c r="K17" i="131"/>
  <c r="K17" i="162"/>
  <c r="K10" i="136"/>
  <c r="K7" i="136"/>
  <c r="K14" i="131"/>
  <c r="K11" i="42"/>
  <c r="G43" i="153"/>
  <c r="K6" i="171"/>
  <c r="K29" i="163"/>
  <c r="E34" i="86"/>
  <c r="H34" i="86" s="1"/>
  <c r="E30" i="86"/>
  <c r="E33" i="86"/>
  <c r="H33" i="86" s="1"/>
  <c r="E32" i="86"/>
  <c r="H32" i="86" s="1"/>
  <c r="E35" i="86"/>
  <c r="H35" i="86" s="1"/>
  <c r="H38" i="16"/>
  <c r="K15" i="131"/>
  <c r="K18" i="131"/>
  <c r="K10" i="162"/>
  <c r="E16" i="129"/>
  <c r="E10" i="129"/>
  <c r="K9" i="136"/>
  <c r="K14" i="36"/>
  <c r="K21" i="36"/>
  <c r="E14" i="65"/>
  <c r="K14" i="65" s="1"/>
  <c r="I42" i="93"/>
  <c r="H4" i="66"/>
  <c r="K18" i="31"/>
  <c r="K12" i="31"/>
  <c r="K6" i="31"/>
  <c r="K22" i="31"/>
  <c r="K16" i="31"/>
  <c r="K10" i="31"/>
  <c r="K15" i="31"/>
  <c r="K8" i="31"/>
  <c r="K21" i="31"/>
  <c r="K14" i="31"/>
  <c r="K7" i="31"/>
  <c r="K5" i="31"/>
  <c r="K13" i="31"/>
  <c r="K20" i="31"/>
  <c r="K11" i="31"/>
  <c r="K13" i="40"/>
  <c r="L13" i="40" s="1"/>
  <c r="K9" i="40"/>
  <c r="K5" i="40"/>
  <c r="K21" i="40"/>
  <c r="K17" i="40"/>
  <c r="K16" i="40"/>
  <c r="K12" i="40"/>
  <c r="K8" i="40"/>
  <c r="K20" i="40"/>
  <c r="K6" i="40"/>
  <c r="K15" i="40"/>
  <c r="K10" i="40"/>
  <c r="K14" i="40"/>
  <c r="K19" i="40"/>
  <c r="K7" i="40"/>
  <c r="G47" i="101"/>
  <c r="K14" i="42"/>
  <c r="L14" i="42" s="1"/>
  <c r="K10" i="42"/>
  <c r="K6" i="42"/>
  <c r="K21" i="42"/>
  <c r="K17" i="42"/>
  <c r="K23" i="42"/>
  <c r="K13" i="42"/>
  <c r="K9" i="42"/>
  <c r="K5" i="42"/>
  <c r="K15" i="42"/>
  <c r="K19" i="42"/>
  <c r="K22" i="42"/>
  <c r="K18" i="42"/>
  <c r="K8" i="42"/>
  <c r="K7" i="42"/>
  <c r="H44" i="153"/>
  <c r="G44" i="153"/>
  <c r="H59" i="65"/>
  <c r="K18" i="49"/>
  <c r="K12" i="49"/>
  <c r="K6" i="49"/>
  <c r="K22" i="49"/>
  <c r="K16" i="49"/>
  <c r="K10" i="49"/>
  <c r="K20" i="49"/>
  <c r="K13" i="49"/>
  <c r="K5" i="49"/>
  <c r="K19" i="49"/>
  <c r="K11" i="49"/>
  <c r="K17" i="49"/>
  <c r="K14" i="49"/>
  <c r="K21" i="49"/>
  <c r="K13" i="171"/>
  <c r="K9" i="171"/>
  <c r="K18" i="171"/>
  <c r="H5" i="58"/>
  <c r="L25" i="87"/>
  <c r="K25" i="87"/>
  <c r="M25" i="87"/>
  <c r="K11" i="171"/>
  <c r="I22" i="64"/>
  <c r="J22" i="64" s="1"/>
  <c r="K5" i="136"/>
  <c r="K12" i="136"/>
  <c r="K15" i="49"/>
  <c r="I68" i="43"/>
  <c r="D49" i="68"/>
  <c r="D51" i="68" s="1"/>
  <c r="D52" i="68" s="1"/>
  <c r="F53" i="68" s="1"/>
  <c r="D54" i="68" s="1"/>
  <c r="F55" i="68" s="1"/>
  <c r="K12" i="131"/>
  <c r="I41" i="179"/>
  <c r="E5" i="157"/>
  <c r="E10" i="157"/>
  <c r="E18" i="157"/>
  <c r="E14" i="129"/>
  <c r="I38" i="156"/>
  <c r="K12" i="171"/>
  <c r="K19" i="171"/>
  <c r="K24" i="21"/>
  <c r="K10" i="120"/>
  <c r="K18" i="120"/>
  <c r="K14" i="120"/>
  <c r="K5" i="120"/>
  <c r="K9" i="120"/>
  <c r="E16" i="64"/>
  <c r="K16" i="64" s="1"/>
  <c r="K6" i="136"/>
  <c r="K5" i="56"/>
  <c r="K6" i="93"/>
  <c r="G23" i="66"/>
  <c r="K8" i="49"/>
  <c r="I47" i="101"/>
  <c r="K20" i="42"/>
  <c r="G25" i="47"/>
  <c r="K11" i="161"/>
  <c r="K9" i="137"/>
  <c r="K6" i="137"/>
  <c r="K10" i="137"/>
  <c r="K12" i="137"/>
  <c r="K16" i="42"/>
  <c r="K9" i="131"/>
  <c r="E15" i="181"/>
  <c r="L15" i="181" s="1"/>
  <c r="M15" i="181" s="1"/>
  <c r="E13" i="157"/>
  <c r="I37" i="178"/>
  <c r="H41" i="180"/>
  <c r="F40" i="64"/>
  <c r="E16" i="65"/>
  <c r="K16" i="65" s="1"/>
  <c r="E18" i="65"/>
  <c r="K18" i="65" s="1"/>
  <c r="E25" i="65"/>
  <c r="K25" i="65" s="1"/>
  <c r="E13" i="65"/>
  <c r="K13" i="65" s="1"/>
  <c r="E19" i="65"/>
  <c r="K19" i="65" s="1"/>
  <c r="E11" i="65"/>
  <c r="K11" i="65" s="1"/>
  <c r="E24" i="65"/>
  <c r="K24" i="65" s="1"/>
  <c r="E8" i="65"/>
  <c r="K8" i="65" s="1"/>
  <c r="E5" i="65"/>
  <c r="E21" i="65"/>
  <c r="K21" i="65" s="1"/>
  <c r="E15" i="65"/>
  <c r="K15" i="65" s="1"/>
  <c r="E7" i="65"/>
  <c r="K7" i="65" s="1"/>
  <c r="G24" i="93"/>
  <c r="J24" i="93" s="1"/>
  <c r="K15" i="149"/>
  <c r="L24" i="36"/>
  <c r="K13" i="162"/>
  <c r="K20" i="36"/>
  <c r="K10" i="36"/>
  <c r="K7" i="36"/>
  <c r="K16" i="36"/>
  <c r="K13" i="36"/>
  <c r="K22" i="36"/>
  <c r="K11" i="131"/>
  <c r="K6" i="131"/>
  <c r="K19" i="131"/>
  <c r="E8" i="157"/>
  <c r="K8" i="171"/>
  <c r="H40" i="64"/>
  <c r="F53" i="64"/>
  <c r="M5" i="36"/>
  <c r="K8" i="36"/>
  <c r="K18" i="36"/>
  <c r="G24" i="30"/>
  <c r="J24" i="30" s="1"/>
  <c r="K9" i="49"/>
  <c r="K10" i="149"/>
  <c r="H49" i="153"/>
  <c r="G49" i="153"/>
  <c r="D30" i="152"/>
  <c r="D24" i="152"/>
  <c r="D29" i="152"/>
  <c r="D23" i="152"/>
  <c r="D28" i="152"/>
  <c r="D22" i="152"/>
  <c r="D21" i="152"/>
  <c r="D20" i="152"/>
  <c r="D27" i="152"/>
  <c r="D26" i="152"/>
  <c r="D25" i="152"/>
  <c r="E31" i="86"/>
  <c r="H31" i="86" s="1"/>
  <c r="I48" i="43"/>
  <c r="I52" i="47"/>
  <c r="G47" i="152"/>
  <c r="H4" i="69"/>
  <c r="K7" i="175"/>
  <c r="K21" i="175"/>
  <c r="K42" i="37"/>
  <c r="E46" i="37"/>
  <c r="E21" i="30"/>
  <c r="E18" i="30"/>
  <c r="E15" i="30"/>
  <c r="E12" i="30"/>
  <c r="E9" i="30"/>
  <c r="E6" i="30"/>
  <c r="E19" i="66"/>
  <c r="H19" i="66" s="1"/>
  <c r="E15" i="66"/>
  <c r="H15" i="66" s="1"/>
  <c r="E11" i="66"/>
  <c r="H11" i="66" s="1"/>
  <c r="E7" i="66"/>
  <c r="H7" i="66" s="1"/>
  <c r="K4" i="69"/>
  <c r="L4" i="69" s="1"/>
  <c r="T2" i="73"/>
  <c r="I39" i="180"/>
  <c r="G28" i="65"/>
  <c r="E46" i="65"/>
  <c r="F59" i="65"/>
  <c r="E7" i="30"/>
  <c r="E20" i="30"/>
  <c r="E12" i="66"/>
  <c r="H12" i="66" s="1"/>
  <c r="E17" i="66"/>
  <c r="H17" i="66" s="1"/>
  <c r="E7" i="142"/>
  <c r="E6" i="142"/>
  <c r="E5" i="142"/>
  <c r="K70" i="67"/>
  <c r="I48" i="143"/>
  <c r="H44" i="152"/>
  <c r="G44" i="152"/>
  <c r="E13" i="115"/>
  <c r="E7" i="115"/>
  <c r="E12" i="115"/>
  <c r="E6" i="115"/>
  <c r="E15" i="115"/>
  <c r="E8" i="115"/>
  <c r="E14" i="115"/>
  <c r="H43" i="174"/>
  <c r="I28" i="65"/>
  <c r="K14" i="175"/>
  <c r="K20" i="175"/>
  <c r="K10" i="175"/>
  <c r="K18" i="175"/>
  <c r="D28" i="61"/>
  <c r="D30" i="61" s="1"/>
  <c r="D31" i="61" s="1"/>
  <c r="G26" i="59"/>
  <c r="K23" i="38"/>
  <c r="K22" i="28"/>
  <c r="K13" i="28"/>
  <c r="K9" i="28"/>
  <c r="K17" i="28"/>
  <c r="K21" i="28"/>
  <c r="K8" i="28"/>
  <c r="K12" i="28"/>
  <c r="K16" i="28"/>
  <c r="E24" i="43"/>
  <c r="E45" i="101"/>
  <c r="K45" i="101" s="1"/>
  <c r="L45" i="101" s="1"/>
  <c r="E43" i="101"/>
  <c r="K43" i="101" s="1"/>
  <c r="L43" i="101" s="1"/>
  <c r="E41" i="101"/>
  <c r="K41" i="101" s="1"/>
  <c r="L41" i="101" s="1"/>
  <c r="E39" i="101"/>
  <c r="K39" i="101" s="1"/>
  <c r="L39" i="101" s="1"/>
  <c r="E37" i="101"/>
  <c r="K37" i="101" s="1"/>
  <c r="L37" i="101" s="1"/>
  <c r="E35" i="101"/>
  <c r="K35" i="101" s="1"/>
  <c r="L35" i="101" s="1"/>
  <c r="E33" i="101"/>
  <c r="K33" i="101" s="1"/>
  <c r="L33" i="101" s="1"/>
  <c r="E31" i="101"/>
  <c r="K31" i="101" s="1"/>
  <c r="L31" i="101" s="1"/>
  <c r="E29" i="101"/>
  <c r="E49" i="47"/>
  <c r="E46" i="47"/>
  <c r="E43" i="47"/>
  <c r="E40" i="47"/>
  <c r="E37" i="47"/>
  <c r="E34" i="47"/>
  <c r="E31" i="47"/>
  <c r="E10" i="46"/>
  <c r="F45" i="48"/>
  <c r="M28" i="87"/>
  <c r="K7" i="27"/>
  <c r="K14" i="27"/>
  <c r="I24" i="43"/>
  <c r="J24" i="43" s="1"/>
  <c r="E22" i="47"/>
  <c r="E19" i="47"/>
  <c r="E16" i="47"/>
  <c r="E13" i="47"/>
  <c r="E10" i="47"/>
  <c r="E7" i="47"/>
  <c r="G27" i="88"/>
  <c r="J27" i="88" s="1"/>
  <c r="D50" i="153"/>
  <c r="D46" i="153"/>
  <c r="D42" i="153"/>
  <c r="G17" i="115"/>
  <c r="D42" i="115" s="1"/>
  <c r="D44" i="115" s="1"/>
  <c r="D45" i="115" s="1"/>
  <c r="F44" i="60"/>
  <c r="E6" i="87"/>
  <c r="K6" i="87" s="1"/>
  <c r="E8" i="87"/>
  <c r="K8" i="87" s="1"/>
  <c r="E10" i="87"/>
  <c r="K10" i="87" s="1"/>
  <c r="H44" i="25"/>
  <c r="L4" i="27"/>
  <c r="K10" i="27"/>
  <c r="E8" i="47"/>
  <c r="E21" i="47"/>
  <c r="F69" i="47"/>
  <c r="G25" i="57"/>
  <c r="D47" i="57" s="1"/>
  <c r="D49" i="57" s="1"/>
  <c r="D50" i="57" s="1"/>
  <c r="G39" i="153"/>
  <c r="D45" i="153"/>
  <c r="H44" i="60"/>
  <c r="E23" i="58"/>
  <c r="H23" i="58" s="1"/>
  <c r="E19" i="58"/>
  <c r="H19" i="58" s="1"/>
  <c r="E15" i="58"/>
  <c r="H15" i="58" s="1"/>
  <c r="E11" i="58"/>
  <c r="H11" i="58" s="1"/>
  <c r="E7" i="58"/>
  <c r="H7" i="58" s="1"/>
  <c r="E22" i="58"/>
  <c r="H22" i="58" s="1"/>
  <c r="E18" i="58"/>
  <c r="H18" i="58" s="1"/>
  <c r="E14" i="58"/>
  <c r="H14" i="58" s="1"/>
  <c r="E10" i="58"/>
  <c r="H10" i="58" s="1"/>
  <c r="E6" i="58"/>
  <c r="H6" i="58" s="1"/>
  <c r="K16" i="38"/>
  <c r="K20" i="38"/>
  <c r="K15" i="38"/>
  <c r="K19" i="38"/>
  <c r="K12" i="38"/>
  <c r="K17" i="38"/>
  <c r="K22" i="38"/>
  <c r="F47" i="59"/>
  <c r="D49" i="59" s="1"/>
  <c r="D51" i="59" s="1"/>
  <c r="D52" i="59" s="1"/>
  <c r="F53" i="59" s="1"/>
  <c r="D54" i="59" s="1"/>
  <c r="F55" i="59" s="1"/>
  <c r="K15" i="27"/>
  <c r="H41" i="172"/>
  <c r="K8" i="38"/>
  <c r="G52" i="47"/>
  <c r="G25" i="48"/>
  <c r="D40" i="153"/>
  <c r="E22" i="60"/>
  <c r="E19" i="60"/>
  <c r="E16" i="60"/>
  <c r="E13" i="60"/>
  <c r="E10" i="60"/>
  <c r="E7" i="60"/>
  <c r="J4" i="69"/>
  <c r="K16" i="44"/>
  <c r="E20" i="45"/>
  <c r="D24" i="153"/>
  <c r="F3" i="69"/>
  <c r="H41" i="29"/>
  <c r="K9" i="44"/>
  <c r="K17" i="44"/>
  <c r="E21" i="45"/>
  <c r="E6" i="88"/>
  <c r="K6" i="88" s="1"/>
  <c r="E10" i="88"/>
  <c r="K10" i="88" s="1"/>
  <c r="E14" i="88"/>
  <c r="K14" i="88" s="1"/>
  <c r="E18" i="88"/>
  <c r="K18" i="88" s="1"/>
  <c r="F34" i="67"/>
  <c r="F42" i="67"/>
  <c r="H3" i="69"/>
  <c r="E27" i="87"/>
  <c r="E33" i="87" s="1"/>
  <c r="E22" i="45"/>
  <c r="J3" i="69"/>
  <c r="K10" i="44"/>
  <c r="E23" i="45"/>
  <c r="I45" i="149"/>
  <c r="K5" i="14"/>
  <c r="K19" i="14"/>
  <c r="K8" i="14"/>
  <c r="K18" i="14"/>
  <c r="K12" i="14"/>
  <c r="K16" i="14"/>
  <c r="K13" i="14"/>
  <c r="K9" i="14"/>
  <c r="K15" i="14"/>
  <c r="K17" i="14"/>
  <c r="K14" i="14"/>
  <c r="K11" i="14"/>
  <c r="H77" i="67"/>
  <c r="J7" i="63"/>
  <c r="K15" i="162"/>
  <c r="K12" i="162"/>
  <c r="K11" i="162"/>
  <c r="K5" i="162"/>
  <c r="K8" i="162"/>
  <c r="K6" i="162"/>
  <c r="K9" i="162"/>
  <c r="K25" i="143"/>
  <c r="K7" i="143"/>
  <c r="K14" i="143"/>
  <c r="K6" i="143"/>
  <c r="K18" i="143"/>
  <c r="K27" i="143"/>
  <c r="K20" i="143"/>
  <c r="K28" i="143"/>
  <c r="K8" i="143"/>
  <c r="K21" i="143"/>
  <c r="K9" i="143"/>
  <c r="K24" i="143"/>
  <c r="K15" i="143"/>
  <c r="K22" i="168"/>
  <c r="K16" i="168"/>
  <c r="K6" i="168"/>
  <c r="K11" i="168"/>
  <c r="K20" i="168"/>
  <c r="K15" i="168"/>
  <c r="K27" i="168"/>
  <c r="K7" i="168"/>
  <c r="K24" i="168"/>
  <c r="K19" i="168"/>
  <c r="K28" i="168"/>
  <c r="K23" i="168"/>
  <c r="K8" i="168"/>
  <c r="H45" i="184"/>
  <c r="K66" i="67"/>
  <c r="L74" i="67"/>
  <c r="L76" i="67"/>
  <c r="L75" i="67"/>
  <c r="L71" i="67"/>
  <c r="L59" i="67"/>
  <c r="L63" i="67"/>
  <c r="L67" i="67"/>
  <c r="H25" i="67"/>
  <c r="F17" i="67"/>
  <c r="F37" i="67"/>
  <c r="F31" i="67"/>
  <c r="K61" i="67"/>
  <c r="F36" i="67"/>
  <c r="F30" i="67"/>
  <c r="F43" i="67"/>
  <c r="H50" i="67"/>
  <c r="F18" i="67"/>
  <c r="F45" i="67"/>
  <c r="J77" i="67"/>
  <c r="I98" i="67"/>
  <c r="F39" i="67"/>
  <c r="K62" i="67"/>
  <c r="K15" i="177"/>
  <c r="K12" i="177"/>
  <c r="K9" i="177"/>
  <c r="K6" i="177"/>
  <c r="K8" i="177"/>
  <c r="K5" i="177"/>
  <c r="K10" i="177"/>
  <c r="K14" i="177"/>
  <c r="K17" i="177"/>
  <c r="K11" i="177"/>
  <c r="K16" i="177"/>
  <c r="K13" i="177"/>
  <c r="K7" i="177"/>
  <c r="H39" i="177"/>
  <c r="I18" i="177"/>
  <c r="K57" i="67"/>
  <c r="I25" i="21"/>
  <c r="H46" i="21"/>
  <c r="K58" i="67"/>
  <c r="K69" i="67"/>
  <c r="H40" i="40"/>
  <c r="I39" i="171"/>
  <c r="I38" i="180"/>
  <c r="H37" i="162"/>
  <c r="H39" i="145"/>
  <c r="H38" i="63"/>
  <c r="K23" i="184"/>
  <c r="K24" i="184"/>
  <c r="K74" i="67"/>
  <c r="I20" i="24"/>
  <c r="K9" i="55"/>
  <c r="K8" i="55"/>
  <c r="K13" i="55"/>
  <c r="K7" i="55"/>
  <c r="K18" i="55"/>
  <c r="K12" i="55"/>
  <c r="K17" i="55"/>
  <c r="K6" i="55"/>
  <c r="K10" i="55"/>
  <c r="K16" i="55"/>
  <c r="K5" i="55"/>
  <c r="K14" i="55"/>
  <c r="K15" i="165"/>
  <c r="K11" i="165"/>
  <c r="K6" i="165"/>
  <c r="K12" i="165"/>
  <c r="K18" i="165"/>
  <c r="K14" i="165"/>
  <c r="K10" i="165"/>
  <c r="K5" i="165"/>
  <c r="K16" i="165"/>
  <c r="K8" i="165"/>
  <c r="K17" i="165"/>
  <c r="K13" i="165"/>
  <c r="K9" i="165"/>
  <c r="L19" i="165"/>
  <c r="I19" i="34"/>
  <c r="L19" i="34"/>
  <c r="J11" i="63"/>
  <c r="E8" i="181"/>
  <c r="E17" i="181"/>
  <c r="L17" i="181" s="1"/>
  <c r="M17" i="181" s="1"/>
  <c r="K15" i="181"/>
  <c r="E5" i="181"/>
  <c r="E18" i="181"/>
  <c r="L18" i="181" s="1"/>
  <c r="M18" i="181" s="1"/>
  <c r="E7" i="181"/>
  <c r="E10" i="181"/>
  <c r="E16" i="181"/>
  <c r="L16" i="181" s="1"/>
  <c r="M16" i="181" s="1"/>
  <c r="E6" i="181"/>
  <c r="E19" i="181"/>
  <c r="L19" i="181" s="1"/>
  <c r="M19" i="181" s="1"/>
  <c r="E9" i="181"/>
  <c r="K28" i="108"/>
  <c r="K29" i="108"/>
  <c r="E38" i="108"/>
  <c r="K38" i="108" s="1"/>
  <c r="E35" i="108"/>
  <c r="K35" i="108" s="1"/>
  <c r="E43" i="108"/>
  <c r="K43" i="108" s="1"/>
  <c r="E49" i="108"/>
  <c r="K49" i="108" s="1"/>
  <c r="E46" i="108"/>
  <c r="K46" i="108" s="1"/>
  <c r="E37" i="108"/>
  <c r="K37" i="108" s="1"/>
  <c r="E40" i="108"/>
  <c r="K40" i="108" s="1"/>
  <c r="E48" i="108"/>
  <c r="K48" i="108" s="1"/>
  <c r="E51" i="108"/>
  <c r="K51" i="108" s="1"/>
  <c r="I53" i="108"/>
  <c r="E41" i="108"/>
  <c r="K41" i="108" s="1"/>
  <c r="E44" i="108"/>
  <c r="K44" i="108" s="1"/>
  <c r="E47" i="108"/>
  <c r="K47" i="108" s="1"/>
  <c r="E36" i="108"/>
  <c r="K36" i="108" s="1"/>
  <c r="E39" i="108"/>
  <c r="K39" i="108" s="1"/>
  <c r="E50" i="108"/>
  <c r="K50" i="108" s="1"/>
  <c r="E42" i="108"/>
  <c r="K42" i="108" s="1"/>
  <c r="G53" i="108"/>
  <c r="K13" i="39"/>
  <c r="K17" i="39"/>
  <c r="J14" i="63"/>
  <c r="I25" i="46"/>
  <c r="F24" i="141"/>
  <c r="F42" i="161"/>
  <c r="I42" i="161" s="1"/>
  <c r="J8" i="63"/>
  <c r="J18" i="63"/>
  <c r="K16" i="39"/>
  <c r="K10" i="39"/>
  <c r="K27" i="39"/>
  <c r="K21" i="39"/>
  <c r="K15" i="39"/>
  <c r="K25" i="39"/>
  <c r="K9" i="39"/>
  <c r="K20" i="39"/>
  <c r="K14" i="39"/>
  <c r="K8" i="39"/>
  <c r="K24" i="39"/>
  <c r="K19" i="39"/>
  <c r="K12" i="39"/>
  <c r="K29" i="39"/>
  <c r="K23" i="39"/>
  <c r="K7" i="39"/>
  <c r="K18" i="39"/>
  <c r="K11" i="39"/>
  <c r="K28" i="39"/>
  <c r="K22" i="39"/>
  <c r="K6" i="39"/>
  <c r="J9" i="63"/>
  <c r="G5" i="63"/>
  <c r="G20" i="63" s="1"/>
  <c r="K5" i="25"/>
  <c r="K22" i="25"/>
  <c r="K6" i="25"/>
  <c r="K10" i="25"/>
  <c r="K14" i="25"/>
  <c r="K19" i="25"/>
  <c r="K18" i="25"/>
  <c r="K15" i="25"/>
  <c r="K7" i="25"/>
  <c r="K11" i="25"/>
  <c r="K17" i="25"/>
  <c r="K16" i="108"/>
  <c r="K12" i="108"/>
  <c r="K11" i="108"/>
  <c r="K20" i="108"/>
  <c r="K7" i="108"/>
  <c r="K19" i="108"/>
  <c r="K14" i="108"/>
  <c r="K18" i="108"/>
  <c r="K17" i="108"/>
  <c r="K13" i="108"/>
  <c r="K21" i="108"/>
  <c r="K25" i="108"/>
  <c r="K24" i="108"/>
  <c r="K15" i="108"/>
  <c r="K23" i="108"/>
  <c r="K6" i="108"/>
  <c r="K27" i="108"/>
  <c r="K10" i="108"/>
  <c r="K22" i="108"/>
  <c r="K26" i="108"/>
  <c r="K9" i="108"/>
  <c r="K8" i="108"/>
  <c r="L60" i="67"/>
  <c r="L64" i="67"/>
  <c r="L68" i="67"/>
  <c r="L72" i="67"/>
  <c r="F7" i="67"/>
  <c r="F13" i="67"/>
  <c r="F19" i="67"/>
  <c r="L57" i="67"/>
  <c r="L61" i="67"/>
  <c r="L65" i="67"/>
  <c r="L69" i="67"/>
  <c r="L73" i="67"/>
  <c r="F8" i="67"/>
  <c r="F14" i="67"/>
  <c r="F20" i="67"/>
  <c r="F9" i="67"/>
  <c r="F15" i="67"/>
  <c r="F21" i="67"/>
  <c r="L58" i="67"/>
  <c r="L62" i="67"/>
  <c r="L66" i="67"/>
  <c r="L70" i="67"/>
  <c r="F32" i="67"/>
  <c r="F38" i="67"/>
  <c r="F10" i="67"/>
  <c r="F16" i="67"/>
  <c r="H48" i="149"/>
  <c r="I29" i="149"/>
  <c r="I47" i="143"/>
  <c r="K73" i="67"/>
  <c r="H74" i="108"/>
  <c r="H42" i="31"/>
  <c r="H52" i="39"/>
  <c r="I24" i="29"/>
  <c r="H42" i="38"/>
  <c r="H55" i="37"/>
  <c r="I46" i="37"/>
  <c r="H40" i="27"/>
  <c r="H43" i="175"/>
  <c r="H44" i="140"/>
  <c r="H37" i="24"/>
  <c r="H40" i="155"/>
  <c r="I37" i="155"/>
  <c r="I38" i="155"/>
  <c r="H40" i="173"/>
  <c r="I36" i="171"/>
  <c r="H40" i="171"/>
  <c r="H40" i="178"/>
  <c r="H40" i="146"/>
  <c r="I37" i="146"/>
  <c r="H40" i="157"/>
  <c r="I39" i="179"/>
  <c r="H44" i="33"/>
  <c r="I41" i="33"/>
  <c r="H43" i="18"/>
  <c r="H44" i="160"/>
  <c r="H41" i="55"/>
  <c r="F72" i="152"/>
  <c r="E10" i="45"/>
  <c r="E9" i="45"/>
  <c r="E11" i="45"/>
  <c r="E12" i="45"/>
  <c r="E13" i="45"/>
  <c r="E14" i="45"/>
  <c r="F37" i="177"/>
  <c r="I37" i="177" s="1"/>
  <c r="J5" i="177"/>
  <c r="J8" i="177"/>
  <c r="F38" i="177"/>
  <c r="F34" i="177"/>
  <c r="I34" i="177" s="1"/>
  <c r="F33" i="177"/>
  <c r="J11" i="177"/>
  <c r="F36" i="177"/>
  <c r="I36" i="177" s="1"/>
  <c r="G9" i="177"/>
  <c r="F35" i="177"/>
  <c r="I35" i="177" s="1"/>
  <c r="J13" i="177"/>
  <c r="J16" i="177"/>
  <c r="K23" i="163"/>
  <c r="K19" i="163"/>
  <c r="K6" i="163"/>
  <c r="K26" i="163"/>
  <c r="K13" i="163"/>
  <c r="K9" i="163"/>
  <c r="K17" i="163"/>
  <c r="K21" i="163"/>
  <c r="K25" i="163"/>
  <c r="K16" i="163"/>
  <c r="K12" i="163"/>
  <c r="K8" i="163"/>
  <c r="K20" i="163"/>
  <c r="K24" i="163"/>
  <c r="K15" i="163"/>
  <c r="K11" i="163"/>
  <c r="K7" i="163"/>
  <c r="K28" i="163"/>
  <c r="K14" i="163"/>
  <c r="K10" i="163"/>
  <c r="K27" i="163"/>
  <c r="K18" i="163"/>
  <c r="K5" i="163"/>
  <c r="K22" i="163"/>
  <c r="H46" i="161"/>
  <c r="I27" i="161"/>
  <c r="I46" i="149"/>
  <c r="I47" i="149"/>
  <c r="H49" i="143"/>
  <c r="I46" i="143"/>
  <c r="K59" i="67"/>
  <c r="K63" i="67"/>
  <c r="K67" i="67"/>
  <c r="K71" i="67"/>
  <c r="H51" i="168"/>
  <c r="H36" i="165"/>
  <c r="H42" i="49"/>
  <c r="I24" i="38"/>
  <c r="I25" i="37"/>
  <c r="I25" i="26"/>
  <c r="I23" i="27"/>
  <c r="I24" i="175"/>
  <c r="I24" i="25"/>
  <c r="I24" i="140"/>
  <c r="I24" i="36"/>
  <c r="H33" i="137"/>
  <c r="I13" i="137"/>
  <c r="I13" i="136"/>
  <c r="I23" i="23"/>
  <c r="H42" i="23"/>
  <c r="I20" i="35"/>
  <c r="I41" i="174"/>
  <c r="I24" i="174"/>
  <c r="I38" i="173"/>
  <c r="I39" i="173"/>
  <c r="I37" i="180"/>
  <c r="I39" i="178"/>
  <c r="I20" i="146"/>
  <c r="I20" i="157"/>
  <c r="H38" i="181"/>
  <c r="I18" i="162"/>
  <c r="I19" i="145"/>
  <c r="H38" i="183"/>
  <c r="I19" i="183"/>
  <c r="I24" i="17"/>
  <c r="H43" i="179"/>
  <c r="I40" i="179"/>
  <c r="I24" i="179"/>
  <c r="I24" i="33"/>
  <c r="I24" i="18"/>
  <c r="I24" i="160"/>
  <c r="H43" i="131"/>
  <c r="I24" i="131"/>
  <c r="I20" i="55"/>
  <c r="I20" i="16"/>
  <c r="I20" i="63"/>
  <c r="H37" i="14"/>
  <c r="K15" i="22"/>
  <c r="K6" i="22"/>
  <c r="K19" i="22"/>
  <c r="K10" i="22"/>
  <c r="K5" i="22"/>
  <c r="K23" i="22"/>
  <c r="K14" i="22"/>
  <c r="K18" i="22"/>
  <c r="K9" i="22"/>
  <c r="K22" i="22"/>
  <c r="K17" i="22"/>
  <c r="K13" i="22"/>
  <c r="K11" i="22"/>
  <c r="K8" i="22"/>
  <c r="K21" i="22"/>
  <c r="K16" i="22"/>
  <c r="K12" i="22"/>
  <c r="K7" i="22"/>
  <c r="K20" i="22"/>
  <c r="H46" i="22"/>
  <c r="I25" i="22"/>
  <c r="K20" i="21"/>
  <c r="K7" i="21"/>
  <c r="K15" i="21"/>
  <c r="K11" i="21"/>
  <c r="K6" i="21"/>
  <c r="K19" i="21"/>
  <c r="K10" i="21"/>
  <c r="K23" i="21"/>
  <c r="K14" i="21"/>
  <c r="K5" i="21"/>
  <c r="K18" i="21"/>
  <c r="K9" i="21"/>
  <c r="K22" i="21"/>
  <c r="K13" i="21"/>
  <c r="K17" i="21"/>
  <c r="K8" i="21"/>
  <c r="K21" i="21"/>
  <c r="K12" i="21"/>
  <c r="K16" i="21"/>
  <c r="H52" i="51"/>
  <c r="L31" i="51"/>
  <c r="K5" i="52"/>
  <c r="K12" i="168"/>
  <c r="K25" i="168"/>
  <c r="K9" i="168"/>
  <c r="K17" i="168"/>
  <c r="K21" i="168"/>
  <c r="K5" i="168"/>
  <c r="K13" i="168"/>
  <c r="K26" i="168"/>
  <c r="K10" i="168"/>
  <c r="K14" i="168"/>
  <c r="K18" i="168"/>
  <c r="K5" i="138"/>
  <c r="K29" i="143"/>
  <c r="K11" i="143"/>
  <c r="K16" i="143"/>
  <c r="K22" i="143"/>
  <c r="K26" i="143"/>
  <c r="K5" i="143"/>
  <c r="K17" i="143"/>
  <c r="K13" i="143"/>
  <c r="K23" i="143"/>
  <c r="K19" i="143"/>
  <c r="I21" i="155"/>
  <c r="I21" i="180"/>
  <c r="I21" i="173"/>
  <c r="K7" i="161"/>
  <c r="K13" i="161"/>
  <c r="K8" i="161"/>
  <c r="K14" i="161"/>
  <c r="K19" i="161"/>
  <c r="K23" i="161"/>
  <c r="K10" i="161"/>
  <c r="K15" i="161"/>
  <c r="K24" i="161"/>
  <c r="K5" i="161"/>
  <c r="K16" i="161"/>
  <c r="K20" i="161"/>
  <c r="K12" i="161"/>
  <c r="K6" i="161"/>
  <c r="K25" i="161"/>
  <c r="K17" i="161"/>
  <c r="K21" i="161"/>
  <c r="K26" i="161"/>
  <c r="K18" i="161"/>
  <c r="K22" i="161"/>
  <c r="I21" i="44"/>
  <c r="I23" i="40"/>
  <c r="I24" i="42"/>
  <c r="I30" i="168"/>
  <c r="I31" i="138"/>
  <c r="I31" i="52"/>
  <c r="I19" i="165"/>
  <c r="I30" i="163"/>
  <c r="I23" i="28"/>
  <c r="I23" i="49"/>
  <c r="I23" i="31"/>
  <c r="I30" i="39"/>
  <c r="I23" i="172"/>
  <c r="I39" i="156"/>
  <c r="H40" i="156"/>
  <c r="I37" i="156"/>
  <c r="I20" i="181"/>
  <c r="F43" i="153"/>
  <c r="F49" i="153"/>
  <c r="F47" i="153"/>
  <c r="F45" i="161"/>
  <c r="I45" i="161" s="1"/>
  <c r="F40" i="153"/>
  <c r="F46" i="153"/>
  <c r="I40" i="31"/>
  <c r="F41" i="153"/>
  <c r="F44" i="153"/>
  <c r="F50" i="153"/>
  <c r="F43" i="161"/>
  <c r="F45" i="153"/>
  <c r="F48" i="153"/>
  <c r="F51" i="153"/>
  <c r="F44" i="161"/>
  <c r="I44" i="161" s="1"/>
  <c r="F39" i="153"/>
  <c r="F42" i="153"/>
  <c r="I38" i="31"/>
  <c r="F53" i="152"/>
  <c r="F72" i="153"/>
  <c r="K16" i="34"/>
  <c r="K8" i="34"/>
  <c r="K12" i="34"/>
  <c r="K9" i="34"/>
  <c r="K6" i="34"/>
  <c r="K15" i="34"/>
  <c r="K11" i="34"/>
  <c r="K14" i="34"/>
  <c r="K5" i="34"/>
  <c r="K17" i="34"/>
  <c r="K13" i="34"/>
  <c r="K10" i="34"/>
  <c r="K7" i="34"/>
  <c r="M5" i="34"/>
  <c r="I20" i="14"/>
  <c r="K19" i="156"/>
  <c r="K14" i="156"/>
  <c r="K10" i="156"/>
  <c r="K5" i="156"/>
  <c r="K18" i="156"/>
  <c r="K13" i="156"/>
  <c r="K17" i="156"/>
  <c r="K8" i="156"/>
  <c r="K16" i="156"/>
  <c r="K7" i="156"/>
  <c r="K11" i="156"/>
  <c r="K6" i="156"/>
  <c r="K20" i="156"/>
  <c r="K15" i="156"/>
  <c r="K9" i="156"/>
  <c r="K12" i="156"/>
  <c r="M11" i="149"/>
  <c r="J17" i="149"/>
  <c r="J23" i="149"/>
  <c r="M14" i="149"/>
  <c r="M20" i="149"/>
  <c r="J26" i="149"/>
  <c r="M18" i="149"/>
  <c r="J24" i="149"/>
  <c r="J27" i="149"/>
  <c r="J16" i="149"/>
  <c r="M22" i="149"/>
  <c r="M25" i="149"/>
  <c r="M6" i="149"/>
  <c r="I25" i="184"/>
  <c r="K14" i="184"/>
  <c r="K9" i="184"/>
  <c r="K6" i="184"/>
  <c r="K12" i="184"/>
  <c r="K17" i="184"/>
  <c r="K8" i="184"/>
  <c r="K13" i="184"/>
  <c r="K18" i="184"/>
  <c r="K19" i="184"/>
  <c r="K5" i="184"/>
  <c r="K10" i="184"/>
  <c r="K15" i="184"/>
  <c r="K20" i="184"/>
  <c r="K11" i="184"/>
  <c r="K16" i="184"/>
  <c r="K21" i="184"/>
  <c r="K7" i="184"/>
  <c r="K22" i="184"/>
  <c r="K75" i="67"/>
  <c r="K60" i="67"/>
  <c r="K64" i="67"/>
  <c r="K68" i="67"/>
  <c r="K72" i="67"/>
  <c r="F40" i="175"/>
  <c r="F41" i="175"/>
  <c r="I42" i="175"/>
  <c r="F35" i="162"/>
  <c r="F22" i="62"/>
  <c r="F23" i="62" s="1"/>
  <c r="J20" i="49"/>
  <c r="F37" i="34"/>
  <c r="J8" i="142"/>
  <c r="G8" i="142"/>
  <c r="H38" i="34"/>
  <c r="J8" i="149"/>
  <c r="J7" i="49"/>
  <c r="M8" i="149"/>
  <c r="G11" i="49"/>
  <c r="G8" i="49"/>
  <c r="J17" i="161"/>
  <c r="J10" i="49"/>
  <c r="G17" i="31"/>
  <c r="J17" i="31"/>
  <c r="J16" i="31"/>
  <c r="G16" i="31"/>
  <c r="G15" i="31"/>
  <c r="J15" i="31"/>
  <c r="J14" i="31"/>
  <c r="G14" i="31"/>
  <c r="M5" i="137"/>
  <c r="J12" i="28"/>
  <c r="I41" i="49"/>
  <c r="J9" i="168"/>
  <c r="G10" i="31"/>
  <c r="G10" i="161"/>
  <c r="G21" i="39"/>
  <c r="G18" i="49"/>
  <c r="J9" i="42"/>
  <c r="J20" i="143"/>
  <c r="J8" i="39"/>
  <c r="J13" i="23"/>
  <c r="J11" i="38"/>
  <c r="G7" i="31"/>
  <c r="G5" i="49"/>
  <c r="J5" i="143"/>
  <c r="G23" i="174"/>
  <c r="G8" i="26"/>
  <c r="J5" i="25"/>
  <c r="J15" i="175"/>
  <c r="G9" i="157"/>
  <c r="M19" i="172"/>
  <c r="M10" i="136"/>
  <c r="J9" i="31"/>
  <c r="J9" i="49"/>
  <c r="J8" i="136"/>
  <c r="M9" i="140"/>
  <c r="J15" i="143"/>
  <c r="J15" i="63"/>
  <c r="J6" i="31"/>
  <c r="G18" i="31"/>
  <c r="J7" i="180"/>
  <c r="J12" i="180"/>
  <c r="M11" i="137"/>
  <c r="J9" i="29"/>
  <c r="F34" i="165"/>
  <c r="J18" i="175"/>
  <c r="M23" i="37"/>
  <c r="J19" i="31"/>
  <c r="M5" i="51"/>
  <c r="J13" i="138"/>
  <c r="M11" i="27"/>
  <c r="M16" i="37"/>
  <c r="J14" i="21"/>
  <c r="M18" i="175"/>
  <c r="J14" i="28"/>
  <c r="M18" i="51"/>
  <c r="F51" i="52"/>
  <c r="J20" i="40"/>
  <c r="J21" i="36"/>
  <c r="J25" i="52"/>
  <c r="M11" i="136"/>
  <c r="G18" i="161"/>
  <c r="J9" i="179"/>
  <c r="M9" i="179"/>
  <c r="J18" i="179"/>
  <c r="M18" i="179"/>
  <c r="J15" i="172"/>
  <c r="M15" i="172"/>
  <c r="G15" i="172"/>
  <c r="G27" i="39"/>
  <c r="J27" i="39"/>
  <c r="J5" i="31"/>
  <c r="G5" i="31"/>
  <c r="G13" i="22"/>
  <c r="G19" i="22"/>
  <c r="M16" i="140"/>
  <c r="J16" i="140"/>
  <c r="J13" i="27"/>
  <c r="M13" i="27"/>
  <c r="J22" i="31"/>
  <c r="G22" i="31"/>
  <c r="J16" i="49"/>
  <c r="G16" i="49"/>
  <c r="G13" i="168"/>
  <c r="J13" i="168"/>
  <c r="G16" i="146"/>
  <c r="G15" i="49"/>
  <c r="J24" i="108"/>
  <c r="J8" i="31"/>
  <c r="G8" i="31"/>
  <c r="F37" i="16"/>
  <c r="I37" i="16"/>
  <c r="G22" i="26"/>
  <c r="J22" i="26"/>
  <c r="J7" i="163"/>
  <c r="G11" i="168"/>
  <c r="J11" i="168"/>
  <c r="J9" i="108"/>
  <c r="J7" i="161"/>
  <c r="J7" i="40"/>
  <c r="J18" i="40"/>
  <c r="G10" i="137"/>
  <c r="J10" i="137"/>
  <c r="I48" i="138"/>
  <c r="J11" i="40"/>
  <c r="J12" i="15"/>
  <c r="G15" i="183"/>
  <c r="J15" i="183"/>
  <c r="G29" i="39"/>
  <c r="J16" i="138"/>
  <c r="G12" i="183"/>
  <c r="I41" i="25"/>
  <c r="M9" i="175"/>
  <c r="J9" i="175"/>
  <c r="G9" i="175"/>
  <c r="M22" i="37"/>
  <c r="G22" i="37"/>
  <c r="J22" i="37"/>
  <c r="F41" i="31"/>
  <c r="I41" i="31"/>
  <c r="F41" i="42"/>
  <c r="I41" i="42"/>
  <c r="G28" i="143"/>
  <c r="J28" i="143"/>
  <c r="G14" i="34"/>
  <c r="J9" i="183"/>
  <c r="G8" i="21"/>
  <c r="F37" i="120"/>
  <c r="G10" i="25"/>
  <c r="M6" i="37"/>
  <c r="J17" i="49"/>
  <c r="J8" i="52"/>
  <c r="G13" i="143"/>
  <c r="J17" i="44"/>
  <c r="J11" i="31"/>
  <c r="G11" i="31"/>
  <c r="J6" i="21"/>
  <c r="G6" i="21"/>
  <c r="J19" i="157"/>
  <c r="G17" i="25"/>
  <c r="J17" i="172"/>
  <c r="J27" i="168"/>
  <c r="G11" i="42"/>
  <c r="G17" i="143"/>
  <c r="J17" i="143"/>
  <c r="J7" i="37"/>
  <c r="J7" i="26"/>
  <c r="G23" i="39"/>
  <c r="G12" i="49"/>
  <c r="G19" i="49"/>
  <c r="F39" i="49"/>
  <c r="J6" i="165"/>
  <c r="G11" i="165"/>
  <c r="J9" i="138"/>
  <c r="F49" i="138"/>
  <c r="J5" i="44"/>
  <c r="J14" i="44"/>
  <c r="M7" i="51"/>
  <c r="J8" i="171"/>
  <c r="F29" i="137"/>
  <c r="M19" i="51"/>
  <c r="M25" i="51"/>
  <c r="G5" i="16"/>
  <c r="G12" i="146"/>
  <c r="J9" i="136"/>
  <c r="G8" i="25"/>
  <c r="J12" i="175"/>
  <c r="G15" i="175"/>
  <c r="J13" i="172"/>
  <c r="G14" i="131"/>
  <c r="G19" i="33"/>
  <c r="G6" i="137"/>
  <c r="I39" i="172"/>
  <c r="I53" i="37"/>
  <c r="F46" i="39"/>
  <c r="J10" i="28"/>
  <c r="J11" i="165"/>
  <c r="F49" i="51"/>
  <c r="J18" i="168"/>
  <c r="G22" i="168"/>
  <c r="J25" i="168"/>
  <c r="J9" i="40"/>
  <c r="J16" i="40"/>
  <c r="I70" i="108"/>
  <c r="M18" i="172"/>
  <c r="F35" i="16"/>
  <c r="G14" i="183"/>
  <c r="G16" i="182"/>
  <c r="M18" i="36"/>
  <c r="G20" i="25"/>
  <c r="M7" i="175"/>
  <c r="M12" i="165"/>
  <c r="G6" i="131"/>
  <c r="G7" i="179"/>
  <c r="G10" i="179"/>
  <c r="G16" i="179"/>
  <c r="G19" i="179"/>
  <c r="F40" i="17"/>
  <c r="G19" i="157"/>
  <c r="G6" i="146"/>
  <c r="J8" i="24"/>
  <c r="J11" i="136"/>
  <c r="M10" i="137"/>
  <c r="F32" i="137"/>
  <c r="M12" i="36"/>
  <c r="M12" i="175"/>
  <c r="J7" i="27"/>
  <c r="F38" i="27"/>
  <c r="M9" i="172"/>
  <c r="G19" i="172"/>
  <c r="M10" i="37"/>
  <c r="J24" i="37"/>
  <c r="J6" i="26"/>
  <c r="G43" i="26"/>
  <c r="J6" i="38"/>
  <c r="J8" i="38"/>
  <c r="J14" i="29"/>
  <c r="J25" i="39"/>
  <c r="G22" i="49"/>
  <c r="J10" i="163"/>
  <c r="J22" i="163"/>
  <c r="J24" i="138"/>
  <c r="J5" i="42"/>
  <c r="J19" i="42"/>
  <c r="J19" i="40"/>
  <c r="J21" i="40"/>
  <c r="J21" i="108"/>
  <c r="J25" i="108"/>
  <c r="J24" i="143"/>
  <c r="J8" i="161"/>
  <c r="M17" i="165"/>
  <c r="M45" i="45"/>
  <c r="M37" i="45"/>
  <c r="J8" i="55"/>
  <c r="J14" i="16"/>
  <c r="G7" i="55"/>
  <c r="J6" i="160"/>
  <c r="G11" i="33"/>
  <c r="J22" i="22"/>
  <c r="J17" i="21"/>
  <c r="M12" i="136"/>
  <c r="J11" i="36"/>
  <c r="J19" i="140"/>
  <c r="M20" i="140"/>
  <c r="J8" i="175"/>
  <c r="M20" i="175"/>
  <c r="M17" i="172"/>
  <c r="J9" i="37"/>
  <c r="I52" i="37"/>
  <c r="J13" i="26"/>
  <c r="J18" i="38"/>
  <c r="G12" i="31"/>
  <c r="J20" i="31"/>
  <c r="J15" i="163"/>
  <c r="J20" i="163"/>
  <c r="M13" i="51"/>
  <c r="J18" i="51"/>
  <c r="G25" i="51"/>
  <c r="I51" i="138"/>
  <c r="J6" i="168"/>
  <c r="F46" i="168"/>
  <c r="J17" i="42"/>
  <c r="J12" i="161"/>
  <c r="M16" i="165"/>
  <c r="M8" i="165"/>
  <c r="M44" i="45"/>
  <c r="M36" i="45"/>
  <c r="J17" i="63"/>
  <c r="I35" i="183"/>
  <c r="G12" i="156"/>
  <c r="G14" i="156"/>
  <c r="G7" i="180"/>
  <c r="G15" i="23"/>
  <c r="M9" i="36"/>
  <c r="G7" i="175"/>
  <c r="J44" i="37"/>
  <c r="G14" i="49"/>
  <c r="J5" i="52"/>
  <c r="J14" i="52"/>
  <c r="J16" i="44"/>
  <c r="J11" i="143"/>
  <c r="M15" i="165"/>
  <c r="M6" i="165"/>
  <c r="M43" i="45"/>
  <c r="M35" i="45"/>
  <c r="G5" i="14"/>
  <c r="J11" i="14"/>
  <c r="M9" i="173"/>
  <c r="M22" i="27"/>
  <c r="M14" i="165"/>
  <c r="M42" i="45"/>
  <c r="M34" i="45"/>
  <c r="J16" i="55"/>
  <c r="M10" i="179"/>
  <c r="M19" i="179"/>
  <c r="G12" i="21"/>
  <c r="G9" i="25"/>
  <c r="G20" i="175"/>
  <c r="G6" i="37"/>
  <c r="G10" i="37"/>
  <c r="G5" i="29"/>
  <c r="G6" i="49"/>
  <c r="G13" i="161"/>
  <c r="G15" i="161"/>
  <c r="M30" i="45"/>
  <c r="M41" i="45"/>
  <c r="M33" i="45"/>
  <c r="M32" i="45"/>
  <c r="G22" i="131"/>
  <c r="J11" i="18"/>
  <c r="J6" i="162"/>
  <c r="J9" i="162"/>
  <c r="G9" i="22"/>
  <c r="F35" i="165"/>
  <c r="M9" i="51"/>
  <c r="G25" i="161"/>
  <c r="M47" i="45"/>
  <c r="M39" i="45"/>
  <c r="M31" i="45"/>
  <c r="J14" i="175"/>
  <c r="J15" i="37"/>
  <c r="J10" i="38"/>
  <c r="J6" i="39"/>
  <c r="J12" i="163"/>
  <c r="J10" i="165"/>
  <c r="J17" i="165"/>
  <c r="J26" i="138"/>
  <c r="J23" i="108"/>
  <c r="J26" i="143"/>
  <c r="J27" i="143"/>
  <c r="M18" i="165"/>
  <c r="M10" i="165"/>
  <c r="M46" i="45"/>
  <c r="M38" i="45"/>
  <c r="K47" i="45"/>
  <c r="K45" i="45"/>
  <c r="K43" i="45"/>
  <c r="K41" i="45"/>
  <c r="K36" i="45"/>
  <c r="K34" i="45"/>
  <c r="K39" i="45"/>
  <c r="K37" i="45"/>
  <c r="K35" i="45"/>
  <c r="K33" i="45"/>
  <c r="K31" i="45"/>
  <c r="K38" i="45"/>
  <c r="K32" i="45"/>
  <c r="K30" i="45"/>
  <c r="K46" i="45"/>
  <c r="K44" i="45"/>
  <c r="K42" i="45"/>
  <c r="K40" i="45"/>
  <c r="K14" i="51"/>
  <c r="K25" i="51"/>
  <c r="K19" i="51"/>
  <c r="K17" i="51"/>
  <c r="K6" i="51"/>
  <c r="K8" i="51"/>
  <c r="K27" i="51"/>
  <c r="K23" i="51"/>
  <c r="K21" i="51"/>
  <c r="K10" i="51"/>
  <c r="K29" i="51"/>
  <c r="K16" i="51"/>
  <c r="K13" i="51"/>
  <c r="K26" i="51"/>
  <c r="K20" i="51"/>
  <c r="K18" i="51"/>
  <c r="K5" i="51"/>
  <c r="K24" i="51"/>
  <c r="K22" i="51"/>
  <c r="K7" i="51"/>
  <c r="K11" i="51"/>
  <c r="K28" i="51"/>
  <c r="K12" i="51"/>
  <c r="K9" i="51"/>
  <c r="G22" i="51"/>
  <c r="G24" i="51"/>
  <c r="M16" i="51"/>
  <c r="J16" i="51"/>
  <c r="F50" i="51"/>
  <c r="M22" i="51"/>
  <c r="G10" i="145"/>
  <c r="G10" i="178"/>
  <c r="J10" i="24"/>
  <c r="J12" i="24"/>
  <c r="G18" i="23"/>
  <c r="G11" i="137"/>
  <c r="M22" i="36"/>
  <c r="G18" i="25"/>
  <c r="J22" i="25"/>
  <c r="F43" i="25"/>
  <c r="I39" i="175"/>
  <c r="F39" i="175"/>
  <c r="J27" i="163"/>
  <c r="J12" i="145"/>
  <c r="J5" i="162"/>
  <c r="J11" i="162"/>
  <c r="G5" i="182"/>
  <c r="G13" i="171"/>
  <c r="F40" i="173"/>
  <c r="G22" i="184"/>
  <c r="G20" i="21"/>
  <c r="G12" i="23"/>
  <c r="J7" i="136"/>
  <c r="J7" i="36"/>
  <c r="J10" i="36"/>
  <c r="J15" i="36"/>
  <c r="J7" i="25"/>
  <c r="G19" i="175"/>
  <c r="J19" i="175"/>
  <c r="J19" i="29"/>
  <c r="G10" i="131"/>
  <c r="G18" i="131"/>
  <c r="I40" i="160"/>
  <c r="J22" i="33"/>
  <c r="G6" i="183"/>
  <c r="G6" i="171"/>
  <c r="G14" i="174"/>
  <c r="J10" i="21"/>
  <c r="J20" i="23"/>
  <c r="J7" i="137"/>
  <c r="M8" i="137"/>
  <c r="M16" i="36"/>
  <c r="I42" i="36"/>
  <c r="J19" i="39"/>
  <c r="G19" i="39"/>
  <c r="G5" i="165"/>
  <c r="J5" i="165"/>
  <c r="J15" i="14"/>
  <c r="I36" i="63"/>
  <c r="J14" i="140"/>
  <c r="M14" i="140"/>
  <c r="G13" i="175"/>
  <c r="J13" i="175"/>
  <c r="M6" i="27"/>
  <c r="M7" i="172"/>
  <c r="G7" i="172"/>
  <c r="J17" i="29"/>
  <c r="G15" i="178"/>
  <c r="G17" i="178"/>
  <c r="G10" i="180"/>
  <c r="G10" i="171"/>
  <c r="G20" i="171"/>
  <c r="G15" i="21"/>
  <c r="G19" i="21"/>
  <c r="G11" i="23"/>
  <c r="M7" i="136"/>
  <c r="G9" i="137"/>
  <c r="F31" i="137"/>
  <c r="M10" i="36"/>
  <c r="M15" i="36"/>
  <c r="F39" i="36"/>
  <c r="I39" i="36"/>
  <c r="J7" i="140"/>
  <c r="M7" i="140"/>
  <c r="F43" i="140"/>
  <c r="M19" i="27"/>
  <c r="J19" i="27"/>
  <c r="F40" i="29"/>
  <c r="I40" i="29"/>
  <c r="G16" i="39"/>
  <c r="J16" i="39"/>
  <c r="J17" i="162"/>
  <c r="M6" i="171"/>
  <c r="J16" i="174"/>
  <c r="G6" i="184"/>
  <c r="G15" i="184"/>
  <c r="J10" i="22"/>
  <c r="J7" i="35"/>
  <c r="J19" i="24"/>
  <c r="M7" i="137"/>
  <c r="G8" i="137"/>
  <c r="J17" i="36"/>
  <c r="G15" i="25"/>
  <c r="J15" i="25"/>
  <c r="J19" i="25"/>
  <c r="G9" i="26"/>
  <c r="J9" i="26"/>
  <c r="I54" i="26"/>
  <c r="J15" i="29"/>
  <c r="G22" i="28"/>
  <c r="J22" i="28"/>
  <c r="M6" i="175"/>
  <c r="J6" i="175"/>
  <c r="G14" i="39"/>
  <c r="J14" i="39"/>
  <c r="J12" i="16"/>
  <c r="G14" i="55"/>
  <c r="G11" i="160"/>
  <c r="J15" i="160"/>
  <c r="G13" i="182"/>
  <c r="J19" i="119"/>
  <c r="F40" i="155"/>
  <c r="I40" i="155" s="1"/>
  <c r="J13" i="36"/>
  <c r="F40" i="36"/>
  <c r="J13" i="140"/>
  <c r="G6" i="175"/>
  <c r="F39" i="31"/>
  <c r="I39" i="31"/>
  <c r="G20" i="28"/>
  <c r="J20" i="28"/>
  <c r="M21" i="27"/>
  <c r="G21" i="172"/>
  <c r="G5" i="37"/>
  <c r="M9" i="37"/>
  <c r="G11" i="37"/>
  <c r="G16" i="26"/>
  <c r="F50" i="39"/>
  <c r="G18" i="28"/>
  <c r="G12" i="165"/>
  <c r="M11" i="51"/>
  <c r="G17" i="51"/>
  <c r="M24" i="51"/>
  <c r="G26" i="51"/>
  <c r="J28" i="51"/>
  <c r="I46" i="51"/>
  <c r="F46" i="52"/>
  <c r="F47" i="138"/>
  <c r="G8" i="168"/>
  <c r="J23" i="168"/>
  <c r="F47" i="168"/>
  <c r="G16" i="42"/>
  <c r="J22" i="42"/>
  <c r="J6" i="40"/>
  <c r="I38" i="40"/>
  <c r="J10" i="108"/>
  <c r="J7" i="149"/>
  <c r="G7" i="161"/>
  <c r="J14" i="161"/>
  <c r="G22" i="161"/>
  <c r="M10" i="140"/>
  <c r="M15" i="37"/>
  <c r="J23" i="37"/>
  <c r="M24" i="37"/>
  <c r="J18" i="26"/>
  <c r="G5" i="38"/>
  <c r="G24" i="38" s="1"/>
  <c r="J11" i="39"/>
  <c r="J5" i="28"/>
  <c r="J25" i="163"/>
  <c r="F45" i="163"/>
  <c r="I49" i="163"/>
  <c r="G16" i="165"/>
  <c r="J15" i="168"/>
  <c r="J17" i="168"/>
  <c r="I50" i="168"/>
  <c r="J12" i="42"/>
  <c r="J14" i="42"/>
  <c r="J8" i="40"/>
  <c r="I37" i="44"/>
  <c r="J6" i="143"/>
  <c r="G21" i="143"/>
  <c r="J23" i="143"/>
  <c r="J26" i="161"/>
  <c r="J21" i="172"/>
  <c r="J5" i="37"/>
  <c r="J11" i="37"/>
  <c r="M17" i="37"/>
  <c r="M19" i="37"/>
  <c r="M14" i="51"/>
  <c r="F40" i="28"/>
  <c r="G8" i="165"/>
  <c r="G5" i="51"/>
  <c r="G7" i="51"/>
  <c r="J13" i="51"/>
  <c r="M26" i="51"/>
  <c r="M28" i="51"/>
  <c r="F47" i="51"/>
  <c r="I39" i="25"/>
  <c r="G7" i="37"/>
  <c r="J16" i="37"/>
  <c r="J22" i="38"/>
  <c r="I39" i="38"/>
  <c r="J22" i="29"/>
  <c r="J15" i="39"/>
  <c r="J18" i="39"/>
  <c r="I46" i="163"/>
  <c r="I25" i="142"/>
  <c r="G9" i="51"/>
  <c r="G11" i="51"/>
  <c r="J19" i="161"/>
  <c r="J18" i="37"/>
  <c r="G43" i="37"/>
  <c r="J15" i="26"/>
  <c r="J17" i="26"/>
  <c r="J20" i="38"/>
  <c r="J20" i="29"/>
  <c r="J10" i="39"/>
  <c r="J17" i="28"/>
  <c r="J20" i="51"/>
  <c r="F48" i="52"/>
  <c r="J19" i="138"/>
  <c r="J17" i="108"/>
  <c r="I73" i="108"/>
  <c r="J19" i="44"/>
  <c r="G29" i="143"/>
  <c r="J21" i="161"/>
  <c r="F38" i="44"/>
  <c r="G20" i="161"/>
  <c r="I41" i="160"/>
  <c r="F41" i="160"/>
  <c r="J5" i="18"/>
  <c r="G5" i="18"/>
  <c r="G14" i="33"/>
  <c r="J14" i="33"/>
  <c r="G6" i="55"/>
  <c r="J6" i="55"/>
  <c r="G14" i="160"/>
  <c r="J14" i="160"/>
  <c r="G16" i="160"/>
  <c r="J16" i="160"/>
  <c r="F39" i="18"/>
  <c r="I39" i="18"/>
  <c r="G19" i="17"/>
  <c r="J19" i="17"/>
  <c r="M15" i="34"/>
  <c r="G15" i="34"/>
  <c r="J6" i="145"/>
  <c r="G6" i="145"/>
  <c r="G17" i="145"/>
  <c r="J17" i="145"/>
  <c r="J21" i="160"/>
  <c r="G21" i="160"/>
  <c r="J22" i="18"/>
  <c r="G6" i="17"/>
  <c r="J6" i="17"/>
  <c r="M17" i="34"/>
  <c r="G17" i="34"/>
  <c r="J13" i="55"/>
  <c r="G13" i="55"/>
  <c r="G18" i="55"/>
  <c r="J18" i="55"/>
  <c r="I36" i="55"/>
  <c r="F36" i="55"/>
  <c r="M7" i="131"/>
  <c r="G7" i="131"/>
  <c r="M15" i="131"/>
  <c r="G15" i="131"/>
  <c r="M23" i="131"/>
  <c r="G23" i="131"/>
  <c r="F40" i="131"/>
  <c r="I40" i="131"/>
  <c r="J10" i="160"/>
  <c r="G10" i="160"/>
  <c r="J6" i="33"/>
  <c r="G6" i="33"/>
  <c r="J13" i="179"/>
  <c r="M13" i="179"/>
  <c r="G13" i="179"/>
  <c r="J21" i="179"/>
  <c r="M21" i="179"/>
  <c r="G21" i="179"/>
  <c r="J12" i="17"/>
  <c r="G12" i="17"/>
  <c r="M10" i="162"/>
  <c r="G10" i="162"/>
  <c r="J10" i="162"/>
  <c r="J13" i="157"/>
  <c r="G13" i="157"/>
  <c r="J16" i="157"/>
  <c r="G16" i="157"/>
  <c r="J19" i="160"/>
  <c r="G19" i="160"/>
  <c r="J20" i="18"/>
  <c r="J17" i="17"/>
  <c r="G17" i="17"/>
  <c r="G9" i="145"/>
  <c r="J9" i="145"/>
  <c r="G13" i="145"/>
  <c r="J13" i="145"/>
  <c r="I41" i="131"/>
  <c r="F41" i="131"/>
  <c r="J13" i="18"/>
  <c r="J18" i="18"/>
  <c r="J9" i="33"/>
  <c r="G9" i="33"/>
  <c r="J23" i="33"/>
  <c r="G23" i="33"/>
  <c r="J20" i="17"/>
  <c r="G20" i="17"/>
  <c r="M12" i="162"/>
  <c r="J12" i="162"/>
  <c r="G12" i="162"/>
  <c r="G5" i="157"/>
  <c r="J5" i="157"/>
  <c r="J11" i="145"/>
  <c r="G11" i="145"/>
  <c r="G8" i="18"/>
  <c r="J8" i="18"/>
  <c r="J8" i="179"/>
  <c r="G8" i="179"/>
  <c r="M8" i="179"/>
  <c r="J17" i="179"/>
  <c r="G17" i="179"/>
  <c r="M17" i="179"/>
  <c r="G13" i="17"/>
  <c r="J13" i="17"/>
  <c r="M16" i="34"/>
  <c r="G16" i="34"/>
  <c r="J7" i="183"/>
  <c r="G7" i="183"/>
  <c r="M14" i="162"/>
  <c r="J14" i="162"/>
  <c r="G14" i="162"/>
  <c r="I33" i="162"/>
  <c r="F33" i="162"/>
  <c r="J12" i="157"/>
  <c r="G12" i="157"/>
  <c r="M19" i="131"/>
  <c r="G19" i="131"/>
  <c r="G6" i="18"/>
  <c r="J6" i="18"/>
  <c r="J15" i="33"/>
  <c r="G15" i="33"/>
  <c r="J14" i="179"/>
  <c r="M14" i="179"/>
  <c r="G14" i="179"/>
  <c r="J20" i="179"/>
  <c r="M20" i="179"/>
  <c r="G20" i="179"/>
  <c r="I36" i="183"/>
  <c r="F36" i="183"/>
  <c r="J16" i="145"/>
  <c r="G16" i="145"/>
  <c r="M16" i="162"/>
  <c r="J16" i="162"/>
  <c r="G16" i="162"/>
  <c r="M11" i="131"/>
  <c r="G11" i="131"/>
  <c r="J13" i="160"/>
  <c r="G13" i="160"/>
  <c r="J12" i="179"/>
  <c r="M12" i="179"/>
  <c r="G12" i="179"/>
  <c r="J22" i="179"/>
  <c r="M22" i="179"/>
  <c r="G22" i="179"/>
  <c r="J9" i="55"/>
  <c r="G9" i="55"/>
  <c r="J17" i="55"/>
  <c r="G17" i="55"/>
  <c r="F40" i="55"/>
  <c r="I40" i="55"/>
  <c r="J5" i="160"/>
  <c r="G5" i="160"/>
  <c r="J14" i="18"/>
  <c r="I41" i="18"/>
  <c r="F41" i="18"/>
  <c r="G5" i="33"/>
  <c r="J5" i="33"/>
  <c r="J11" i="17"/>
  <c r="G11" i="17"/>
  <c r="J23" i="17"/>
  <c r="G23" i="17"/>
  <c r="G14" i="157"/>
  <c r="J14" i="157"/>
  <c r="F36" i="157"/>
  <c r="I36" i="157"/>
  <c r="M6" i="119"/>
  <c r="J6" i="119"/>
  <c r="G6" i="119"/>
  <c r="G20" i="160"/>
  <c r="J20" i="160"/>
  <c r="J16" i="18"/>
  <c r="J5" i="179"/>
  <c r="M5" i="179"/>
  <c r="G5" i="179"/>
  <c r="F39" i="131"/>
  <c r="I39" i="131"/>
  <c r="J7" i="160"/>
  <c r="G7" i="160"/>
  <c r="J18" i="160"/>
  <c r="G18" i="160"/>
  <c r="J23" i="160"/>
  <c r="G23" i="160"/>
  <c r="J9" i="18"/>
  <c r="G9" i="18"/>
  <c r="J18" i="33"/>
  <c r="G18" i="33"/>
  <c r="J8" i="17"/>
  <c r="G8" i="17"/>
  <c r="J16" i="17"/>
  <c r="G16" i="17"/>
  <c r="G8" i="183"/>
  <c r="J8" i="183"/>
  <c r="J10" i="183"/>
  <c r="G10" i="183"/>
  <c r="F36" i="145"/>
  <c r="I36" i="145"/>
  <c r="F34" i="162"/>
  <c r="I34" i="162"/>
  <c r="J14" i="146"/>
  <c r="G14" i="146"/>
  <c r="J14" i="23"/>
  <c r="G14" i="23"/>
  <c r="G7" i="18"/>
  <c r="I42" i="18"/>
  <c r="G6" i="179"/>
  <c r="G15" i="179"/>
  <c r="G23" i="179"/>
  <c r="G15" i="17"/>
  <c r="G21" i="17"/>
  <c r="G11" i="183"/>
  <c r="G14" i="145"/>
  <c r="F34" i="145"/>
  <c r="G15" i="162"/>
  <c r="G7" i="157"/>
  <c r="J8" i="157"/>
  <c r="G8" i="157"/>
  <c r="G19" i="182"/>
  <c r="M11" i="156"/>
  <c r="G11" i="156"/>
  <c r="J5" i="173"/>
  <c r="G5" i="173"/>
  <c r="M12" i="174"/>
  <c r="G12" i="174"/>
  <c r="G13" i="184"/>
  <c r="J5" i="22"/>
  <c r="G5" i="22"/>
  <c r="J18" i="22"/>
  <c r="G18" i="22"/>
  <c r="M6" i="136"/>
  <c r="J6" i="136"/>
  <c r="M8" i="180"/>
  <c r="J8" i="180"/>
  <c r="G8" i="180"/>
  <c r="M20" i="174"/>
  <c r="J20" i="174"/>
  <c r="G20" i="174"/>
  <c r="F37" i="55"/>
  <c r="G8" i="131"/>
  <c r="G20" i="131"/>
  <c r="F37" i="63"/>
  <c r="F38" i="63" s="1"/>
  <c r="G19" i="16"/>
  <c r="J10" i="55"/>
  <c r="J19" i="18"/>
  <c r="J7" i="33"/>
  <c r="J16" i="33"/>
  <c r="J17" i="183"/>
  <c r="J8" i="162"/>
  <c r="J7" i="181"/>
  <c r="G17" i="157"/>
  <c r="M12" i="119"/>
  <c r="G12" i="119"/>
  <c r="J20" i="119"/>
  <c r="M20" i="119"/>
  <c r="G20" i="119"/>
  <c r="M16" i="156"/>
  <c r="M19" i="156"/>
  <c r="G19" i="156"/>
  <c r="M11" i="178"/>
  <c r="J11" i="178"/>
  <c r="G11" i="178"/>
  <c r="J13" i="178"/>
  <c r="M13" i="178"/>
  <c r="G13" i="178"/>
  <c r="J19" i="178"/>
  <c r="J13" i="180"/>
  <c r="G13" i="180"/>
  <c r="M13" i="180"/>
  <c r="J15" i="180"/>
  <c r="G15" i="180"/>
  <c r="M15" i="180"/>
  <c r="J17" i="180"/>
  <c r="G17" i="180"/>
  <c r="M17" i="180"/>
  <c r="J19" i="180"/>
  <c r="G19" i="180"/>
  <c r="M19" i="180"/>
  <c r="J12" i="173"/>
  <c r="M12" i="173"/>
  <c r="G12" i="173"/>
  <c r="J17" i="173"/>
  <c r="M17" i="173"/>
  <c r="M17" i="174"/>
  <c r="J17" i="174"/>
  <c r="G17" i="174"/>
  <c r="J5" i="184"/>
  <c r="G5" i="184"/>
  <c r="J7" i="184"/>
  <c r="G11" i="184"/>
  <c r="G17" i="184"/>
  <c r="J8" i="22"/>
  <c r="G8" i="22"/>
  <c r="J12" i="22"/>
  <c r="G12" i="22"/>
  <c r="G20" i="22"/>
  <c r="J20" i="22"/>
  <c r="J7" i="21"/>
  <c r="G7" i="21"/>
  <c r="M7" i="178"/>
  <c r="G7" i="178"/>
  <c r="M11" i="180"/>
  <c r="G11" i="180"/>
  <c r="J11" i="180"/>
  <c r="J20" i="39"/>
  <c r="G20" i="39"/>
  <c r="J8" i="160"/>
  <c r="J16" i="63"/>
  <c r="I35" i="63"/>
  <c r="J13" i="16"/>
  <c r="G15" i="16"/>
  <c r="J17" i="16"/>
  <c r="J8" i="131"/>
  <c r="J12" i="131"/>
  <c r="J16" i="131"/>
  <c r="J20" i="131"/>
  <c r="J22" i="160"/>
  <c r="G16" i="183"/>
  <c r="G13" i="162"/>
  <c r="J15" i="162"/>
  <c r="J6" i="157"/>
  <c r="J7" i="157"/>
  <c r="G15" i="157"/>
  <c r="G8" i="146"/>
  <c r="G8" i="182"/>
  <c r="J10" i="182"/>
  <c r="J12" i="182"/>
  <c r="G12" i="182"/>
  <c r="G10" i="119"/>
  <c r="J12" i="119"/>
  <c r="M14" i="119"/>
  <c r="J14" i="119"/>
  <c r="G14" i="119"/>
  <c r="G7" i="156"/>
  <c r="M7" i="156"/>
  <c r="J7" i="156"/>
  <c r="G15" i="156"/>
  <c r="M15" i="156"/>
  <c r="J15" i="156"/>
  <c r="J19" i="156"/>
  <c r="J12" i="171"/>
  <c r="G12" i="171"/>
  <c r="J18" i="171"/>
  <c r="G18" i="171"/>
  <c r="M18" i="171"/>
  <c r="J14" i="173"/>
  <c r="G14" i="173"/>
  <c r="G23" i="184"/>
  <c r="G5" i="21"/>
  <c r="J5" i="21"/>
  <c r="J11" i="21"/>
  <c r="G11" i="21"/>
  <c r="G21" i="21"/>
  <c r="J21" i="21"/>
  <c r="F36" i="24"/>
  <c r="F37" i="24" s="1"/>
  <c r="I36" i="24"/>
  <c r="J19" i="181"/>
  <c r="J9" i="178"/>
  <c r="G9" i="178"/>
  <c r="M15" i="174"/>
  <c r="G15" i="174"/>
  <c r="J15" i="174"/>
  <c r="F35" i="14"/>
  <c r="F37" i="14" s="1"/>
  <c r="J8" i="16"/>
  <c r="M7" i="179"/>
  <c r="M16" i="179"/>
  <c r="J7" i="162"/>
  <c r="M17" i="162"/>
  <c r="G11" i="157"/>
  <c r="J11" i="146"/>
  <c r="G6" i="182"/>
  <c r="J14" i="182"/>
  <c r="G14" i="182"/>
  <c r="J18" i="182"/>
  <c r="M8" i="119"/>
  <c r="J8" i="119"/>
  <c r="G8" i="119"/>
  <c r="J10" i="119"/>
  <c r="M16" i="119"/>
  <c r="J16" i="119"/>
  <c r="M19" i="174"/>
  <c r="J19" i="174"/>
  <c r="G19" i="174"/>
  <c r="M21" i="174"/>
  <c r="J21" i="174"/>
  <c r="G21" i="174"/>
  <c r="G6" i="22"/>
  <c r="J6" i="22"/>
  <c r="J16" i="25"/>
  <c r="G16" i="25"/>
  <c r="M6" i="179"/>
  <c r="M15" i="179"/>
  <c r="M23" i="179"/>
  <c r="G7" i="17"/>
  <c r="F42" i="17"/>
  <c r="G11" i="162"/>
  <c r="J13" i="162"/>
  <c r="G10" i="146"/>
  <c r="J19" i="146"/>
  <c r="G6" i="178"/>
  <c r="M6" i="178"/>
  <c r="J6" i="178"/>
  <c r="G14" i="178"/>
  <c r="M14" i="178"/>
  <c r="J14" i="178"/>
  <c r="M19" i="178"/>
  <c r="M6" i="180"/>
  <c r="J6" i="180"/>
  <c r="G6" i="180"/>
  <c r="M9" i="180"/>
  <c r="G9" i="180"/>
  <c r="M5" i="171"/>
  <c r="J5" i="171"/>
  <c r="G5" i="171"/>
  <c r="M14" i="171"/>
  <c r="J14" i="171"/>
  <c r="G14" i="171"/>
  <c r="G16" i="171"/>
  <c r="M16" i="171"/>
  <c r="J16" i="171"/>
  <c r="J6" i="173"/>
  <c r="G6" i="173"/>
  <c r="M6" i="173"/>
  <c r="J16" i="173"/>
  <c r="M16" i="173"/>
  <c r="M13" i="174"/>
  <c r="G13" i="174"/>
  <c r="G14" i="184"/>
  <c r="G18" i="184"/>
  <c r="G20" i="184"/>
  <c r="J21" i="22"/>
  <c r="G21" i="22"/>
  <c r="G18" i="35"/>
  <c r="J18" i="35"/>
  <c r="J9" i="146"/>
  <c r="G9" i="146"/>
  <c r="J5" i="119"/>
  <c r="M5" i="119"/>
  <c r="G5" i="119"/>
  <c r="G17" i="171"/>
  <c r="J17" i="171"/>
  <c r="J15" i="40"/>
  <c r="G15" i="40"/>
  <c r="G12" i="131"/>
  <c r="G16" i="131"/>
  <c r="F35" i="15"/>
  <c r="G18" i="16"/>
  <c r="G5" i="55"/>
  <c r="J12" i="160"/>
  <c r="J15" i="18"/>
  <c r="J23" i="18"/>
  <c r="J12" i="33"/>
  <c r="J20" i="33"/>
  <c r="G9" i="179"/>
  <c r="G18" i="179"/>
  <c r="I35" i="157"/>
  <c r="F35" i="157"/>
  <c r="J7" i="182"/>
  <c r="G7" i="182"/>
  <c r="J15" i="182"/>
  <c r="G15" i="182"/>
  <c r="M8" i="156"/>
  <c r="G8" i="156"/>
  <c r="J10" i="156"/>
  <c r="G10" i="156"/>
  <c r="J20" i="156"/>
  <c r="G20" i="156"/>
  <c r="M20" i="156"/>
  <c r="M18" i="178"/>
  <c r="J18" i="178"/>
  <c r="G18" i="178"/>
  <c r="J14" i="180"/>
  <c r="G14" i="180"/>
  <c r="M14" i="180"/>
  <c r="J16" i="180"/>
  <c r="G16" i="180"/>
  <c r="M16" i="180"/>
  <c r="J18" i="180"/>
  <c r="G18" i="180"/>
  <c r="M18" i="180"/>
  <c r="J20" i="180"/>
  <c r="G20" i="180"/>
  <c r="M20" i="180"/>
  <c r="G9" i="171"/>
  <c r="J9" i="171"/>
  <c r="G19" i="171"/>
  <c r="J19" i="171"/>
  <c r="G8" i="184"/>
  <c r="G10" i="184"/>
  <c r="I45" i="21"/>
  <c r="J14" i="24"/>
  <c r="J17" i="146"/>
  <c r="G17" i="146"/>
  <c r="M5" i="180"/>
  <c r="J5" i="180"/>
  <c r="G5" i="180"/>
  <c r="G7" i="145"/>
  <c r="F38" i="145"/>
  <c r="G9" i="162"/>
  <c r="G18" i="146"/>
  <c r="J9" i="182"/>
  <c r="G9" i="182"/>
  <c r="J11" i="182"/>
  <c r="G11" i="182"/>
  <c r="J17" i="182"/>
  <c r="G17" i="182"/>
  <c r="J7" i="119"/>
  <c r="M7" i="119"/>
  <c r="J9" i="119"/>
  <c r="M9" i="119"/>
  <c r="G9" i="119"/>
  <c r="J11" i="119"/>
  <c r="M11" i="119"/>
  <c r="G11" i="119"/>
  <c r="J13" i="119"/>
  <c r="M13" i="119"/>
  <c r="J8" i="156"/>
  <c r="J16" i="156"/>
  <c r="J18" i="156"/>
  <c r="G18" i="156"/>
  <c r="F41" i="180"/>
  <c r="I41" i="180" s="1"/>
  <c r="I36" i="180"/>
  <c r="J8" i="173"/>
  <c r="M8" i="173"/>
  <c r="G8" i="173"/>
  <c r="J13" i="173"/>
  <c r="G13" i="173"/>
  <c r="J7" i="22"/>
  <c r="G7" i="22"/>
  <c r="J18" i="21"/>
  <c r="G18" i="21"/>
  <c r="M6" i="156"/>
  <c r="J12" i="156"/>
  <c r="M5" i="178"/>
  <c r="J15" i="178"/>
  <c r="J16" i="22"/>
  <c r="J8" i="23"/>
  <c r="J10" i="23"/>
  <c r="J17" i="23"/>
  <c r="J19" i="23"/>
  <c r="G19" i="23"/>
  <c r="I30" i="136"/>
  <c r="F30" i="136"/>
  <c r="J16" i="29"/>
  <c r="J15" i="119"/>
  <c r="M15" i="119"/>
  <c r="J10" i="180"/>
  <c r="M8" i="171"/>
  <c r="M10" i="173"/>
  <c r="J14" i="174"/>
  <c r="J23" i="174"/>
  <c r="G15" i="22"/>
  <c r="J9" i="24"/>
  <c r="J21" i="23"/>
  <c r="G21" i="23"/>
  <c r="M20" i="36"/>
  <c r="J20" i="36"/>
  <c r="M18" i="140"/>
  <c r="J18" i="140"/>
  <c r="J6" i="25"/>
  <c r="G6" i="25"/>
  <c r="M11" i="175"/>
  <c r="J11" i="175"/>
  <c r="G11" i="175"/>
  <c r="M17" i="175"/>
  <c r="J17" i="175"/>
  <c r="G17" i="175"/>
  <c r="M9" i="27"/>
  <c r="J9" i="27"/>
  <c r="M12" i="37"/>
  <c r="J12" i="37"/>
  <c r="G12" i="37"/>
  <c r="J12" i="44"/>
  <c r="J16" i="21"/>
  <c r="G16" i="21"/>
  <c r="J16" i="24"/>
  <c r="J7" i="23"/>
  <c r="G7" i="23"/>
  <c r="M22" i="172"/>
  <c r="G22" i="172"/>
  <c r="J13" i="52"/>
  <c r="J24" i="52"/>
  <c r="J5" i="168"/>
  <c r="G5" i="168"/>
  <c r="I40" i="42"/>
  <c r="F40" i="42"/>
  <c r="J10" i="178"/>
  <c r="J13" i="171"/>
  <c r="G11" i="22"/>
  <c r="G14" i="22"/>
  <c r="G17" i="22"/>
  <c r="G23" i="22"/>
  <c r="G9" i="21"/>
  <c r="J23" i="21"/>
  <c r="G14" i="35"/>
  <c r="J14" i="35"/>
  <c r="G5" i="24"/>
  <c r="G9" i="23"/>
  <c r="G16" i="23"/>
  <c r="M5" i="136"/>
  <c r="J5" i="136"/>
  <c r="G5" i="136"/>
  <c r="I28" i="136"/>
  <c r="F28" i="136"/>
  <c r="I28" i="137"/>
  <c r="F28" i="137"/>
  <c r="M6" i="36"/>
  <c r="J6" i="36"/>
  <c r="M6" i="140"/>
  <c r="J6" i="140"/>
  <c r="M12" i="140"/>
  <c r="J12" i="140"/>
  <c r="I40" i="25"/>
  <c r="F40" i="25"/>
  <c r="J28" i="39"/>
  <c r="G28" i="39"/>
  <c r="J17" i="119"/>
  <c r="M17" i="119"/>
  <c r="F35" i="120"/>
  <c r="I35" i="120"/>
  <c r="I42" i="140"/>
  <c r="F42" i="140"/>
  <c r="M22" i="175"/>
  <c r="J22" i="175"/>
  <c r="G22" i="175"/>
  <c r="M15" i="27"/>
  <c r="J15" i="27"/>
  <c r="M6" i="172"/>
  <c r="J6" i="172"/>
  <c r="G6" i="172"/>
  <c r="J15" i="38"/>
  <c r="G17" i="119"/>
  <c r="G19" i="119"/>
  <c r="G6" i="156"/>
  <c r="M14" i="156"/>
  <c r="M17" i="178"/>
  <c r="G12" i="180"/>
  <c r="M10" i="171"/>
  <c r="M20" i="171"/>
  <c r="G10" i="173"/>
  <c r="G16" i="174"/>
  <c r="G13" i="21"/>
  <c r="G22" i="21"/>
  <c r="G22" i="23"/>
  <c r="M4" i="137"/>
  <c r="J5" i="137"/>
  <c r="G5" i="137"/>
  <c r="M22" i="140"/>
  <c r="J22" i="140"/>
  <c r="J12" i="172"/>
  <c r="M12" i="172"/>
  <c r="G12" i="172"/>
  <c r="M8" i="37"/>
  <c r="J8" i="37"/>
  <c r="G8" i="37"/>
  <c r="J14" i="26"/>
  <c r="G14" i="26"/>
  <c r="J10" i="35"/>
  <c r="J6" i="24"/>
  <c r="J12" i="26"/>
  <c r="G12" i="26"/>
  <c r="J8" i="36"/>
  <c r="M11" i="36"/>
  <c r="J14" i="36"/>
  <c r="M17" i="36"/>
  <c r="J8" i="140"/>
  <c r="M15" i="140"/>
  <c r="I40" i="140"/>
  <c r="J12" i="25"/>
  <c r="J14" i="25"/>
  <c r="J5" i="175"/>
  <c r="M8" i="175"/>
  <c r="M14" i="175"/>
  <c r="J5" i="27"/>
  <c r="M7" i="27"/>
  <c r="J16" i="27"/>
  <c r="M18" i="27"/>
  <c r="M20" i="172"/>
  <c r="J20" i="37"/>
  <c r="G20" i="37"/>
  <c r="J9" i="38"/>
  <c r="J18" i="29"/>
  <c r="J22" i="40"/>
  <c r="G22" i="40"/>
  <c r="I26" i="46"/>
  <c r="F26" i="46"/>
  <c r="M9" i="137"/>
  <c r="G12" i="137"/>
  <c r="F30" i="137"/>
  <c r="G5" i="36"/>
  <c r="G5" i="140"/>
  <c r="F39" i="140"/>
  <c r="G11" i="25"/>
  <c r="G10" i="175"/>
  <c r="G16" i="175"/>
  <c r="M17" i="27"/>
  <c r="G5" i="172"/>
  <c r="G10" i="172"/>
  <c r="F38" i="172"/>
  <c r="F41" i="172" s="1"/>
  <c r="I41" i="172" s="1"/>
  <c r="G14" i="37"/>
  <c r="G17" i="37"/>
  <c r="G5" i="26"/>
  <c r="G10" i="26"/>
  <c r="J20" i="26"/>
  <c r="G20" i="26"/>
  <c r="G24" i="26"/>
  <c r="G7" i="39"/>
  <c r="J9" i="39"/>
  <c r="G9" i="39"/>
  <c r="F49" i="39"/>
  <c r="F38" i="49"/>
  <c r="J16" i="28"/>
  <c r="G16" i="28"/>
  <c r="J9" i="165"/>
  <c r="G9" i="165"/>
  <c r="M6" i="51"/>
  <c r="J6" i="51"/>
  <c r="G6" i="51"/>
  <c r="J9" i="143"/>
  <c r="G9" i="143"/>
  <c r="M19" i="175"/>
  <c r="J16" i="172"/>
  <c r="J19" i="38"/>
  <c r="G22" i="39"/>
  <c r="G24" i="39"/>
  <c r="J24" i="39"/>
  <c r="J8" i="51"/>
  <c r="G8" i="51"/>
  <c r="M8" i="51"/>
  <c r="M10" i="51"/>
  <c r="J10" i="51"/>
  <c r="G10" i="51"/>
  <c r="M23" i="51"/>
  <c r="J23" i="51"/>
  <c r="G23" i="51"/>
  <c r="J18" i="138"/>
  <c r="J18" i="108"/>
  <c r="M8" i="136"/>
  <c r="J5" i="36"/>
  <c r="M8" i="36"/>
  <c r="M14" i="36"/>
  <c r="J19" i="36"/>
  <c r="J5" i="140"/>
  <c r="M8" i="140"/>
  <c r="J17" i="140"/>
  <c r="F41" i="140"/>
  <c r="M5" i="175"/>
  <c r="J10" i="175"/>
  <c r="J16" i="175"/>
  <c r="M5" i="27"/>
  <c r="M10" i="27"/>
  <c r="M16" i="27"/>
  <c r="J20" i="27"/>
  <c r="F39" i="27"/>
  <c r="J5" i="172"/>
  <c r="J10" i="172"/>
  <c r="M13" i="172"/>
  <c r="G20" i="172"/>
  <c r="J14" i="37"/>
  <c r="G19" i="37"/>
  <c r="M20" i="37"/>
  <c r="G44" i="26"/>
  <c r="F39" i="29"/>
  <c r="M6" i="137"/>
  <c r="J11" i="140"/>
  <c r="J21" i="140"/>
  <c r="J21" i="175"/>
  <c r="J9" i="172"/>
  <c r="J6" i="28"/>
  <c r="G6" i="28"/>
  <c r="J6" i="163"/>
  <c r="J19" i="163"/>
  <c r="J8" i="138"/>
  <c r="J24" i="168"/>
  <c r="G24" i="168"/>
  <c r="J17" i="40"/>
  <c r="G17" i="40"/>
  <c r="G10" i="177"/>
  <c r="M10" i="177"/>
  <c r="J10" i="177"/>
  <c r="G14" i="172"/>
  <c r="M16" i="172"/>
  <c r="G21" i="26"/>
  <c r="J23" i="26"/>
  <c r="G23" i="26"/>
  <c r="F40" i="38"/>
  <c r="F42" i="38" s="1"/>
  <c r="F45" i="39"/>
  <c r="I48" i="39"/>
  <c r="F48" i="39"/>
  <c r="G19" i="28"/>
  <c r="J11" i="108"/>
  <c r="M14" i="27"/>
  <c r="G18" i="172"/>
  <c r="G18" i="37"/>
  <c r="I51" i="37"/>
  <c r="G12" i="39"/>
  <c r="J9" i="28"/>
  <c r="G9" i="28"/>
  <c r="J17" i="163"/>
  <c r="J24" i="163"/>
  <c r="G13" i="165"/>
  <c r="J13" i="165"/>
  <c r="M27" i="51"/>
  <c r="G27" i="51"/>
  <c r="J28" i="138"/>
  <c r="J7" i="168"/>
  <c r="G7" i="168"/>
  <c r="J14" i="168"/>
  <c r="G14" i="168"/>
  <c r="J17" i="51"/>
  <c r="J16" i="161"/>
  <c r="G7" i="177"/>
  <c r="M7" i="177"/>
  <c r="G15" i="177"/>
  <c r="M15" i="177"/>
  <c r="F39" i="28"/>
  <c r="F47" i="163"/>
  <c r="F50" i="163"/>
  <c r="G15" i="165"/>
  <c r="G16" i="51"/>
  <c r="G20" i="51"/>
  <c r="G5" i="138"/>
  <c r="G10" i="168"/>
  <c r="G19" i="168"/>
  <c r="G21" i="168"/>
  <c r="F48" i="168"/>
  <c r="G6" i="42"/>
  <c r="G18" i="42"/>
  <c r="G5" i="40"/>
  <c r="G10" i="40"/>
  <c r="F72" i="108"/>
  <c r="G16" i="161"/>
  <c r="G12" i="177"/>
  <c r="M12" i="177"/>
  <c r="G16" i="168"/>
  <c r="G26" i="168"/>
  <c r="F45" i="168"/>
  <c r="G10" i="42"/>
  <c r="G15" i="42"/>
  <c r="G23" i="42"/>
  <c r="F42" i="42"/>
  <c r="F39" i="40"/>
  <c r="F40" i="40" s="1"/>
  <c r="J19" i="143"/>
  <c r="G19" i="143"/>
  <c r="G24" i="161"/>
  <c r="J7" i="177"/>
  <c r="J15" i="177"/>
  <c r="F40" i="49"/>
  <c r="G8" i="28"/>
  <c r="G15" i="28"/>
  <c r="G5" i="163"/>
  <c r="G18" i="165"/>
  <c r="G14" i="51"/>
  <c r="G19" i="51"/>
  <c r="F47" i="52"/>
  <c r="F49" i="52"/>
  <c r="F46" i="138"/>
  <c r="G20" i="42"/>
  <c r="G14" i="40"/>
  <c r="J8" i="108"/>
  <c r="J8" i="44"/>
  <c r="G98" i="67"/>
  <c r="G6" i="177"/>
  <c r="M6" i="177"/>
  <c r="J12" i="177"/>
  <c r="G14" i="177"/>
  <c r="M14" i="177"/>
  <c r="I36" i="44"/>
  <c r="J8" i="143"/>
  <c r="G8" i="143"/>
  <c r="G14" i="143"/>
  <c r="M10" i="149"/>
  <c r="J10" i="149"/>
  <c r="M28" i="149"/>
  <c r="J28" i="149"/>
  <c r="J24" i="161"/>
  <c r="G11" i="177"/>
  <c r="M11" i="177"/>
  <c r="I71" i="108"/>
  <c r="F71" i="108"/>
  <c r="M15" i="149"/>
  <c r="J15" i="149"/>
  <c r="J6" i="177"/>
  <c r="J14" i="177"/>
  <c r="G53" i="154"/>
  <c r="G7" i="44"/>
  <c r="J22" i="143"/>
  <c r="G22" i="143"/>
  <c r="J5" i="149"/>
  <c r="M5" i="149"/>
  <c r="J6" i="161"/>
  <c r="G6" i="161"/>
  <c r="G12" i="161"/>
  <c r="G19" i="161"/>
  <c r="G23" i="161"/>
  <c r="G26" i="161"/>
  <c r="G5" i="161"/>
  <c r="J17" i="181"/>
  <c r="J10" i="181"/>
  <c r="J15" i="181"/>
  <c r="I37" i="181"/>
  <c r="F37" i="181"/>
  <c r="J11" i="181"/>
  <c r="L12" i="181"/>
  <c r="M12" i="181" s="1"/>
  <c r="K12" i="181"/>
  <c r="L14" i="181"/>
  <c r="M14" i="181" s="1"/>
  <c r="J18" i="181"/>
  <c r="E13" i="181"/>
  <c r="K17" i="181"/>
  <c r="K14" i="181"/>
  <c r="J15" i="161"/>
  <c r="J23" i="161"/>
  <c r="J5" i="161"/>
  <c r="F48" i="149"/>
  <c r="I44" i="149"/>
  <c r="F49" i="143"/>
  <c r="I45" i="143"/>
  <c r="G16" i="143"/>
  <c r="G25" i="143"/>
  <c r="J15" i="44"/>
  <c r="G13" i="40"/>
  <c r="G13" i="42"/>
  <c r="G21" i="42"/>
  <c r="G12" i="168"/>
  <c r="G20" i="168"/>
  <c r="G28" i="168"/>
  <c r="M29" i="51"/>
  <c r="M12" i="51"/>
  <c r="M21" i="51"/>
  <c r="G29" i="51"/>
  <c r="G12" i="51"/>
  <c r="G21" i="51"/>
  <c r="I26" i="142"/>
  <c r="G14" i="165"/>
  <c r="G13" i="28"/>
  <c r="G21" i="28"/>
  <c r="G13" i="49"/>
  <c r="G21" i="49"/>
  <c r="J13" i="31"/>
  <c r="J21" i="31"/>
  <c r="G11" i="26"/>
  <c r="G19" i="26"/>
  <c r="J13" i="37"/>
  <c r="J21" i="37"/>
  <c r="M13" i="37"/>
  <c r="M21" i="37"/>
  <c r="J14" i="172"/>
  <c r="J22" i="172"/>
  <c r="M13" i="175"/>
  <c r="M21" i="175"/>
  <c r="J13" i="25"/>
  <c r="J21" i="25"/>
  <c r="M13" i="140"/>
  <c r="M21" i="140"/>
  <c r="M13" i="36"/>
  <c r="M21" i="36"/>
  <c r="I36" i="15"/>
  <c r="J6" i="131"/>
  <c r="J14" i="131"/>
  <c r="J22" i="131"/>
  <c r="I39" i="160"/>
  <c r="J8" i="33"/>
  <c r="G8" i="33"/>
  <c r="J17" i="33"/>
  <c r="G17" i="33"/>
  <c r="I36" i="14"/>
  <c r="J6" i="15"/>
  <c r="J11" i="15"/>
  <c r="J15" i="15"/>
  <c r="J19" i="15"/>
  <c r="J13" i="63"/>
  <c r="J11" i="16"/>
  <c r="J5" i="131"/>
  <c r="J13" i="131"/>
  <c r="J21" i="131"/>
  <c r="F37" i="15"/>
  <c r="G9" i="16"/>
  <c r="F35" i="55"/>
  <c r="G9" i="131"/>
  <c r="J11" i="131"/>
  <c r="G17" i="131"/>
  <c r="J19" i="131"/>
  <c r="G9" i="160"/>
  <c r="F42" i="160"/>
  <c r="J12" i="63"/>
  <c r="J19" i="63"/>
  <c r="J7" i="16"/>
  <c r="I38" i="55"/>
  <c r="J10" i="131"/>
  <c r="J18" i="131"/>
  <c r="J21" i="18"/>
  <c r="J13" i="33"/>
  <c r="G13" i="33"/>
  <c r="J21" i="33"/>
  <c r="G21" i="33"/>
  <c r="F44" i="33"/>
  <c r="J9" i="131"/>
  <c r="J17" i="131"/>
  <c r="G6" i="16"/>
  <c r="J16" i="16"/>
  <c r="I36" i="16"/>
  <c r="G12" i="55"/>
  <c r="G5" i="131"/>
  <c r="J7" i="131"/>
  <c r="G13" i="131"/>
  <c r="J15" i="131"/>
  <c r="G21" i="131"/>
  <c r="J23" i="131"/>
  <c r="F42" i="131"/>
  <c r="G17" i="160"/>
  <c r="J17" i="18"/>
  <c r="I39" i="33"/>
  <c r="I35" i="34"/>
  <c r="J13" i="183"/>
  <c r="J5" i="145"/>
  <c r="J8" i="145"/>
  <c r="I34" i="183"/>
  <c r="F40" i="178"/>
  <c r="I36" i="178"/>
  <c r="G5" i="17"/>
  <c r="G9" i="17"/>
  <c r="G14" i="17"/>
  <c r="G18" i="17"/>
  <c r="G22" i="17"/>
  <c r="F39" i="17"/>
  <c r="G5" i="34"/>
  <c r="G6" i="34"/>
  <c r="G7" i="34"/>
  <c r="G8" i="34"/>
  <c r="G9" i="34"/>
  <c r="G10" i="34"/>
  <c r="G11" i="34"/>
  <c r="G12" i="34"/>
  <c r="G13" i="34"/>
  <c r="J6" i="181"/>
  <c r="F36" i="181"/>
  <c r="I36" i="181"/>
  <c r="F40" i="156"/>
  <c r="I36" i="156"/>
  <c r="I38" i="171"/>
  <c r="F43" i="179"/>
  <c r="F34" i="34"/>
  <c r="G15" i="145"/>
  <c r="F40" i="119"/>
  <c r="J5" i="34"/>
  <c r="J6" i="34"/>
  <c r="J7" i="34"/>
  <c r="J8" i="34"/>
  <c r="J9" i="34"/>
  <c r="J10" i="34"/>
  <c r="J11" i="34"/>
  <c r="J12" i="34"/>
  <c r="J13" i="34"/>
  <c r="J14" i="34"/>
  <c r="J15" i="34"/>
  <c r="J16" i="34"/>
  <c r="J17" i="34"/>
  <c r="J5" i="183"/>
  <c r="J14" i="181"/>
  <c r="F40" i="146"/>
  <c r="F37" i="183"/>
  <c r="I35" i="145"/>
  <c r="J5" i="181"/>
  <c r="J13" i="181"/>
  <c r="M6" i="157"/>
  <c r="J9" i="157"/>
  <c r="J17" i="157"/>
  <c r="J9" i="156"/>
  <c r="J17" i="156"/>
  <c r="J8" i="178"/>
  <c r="J16" i="178"/>
  <c r="J11" i="171"/>
  <c r="I36" i="173"/>
  <c r="J6" i="155"/>
  <c r="G6" i="155"/>
  <c r="J10" i="155"/>
  <c r="G10" i="155"/>
  <c r="J14" i="155"/>
  <c r="G14" i="155"/>
  <c r="J18" i="155"/>
  <c r="G18" i="155"/>
  <c r="I36" i="155"/>
  <c r="J6" i="174"/>
  <c r="G6" i="174"/>
  <c r="J10" i="174"/>
  <c r="G10" i="174"/>
  <c r="F41" i="184"/>
  <c r="I41" i="184"/>
  <c r="J19" i="35"/>
  <c r="G19" i="35"/>
  <c r="M5" i="162"/>
  <c r="M6" i="162"/>
  <c r="M7" i="162"/>
  <c r="M8" i="162"/>
  <c r="F35" i="181"/>
  <c r="J10" i="157"/>
  <c r="J18" i="157"/>
  <c r="F37" i="157"/>
  <c r="I38" i="157"/>
  <c r="G5" i="146"/>
  <c r="J7" i="146"/>
  <c r="G13" i="146"/>
  <c r="J15" i="146"/>
  <c r="M5" i="173"/>
  <c r="G9" i="173"/>
  <c r="M13" i="173"/>
  <c r="G17" i="173"/>
  <c r="F38" i="182"/>
  <c r="M10" i="156"/>
  <c r="M18" i="156"/>
  <c r="J5" i="155"/>
  <c r="G5" i="155"/>
  <c r="J9" i="155"/>
  <c r="G9" i="155"/>
  <c r="J13" i="155"/>
  <c r="G13" i="155"/>
  <c r="J17" i="155"/>
  <c r="G17" i="155"/>
  <c r="J5" i="174"/>
  <c r="G5" i="174"/>
  <c r="J9" i="174"/>
  <c r="G9" i="174"/>
  <c r="F43" i="174"/>
  <c r="I39" i="174"/>
  <c r="I41" i="21"/>
  <c r="G5" i="156"/>
  <c r="M9" i="156"/>
  <c r="G13" i="156"/>
  <c r="M17" i="156"/>
  <c r="M8" i="178"/>
  <c r="G12" i="178"/>
  <c r="M16" i="178"/>
  <c r="G20" i="178"/>
  <c r="G7" i="171"/>
  <c r="M11" i="171"/>
  <c r="G15" i="171"/>
  <c r="M17" i="171"/>
  <c r="G7" i="173"/>
  <c r="M11" i="173"/>
  <c r="G15" i="173"/>
  <c r="M20" i="173"/>
  <c r="J20" i="173"/>
  <c r="F44" i="184"/>
  <c r="I44" i="184"/>
  <c r="J5" i="156"/>
  <c r="J13" i="156"/>
  <c r="J12" i="178"/>
  <c r="J20" i="178"/>
  <c r="J7" i="171"/>
  <c r="J15" i="171"/>
  <c r="M6" i="155"/>
  <c r="J8" i="155"/>
  <c r="G8" i="155"/>
  <c r="M10" i="155"/>
  <c r="J12" i="155"/>
  <c r="G12" i="155"/>
  <c r="M14" i="155"/>
  <c r="J16" i="155"/>
  <c r="G16" i="155"/>
  <c r="M18" i="155"/>
  <c r="J20" i="155"/>
  <c r="G20" i="155"/>
  <c r="M6" i="174"/>
  <c r="J8" i="174"/>
  <c r="G8" i="174"/>
  <c r="M10" i="174"/>
  <c r="I40" i="184"/>
  <c r="F40" i="184"/>
  <c r="M19" i="173"/>
  <c r="J19" i="173"/>
  <c r="J8" i="35"/>
  <c r="G8" i="35"/>
  <c r="J7" i="155"/>
  <c r="G7" i="155"/>
  <c r="J11" i="155"/>
  <c r="G11" i="155"/>
  <c r="J15" i="155"/>
  <c r="G15" i="155"/>
  <c r="J19" i="155"/>
  <c r="G19" i="155"/>
  <c r="J7" i="174"/>
  <c r="G7" i="174"/>
  <c r="J11" i="174"/>
  <c r="G11" i="174"/>
  <c r="J11" i="35"/>
  <c r="G11" i="35"/>
  <c r="I39" i="23"/>
  <c r="F39" i="23"/>
  <c r="J8" i="120"/>
  <c r="G8" i="120"/>
  <c r="J12" i="120"/>
  <c r="G12" i="120"/>
  <c r="M7" i="173"/>
  <c r="G11" i="173"/>
  <c r="M15" i="173"/>
  <c r="M18" i="173"/>
  <c r="J18" i="173"/>
  <c r="F43" i="184"/>
  <c r="I40" i="22"/>
  <c r="I44" i="22"/>
  <c r="G5" i="35"/>
  <c r="J6" i="35"/>
  <c r="J9" i="35"/>
  <c r="G12" i="35"/>
  <c r="J13" i="35"/>
  <c r="G16" i="35"/>
  <c r="J17" i="35"/>
  <c r="I35" i="24"/>
  <c r="J5" i="23"/>
  <c r="F40" i="23"/>
  <c r="G5" i="120"/>
  <c r="J6" i="120"/>
  <c r="G9" i="120"/>
  <c r="J10" i="120"/>
  <c r="G13" i="120"/>
  <c r="J14" i="120"/>
  <c r="G17" i="120"/>
  <c r="J18" i="120"/>
  <c r="G16" i="120"/>
  <c r="F37" i="35"/>
  <c r="F41" i="22"/>
  <c r="F45" i="22"/>
  <c r="F40" i="21"/>
  <c r="F46" i="21" s="1"/>
  <c r="F38" i="23"/>
  <c r="G7" i="120"/>
  <c r="G11" i="120"/>
  <c r="G15" i="120"/>
  <c r="G19" i="120"/>
  <c r="F41" i="55" l="1"/>
  <c r="I41" i="55" s="1"/>
  <c r="G20" i="55"/>
  <c r="J20" i="55" s="1"/>
  <c r="G31" i="138"/>
  <c r="G31" i="52"/>
  <c r="J31" i="52" s="1"/>
  <c r="G25" i="184"/>
  <c r="J25" i="184" s="1"/>
  <c r="K13" i="146"/>
  <c r="L13" i="146"/>
  <c r="M13" i="146" s="1"/>
  <c r="K10" i="146"/>
  <c r="L10" i="146"/>
  <c r="M10" i="146" s="1"/>
  <c r="L20" i="146"/>
  <c r="K11" i="157"/>
  <c r="I40" i="40"/>
  <c r="I48" i="149"/>
  <c r="G21" i="155"/>
  <c r="G21" i="180"/>
  <c r="G21" i="171"/>
  <c r="J21" i="171" s="1"/>
  <c r="G27" i="161"/>
  <c r="G20" i="16"/>
  <c r="J20" i="16" s="1"/>
  <c r="J20" i="15"/>
  <c r="E51" i="66"/>
  <c r="I52" i="87"/>
  <c r="D54" i="87"/>
  <c r="D56" i="87" s="1"/>
  <c r="D57" i="87" s="1"/>
  <c r="K23" i="27"/>
  <c r="E19" i="90"/>
  <c r="J24" i="60"/>
  <c r="G49" i="152"/>
  <c r="H49" i="152"/>
  <c r="H42" i="152"/>
  <c r="I49" i="143"/>
  <c r="J25" i="47"/>
  <c r="H48" i="152"/>
  <c r="G48" i="152"/>
  <c r="K28" i="87"/>
  <c r="G39" i="152"/>
  <c r="J48" i="43"/>
  <c r="G40" i="152"/>
  <c r="H40" i="152"/>
  <c r="E46" i="56"/>
  <c r="E21" i="129"/>
  <c r="J12" i="87"/>
  <c r="D46" i="30"/>
  <c r="D48" i="30" s="1"/>
  <c r="D49" i="30" s="1"/>
  <c r="E17" i="115"/>
  <c r="M4" i="69"/>
  <c r="E24" i="60"/>
  <c r="G47" i="153"/>
  <c r="H47" i="153"/>
  <c r="I38" i="44"/>
  <c r="I45" i="48"/>
  <c r="H51" i="152"/>
  <c r="K16" i="157"/>
  <c r="L16" i="157"/>
  <c r="M16" i="157" s="1"/>
  <c r="H50" i="152"/>
  <c r="G50" i="152"/>
  <c r="E25" i="47"/>
  <c r="J47" i="101"/>
  <c r="H45" i="152"/>
  <c r="G45" i="152"/>
  <c r="E25" i="48"/>
  <c r="H39" i="152"/>
  <c r="M26" i="87"/>
  <c r="L26" i="87"/>
  <c r="K26" i="87"/>
  <c r="M31" i="87"/>
  <c r="L31" i="87"/>
  <c r="K31" i="87"/>
  <c r="I56" i="56"/>
  <c r="J33" i="87"/>
  <c r="E9" i="61"/>
  <c r="E26" i="59"/>
  <c r="H5" i="59"/>
  <c r="H26" i="59" s="1"/>
  <c r="H41" i="152"/>
  <c r="G41" i="152"/>
  <c r="G48" i="153"/>
  <c r="H48" i="153"/>
  <c r="E25" i="56"/>
  <c r="G46" i="152"/>
  <c r="H46" i="152"/>
  <c r="K42" i="26"/>
  <c r="E46" i="26"/>
  <c r="H46" i="153"/>
  <c r="G46" i="153"/>
  <c r="E23" i="66"/>
  <c r="H30" i="86"/>
  <c r="E37" i="86"/>
  <c r="I59" i="65"/>
  <c r="K10" i="157"/>
  <c r="L10" i="157"/>
  <c r="M10" i="157" s="1"/>
  <c r="H5" i="68"/>
  <c r="H26" i="68" s="1"/>
  <c r="E26" i="68"/>
  <c r="K18" i="181"/>
  <c r="E52" i="47"/>
  <c r="K46" i="65"/>
  <c r="L46" i="65" s="1"/>
  <c r="E49" i="65"/>
  <c r="D32" i="152"/>
  <c r="L13" i="157"/>
  <c r="M13" i="157" s="1"/>
  <c r="K13" i="157"/>
  <c r="K7" i="157"/>
  <c r="E26" i="58"/>
  <c r="E48" i="43"/>
  <c r="K29" i="43"/>
  <c r="H50" i="153"/>
  <c r="G50" i="153"/>
  <c r="K29" i="101"/>
  <c r="L29" i="101" s="1"/>
  <c r="E47" i="101"/>
  <c r="E27" i="88"/>
  <c r="E20" i="146"/>
  <c r="M27" i="87"/>
  <c r="K27" i="87"/>
  <c r="L27" i="87"/>
  <c r="J25" i="48"/>
  <c r="D47" i="48"/>
  <c r="D49" i="48" s="1"/>
  <c r="D50" i="48" s="1"/>
  <c r="D70" i="101"/>
  <c r="D72" i="101" s="1"/>
  <c r="D73" i="101" s="1"/>
  <c r="D49" i="88"/>
  <c r="D51" i="88" s="1"/>
  <c r="D52" i="88" s="1"/>
  <c r="K12" i="157"/>
  <c r="D40" i="90"/>
  <c r="D42" i="90" s="1"/>
  <c r="D43" i="90" s="1"/>
  <c r="I38" i="90"/>
  <c r="D72" i="47"/>
  <c r="D74" i="47" s="1"/>
  <c r="D75" i="47" s="1"/>
  <c r="I69" i="47"/>
  <c r="E25" i="45"/>
  <c r="J52" i="47"/>
  <c r="E12" i="87"/>
  <c r="H45" i="153"/>
  <c r="G45" i="153"/>
  <c r="D46" i="60"/>
  <c r="D48" i="60" s="1"/>
  <c r="D49" i="60" s="1"/>
  <c r="I44" i="60"/>
  <c r="K5" i="65"/>
  <c r="E28" i="65"/>
  <c r="H26" i="58"/>
  <c r="L8" i="157"/>
  <c r="M8" i="157" s="1"/>
  <c r="K8" i="157"/>
  <c r="E24" i="30"/>
  <c r="D42" i="64"/>
  <c r="D44" i="64" s="1"/>
  <c r="D45" i="64" s="1"/>
  <c r="I40" i="64"/>
  <c r="D53" i="153"/>
  <c r="E22" i="64"/>
  <c r="K5" i="64"/>
  <c r="I37" i="24"/>
  <c r="H40" i="153"/>
  <c r="G40" i="153"/>
  <c r="F45" i="65"/>
  <c r="J28" i="65"/>
  <c r="K5" i="157"/>
  <c r="E20" i="157"/>
  <c r="L5" i="157"/>
  <c r="F61" i="66"/>
  <c r="D63" i="66"/>
  <c r="D64" i="66" s="1"/>
  <c r="E10" i="142"/>
  <c r="D71" i="43"/>
  <c r="D73" i="43" s="1"/>
  <c r="D74" i="43" s="1"/>
  <c r="E20" i="182"/>
  <c r="E24" i="101"/>
  <c r="K18" i="157"/>
  <c r="L18" i="157"/>
  <c r="M18" i="157" s="1"/>
  <c r="I38" i="63"/>
  <c r="H42" i="153"/>
  <c r="G42" i="153"/>
  <c r="I53" i="64"/>
  <c r="D55" i="64"/>
  <c r="D57" i="64" s="1"/>
  <c r="D58" i="64" s="1"/>
  <c r="H23" i="66"/>
  <c r="J25" i="56"/>
  <c r="F42" i="56"/>
  <c r="E21" i="86"/>
  <c r="E20" i="86"/>
  <c r="E23" i="86"/>
  <c r="E22" i="86"/>
  <c r="E24" i="86"/>
  <c r="K23" i="172"/>
  <c r="K20" i="14"/>
  <c r="G18" i="162"/>
  <c r="J18" i="162" s="1"/>
  <c r="F37" i="162"/>
  <c r="I37" i="162" s="1"/>
  <c r="G30" i="168"/>
  <c r="J30" i="168" s="1"/>
  <c r="G31" i="51"/>
  <c r="J31" i="51" s="1"/>
  <c r="F25" i="67"/>
  <c r="F50" i="67"/>
  <c r="J98" i="67"/>
  <c r="G25" i="21"/>
  <c r="J25" i="21" s="1"/>
  <c r="G25" i="22"/>
  <c r="J25" i="22" s="1"/>
  <c r="F45" i="184"/>
  <c r="I45" i="184" s="1"/>
  <c r="I42" i="38"/>
  <c r="I40" i="173"/>
  <c r="I37" i="14"/>
  <c r="J30" i="108"/>
  <c r="K19" i="165"/>
  <c r="L9" i="181"/>
  <c r="M9" i="181" s="1"/>
  <c r="K9" i="181"/>
  <c r="K10" i="181"/>
  <c r="L10" i="181"/>
  <c r="M10" i="181" s="1"/>
  <c r="L7" i="181"/>
  <c r="M7" i="181" s="1"/>
  <c r="K7" i="181"/>
  <c r="K19" i="181"/>
  <c r="K6" i="181"/>
  <c r="L6" i="181"/>
  <c r="M6" i="181" s="1"/>
  <c r="L5" i="181"/>
  <c r="M5" i="181" s="1"/>
  <c r="K5" i="181"/>
  <c r="K16" i="181"/>
  <c r="E20" i="181"/>
  <c r="L8" i="181"/>
  <c r="M8" i="181" s="1"/>
  <c r="K8" i="181"/>
  <c r="J53" i="108"/>
  <c r="E53" i="108"/>
  <c r="I24" i="141"/>
  <c r="F25" i="141"/>
  <c r="I25" i="141" s="1"/>
  <c r="F25" i="46"/>
  <c r="F27" i="46" s="1"/>
  <c r="I27" i="46" s="1"/>
  <c r="M8" i="177"/>
  <c r="G8" i="177"/>
  <c r="M16" i="177"/>
  <c r="M13" i="177"/>
  <c r="G13" i="177"/>
  <c r="J9" i="177"/>
  <c r="M9" i="177"/>
  <c r="I33" i="177"/>
  <c r="F39" i="177"/>
  <c r="I39" i="177" s="1"/>
  <c r="G16" i="177"/>
  <c r="M5" i="177"/>
  <c r="G5" i="177"/>
  <c r="K77" i="67"/>
  <c r="F43" i="131"/>
  <c r="I43" i="131" s="1"/>
  <c r="D74" i="152"/>
  <c r="D76" i="152" s="1"/>
  <c r="F76" i="152" s="1"/>
  <c r="F38" i="31"/>
  <c r="F53" i="153"/>
  <c r="D74" i="153" s="1"/>
  <c r="D76" i="153" s="1"/>
  <c r="F76" i="153" s="1"/>
  <c r="D80" i="94" s="1"/>
  <c r="F40" i="31"/>
  <c r="I43" i="161"/>
  <c r="F46" i="161"/>
  <c r="I46" i="161" s="1"/>
  <c r="G23" i="40"/>
  <c r="J23" i="40" s="1"/>
  <c r="M13" i="149"/>
  <c r="J11" i="149"/>
  <c r="J13" i="149"/>
  <c r="M17" i="149"/>
  <c r="M21" i="149"/>
  <c r="J12" i="149"/>
  <c r="M12" i="149"/>
  <c r="M26" i="149"/>
  <c r="J6" i="149"/>
  <c r="J20" i="149"/>
  <c r="J25" i="149"/>
  <c r="J14" i="149"/>
  <c r="M27" i="149"/>
  <c r="J22" i="149"/>
  <c r="J19" i="149"/>
  <c r="M23" i="149"/>
  <c r="J18" i="149"/>
  <c r="M24" i="149"/>
  <c r="M16" i="149"/>
  <c r="M19" i="149"/>
  <c r="J21" i="149"/>
  <c r="F52" i="51"/>
  <c r="I52" i="51" s="1"/>
  <c r="I40" i="175"/>
  <c r="F42" i="175"/>
  <c r="F43" i="175" s="1"/>
  <c r="I43" i="175" s="1"/>
  <c r="I41" i="175"/>
  <c r="I35" i="162"/>
  <c r="F52" i="39"/>
  <c r="I52" i="39" s="1"/>
  <c r="F38" i="16"/>
  <c r="I38" i="16" s="1"/>
  <c r="F38" i="183"/>
  <c r="I38" i="183" s="1"/>
  <c r="F41" i="29"/>
  <c r="I41" i="29" s="1"/>
  <c r="F38" i="120"/>
  <c r="I38" i="120" s="1"/>
  <c r="F36" i="165"/>
  <c r="I36" i="165" s="1"/>
  <c r="F39" i="145"/>
  <c r="I39" i="145" s="1"/>
  <c r="F40" i="27"/>
  <c r="I40" i="27" s="1"/>
  <c r="F31" i="136"/>
  <c r="I31" i="136" s="1"/>
  <c r="M19" i="34"/>
  <c r="F44" i="36"/>
  <c r="I44" i="36" s="1"/>
  <c r="G19" i="183"/>
  <c r="J19" i="183" s="1"/>
  <c r="G19" i="165"/>
  <c r="G13" i="136"/>
  <c r="J13" i="136" s="1"/>
  <c r="G23" i="31"/>
  <c r="J23" i="31" s="1"/>
  <c r="F52" i="138"/>
  <c r="I52" i="138" s="1"/>
  <c r="F44" i="25"/>
  <c r="I44" i="25" s="1"/>
  <c r="M13" i="137"/>
  <c r="G24" i="175"/>
  <c r="J24" i="175" s="1"/>
  <c r="F46" i="22"/>
  <c r="I46" i="22" s="1"/>
  <c r="F44" i="160"/>
  <c r="I44" i="160" s="1"/>
  <c r="M19" i="165"/>
  <c r="G20" i="14"/>
  <c r="J20" i="14" s="1"/>
  <c r="G24" i="179"/>
  <c r="J24" i="179" s="1"/>
  <c r="F43" i="18"/>
  <c r="I43" i="18" s="1"/>
  <c r="G21" i="44"/>
  <c r="J21" i="44" s="1"/>
  <c r="F38" i="15"/>
  <c r="G13" i="137"/>
  <c r="J13" i="137" s="1"/>
  <c r="F38" i="34"/>
  <c r="I38" i="34" s="1"/>
  <c r="F41" i="28"/>
  <c r="I41" i="28" s="1"/>
  <c r="F74" i="108"/>
  <c r="I74" i="108" s="1"/>
  <c r="M21" i="178"/>
  <c r="F40" i="157"/>
  <c r="I40" i="157" s="1"/>
  <c r="F43" i="17"/>
  <c r="I43" i="17" s="1"/>
  <c r="I55" i="37"/>
  <c r="F44" i="140"/>
  <c r="I44" i="140" s="1"/>
  <c r="M48" i="45"/>
  <c r="I55" i="26"/>
  <c r="G23" i="172"/>
  <c r="H43" i="172" s="1"/>
  <c r="H45" i="172" s="1"/>
  <c r="H47" i="172" s="1"/>
  <c r="G20" i="24"/>
  <c r="G24" i="36"/>
  <c r="J24" i="36" s="1"/>
  <c r="J24" i="38"/>
  <c r="M24" i="174"/>
  <c r="G19" i="145"/>
  <c r="J19" i="145" s="1"/>
  <c r="G25" i="37"/>
  <c r="F42" i="37" s="1"/>
  <c r="M23" i="27"/>
  <c r="G24" i="42"/>
  <c r="J24" i="42" s="1"/>
  <c r="F51" i="163"/>
  <c r="I51" i="163" s="1"/>
  <c r="G20" i="157"/>
  <c r="M24" i="131"/>
  <c r="G24" i="25"/>
  <c r="J24" i="25" s="1"/>
  <c r="F52" i="52"/>
  <c r="I52" i="52" s="1"/>
  <c r="G23" i="23"/>
  <c r="J23" i="23" s="1"/>
  <c r="G21" i="178"/>
  <c r="J21" i="178" s="1"/>
  <c r="F42" i="49"/>
  <c r="I42" i="49" s="1"/>
  <c r="M21" i="180"/>
  <c r="G30" i="143"/>
  <c r="H51" i="143" s="1"/>
  <c r="H53" i="143" s="1"/>
  <c r="H55" i="143" s="1"/>
  <c r="D19" i="94" s="1"/>
  <c r="G23" i="27"/>
  <c r="H40" i="63"/>
  <c r="H42" i="63" s="1"/>
  <c r="H44" i="63" s="1"/>
  <c r="M27" i="161"/>
  <c r="G24" i="29"/>
  <c r="J24" i="29" s="1"/>
  <c r="M23" i="172"/>
  <c r="M21" i="171"/>
  <c r="M21" i="156"/>
  <c r="G23" i="28"/>
  <c r="M24" i="36"/>
  <c r="G20" i="182"/>
  <c r="J20" i="182" s="1"/>
  <c r="G24" i="160"/>
  <c r="J24" i="160" s="1"/>
  <c r="M24" i="140"/>
  <c r="F33" i="137"/>
  <c r="F43" i="42"/>
  <c r="I43" i="42" s="1"/>
  <c r="M24" i="179"/>
  <c r="M21" i="155"/>
  <c r="M24" i="175"/>
  <c r="G30" i="163"/>
  <c r="G21" i="119"/>
  <c r="J21" i="119" s="1"/>
  <c r="G24" i="140"/>
  <c r="G25" i="26"/>
  <c r="F42" i="26" s="1"/>
  <c r="M31" i="51"/>
  <c r="M21" i="119"/>
  <c r="F51" i="168"/>
  <c r="I51" i="168" s="1"/>
  <c r="M13" i="136"/>
  <c r="G24" i="18"/>
  <c r="J24" i="18" s="1"/>
  <c r="G21" i="173"/>
  <c r="J21" i="173" s="1"/>
  <c r="G24" i="33"/>
  <c r="J24" i="33" s="1"/>
  <c r="M25" i="37"/>
  <c r="G23" i="49"/>
  <c r="J23" i="49" s="1"/>
  <c r="G30" i="39"/>
  <c r="J30" i="39" s="1"/>
  <c r="F38" i="181"/>
  <c r="I38" i="181" s="1"/>
  <c r="J20" i="181"/>
  <c r="L13" i="181"/>
  <c r="M13" i="181" s="1"/>
  <c r="K13" i="181"/>
  <c r="I100" i="67"/>
  <c r="I102" i="67" s="1"/>
  <c r="I104" i="67" s="1"/>
  <c r="D63" i="94" s="1"/>
  <c r="I40" i="156"/>
  <c r="G24" i="131"/>
  <c r="J24" i="131" s="1"/>
  <c r="I38" i="182"/>
  <c r="I37" i="35"/>
  <c r="G20" i="146"/>
  <c r="J20" i="146" s="1"/>
  <c r="F42" i="23"/>
  <c r="G20" i="120"/>
  <c r="I43" i="174"/>
  <c r="I43" i="179"/>
  <c r="I40" i="146"/>
  <c r="I40" i="171"/>
  <c r="I44" i="33"/>
  <c r="G24" i="17"/>
  <c r="J24" i="17" s="1"/>
  <c r="G20" i="35"/>
  <c r="J20" i="35" s="1"/>
  <c r="G24" i="174"/>
  <c r="J24" i="174" s="1"/>
  <c r="M21" i="173"/>
  <c r="M18" i="162"/>
  <c r="G21" i="156"/>
  <c r="J21" i="156" s="1"/>
  <c r="I40" i="119"/>
  <c r="G19" i="34"/>
  <c r="J19" i="34" s="1"/>
  <c r="I40" i="178"/>
  <c r="I38" i="15" l="1"/>
  <c r="H40" i="15"/>
  <c r="H42" i="15" s="1"/>
  <c r="H44" i="15" s="1"/>
  <c r="H39" i="24"/>
  <c r="H41" i="24" s="1"/>
  <c r="H54" i="138"/>
  <c r="H56" i="138" s="1"/>
  <c r="H58" i="138" s="1"/>
  <c r="D79" i="94"/>
  <c r="C71" i="192" s="1"/>
  <c r="D18" i="94"/>
  <c r="C16" i="192" s="1"/>
  <c r="D48" i="94"/>
  <c r="C40" i="192" s="1"/>
  <c r="G42" i="37"/>
  <c r="G46" i="37" s="1"/>
  <c r="H57" i="37" s="1"/>
  <c r="H59" i="37" s="1"/>
  <c r="H61" i="37" s="1"/>
  <c r="G26" i="37"/>
  <c r="I42" i="119"/>
  <c r="I44" i="119" s="1"/>
  <c r="M20" i="146"/>
  <c r="L20" i="157"/>
  <c r="M5" i="157"/>
  <c r="M20" i="157" s="1"/>
  <c r="G45" i="65"/>
  <c r="G49" i="65" s="1"/>
  <c r="J45" i="65"/>
  <c r="E25" i="86"/>
  <c r="J42" i="56"/>
  <c r="G42" i="56"/>
  <c r="G46" i="56" s="1"/>
  <c r="F19" i="94"/>
  <c r="C3" i="193"/>
  <c r="F63" i="94"/>
  <c r="C17" i="193"/>
  <c r="C19" i="193" s="1"/>
  <c r="C30" i="193" s="1"/>
  <c r="M20" i="181"/>
  <c r="G18" i="177"/>
  <c r="J18" i="177" s="1"/>
  <c r="M17" i="177"/>
  <c r="J25" i="37"/>
  <c r="M29" i="149"/>
  <c r="F42" i="31"/>
  <c r="I42" i="31" s="1"/>
  <c r="G29" i="149"/>
  <c r="J29" i="149" s="1"/>
  <c r="H48" i="161"/>
  <c r="H50" i="161" s="1"/>
  <c r="H52" i="161" s="1"/>
  <c r="D39" i="94" s="1"/>
  <c r="C72" i="192"/>
  <c r="H43" i="40"/>
  <c r="H45" i="40" s="1"/>
  <c r="H42" i="27"/>
  <c r="H44" i="27" s="1"/>
  <c r="H46" i="27" s="1"/>
  <c r="D38" i="165"/>
  <c r="D40" i="165" s="1"/>
  <c r="F42" i="165" s="1"/>
  <c r="H39" i="162"/>
  <c r="H41" i="162" s="1"/>
  <c r="H43" i="162" s="1"/>
  <c r="J20" i="24"/>
  <c r="H44" i="28"/>
  <c r="H46" i="28" s="1"/>
  <c r="F7" i="141" s="1"/>
  <c r="D39" i="14"/>
  <c r="D41" i="14" s="1"/>
  <c r="F43" i="14" s="1"/>
  <c r="D46" i="94" s="1"/>
  <c r="H33" i="136"/>
  <c r="H35" i="136" s="1"/>
  <c r="H37" i="136" s="1"/>
  <c r="J20" i="63"/>
  <c r="J30" i="143"/>
  <c r="H46" i="33"/>
  <c r="H48" i="33" s="1"/>
  <c r="H50" i="33" s="1"/>
  <c r="I42" i="173"/>
  <c r="I44" i="173" s="1"/>
  <c r="I46" i="173" s="1"/>
  <c r="J23" i="172"/>
  <c r="H40" i="16"/>
  <c r="H42" i="16" s="1"/>
  <c r="H44" i="16" s="1"/>
  <c r="J25" i="26"/>
  <c r="J19" i="165"/>
  <c r="H77" i="108"/>
  <c r="H79" i="108" s="1"/>
  <c r="F6" i="46" s="1"/>
  <c r="H46" i="36"/>
  <c r="H48" i="36" s="1"/>
  <c r="H50" i="36" s="1"/>
  <c r="H54" i="52"/>
  <c r="H56" i="52" s="1"/>
  <c r="H58" i="52" s="1"/>
  <c r="H45" i="175"/>
  <c r="H47" i="175" s="1"/>
  <c r="H49" i="175" s="1"/>
  <c r="H46" i="25"/>
  <c r="H48" i="25" s="1"/>
  <c r="H50" i="25" s="1"/>
  <c r="H41" i="145"/>
  <c r="H43" i="145" s="1"/>
  <c r="H45" i="145" s="1"/>
  <c r="H44" i="29"/>
  <c r="H46" i="29" s="1"/>
  <c r="H46" i="140"/>
  <c r="H48" i="140" s="1"/>
  <c r="H50" i="140" s="1"/>
  <c r="H40" i="183"/>
  <c r="H42" i="183" s="1"/>
  <c r="H44" i="183" s="1"/>
  <c r="H42" i="157"/>
  <c r="H44" i="157" s="1"/>
  <c r="H46" i="157" s="1"/>
  <c r="H45" i="179"/>
  <c r="H47" i="179" s="1"/>
  <c r="H49" i="179" s="1"/>
  <c r="J23" i="28"/>
  <c r="J42" i="26"/>
  <c r="G42" i="26"/>
  <c r="G46" i="26" s="1"/>
  <c r="H57" i="26" s="1"/>
  <c r="H59" i="26" s="1"/>
  <c r="H61" i="26" s="1"/>
  <c r="J24" i="140"/>
  <c r="I42" i="178"/>
  <c r="I44" i="178" s="1"/>
  <c r="I46" i="178" s="1"/>
  <c r="J23" i="27"/>
  <c r="H41" i="44"/>
  <c r="H43" i="44" s="1"/>
  <c r="H43" i="55"/>
  <c r="H45" i="55" s="1"/>
  <c r="H48" i="22"/>
  <c r="H50" i="22" s="1"/>
  <c r="H52" i="22" s="1"/>
  <c r="H40" i="182"/>
  <c r="H42" i="182" s="1"/>
  <c r="H44" i="182" s="1"/>
  <c r="J27" i="161"/>
  <c r="J20" i="157"/>
  <c r="H42" i="146"/>
  <c r="H44" i="146" s="1"/>
  <c r="H46" i="146" s="1"/>
  <c r="I45" i="174"/>
  <c r="I47" i="174" s="1"/>
  <c r="I49" i="174" s="1"/>
  <c r="H45" i="38"/>
  <c r="H47" i="38" s="1"/>
  <c r="H49" i="38" s="1"/>
  <c r="H55" i="39"/>
  <c r="H57" i="39" s="1"/>
  <c r="H53" i="168"/>
  <c r="H55" i="168" s="1"/>
  <c r="H57" i="168" s="1"/>
  <c r="H45" i="49"/>
  <c r="H47" i="49" s="1"/>
  <c r="H49" i="49" s="1"/>
  <c r="H47" i="184"/>
  <c r="H49" i="184" s="1"/>
  <c r="H51" i="184" s="1"/>
  <c r="D59" i="94" s="1"/>
  <c r="I42" i="171"/>
  <c r="I44" i="171" s="1"/>
  <c r="I46" i="171" s="1"/>
  <c r="H45" i="18"/>
  <c r="H47" i="18" s="1"/>
  <c r="H49" i="18" s="1"/>
  <c r="J31" i="138"/>
  <c r="G47" i="160"/>
  <c r="G49" i="160" s="1"/>
  <c r="G51" i="160" s="1"/>
  <c r="H54" i="51"/>
  <c r="H56" i="51" s="1"/>
  <c r="H58" i="51" s="1"/>
  <c r="J30" i="163"/>
  <c r="H53" i="163"/>
  <c r="H55" i="163" s="1"/>
  <c r="H39" i="35"/>
  <c r="H41" i="35" s="1"/>
  <c r="H43" i="35" s="1"/>
  <c r="H46" i="42"/>
  <c r="H48" i="42" s="1"/>
  <c r="H50" i="42" s="1"/>
  <c r="H45" i="17"/>
  <c r="H47" i="17" s="1"/>
  <c r="H49" i="17" s="1"/>
  <c r="C8" i="192" s="1"/>
  <c r="I42" i="156"/>
  <c r="I44" i="156" s="1"/>
  <c r="I46" i="156" s="1"/>
  <c r="J21" i="180"/>
  <c r="I43" i="180"/>
  <c r="I45" i="180" s="1"/>
  <c r="I47" i="180" s="1"/>
  <c r="I33" i="137"/>
  <c r="H35" i="137"/>
  <c r="H37" i="137" s="1"/>
  <c r="H39" i="137" s="1"/>
  <c r="H40" i="181"/>
  <c r="H42" i="181" s="1"/>
  <c r="H44" i="181" s="1"/>
  <c r="L20" i="181"/>
  <c r="H40" i="120"/>
  <c r="H42" i="120" s="1"/>
  <c r="H44" i="120" s="1"/>
  <c r="J20" i="120"/>
  <c r="J21" i="155"/>
  <c r="I42" i="155"/>
  <c r="I44" i="155" s="1"/>
  <c r="I46" i="155" s="1"/>
  <c r="G46" i="131"/>
  <c r="G48" i="131" s="1"/>
  <c r="G50" i="131" s="1"/>
  <c r="H40" i="34"/>
  <c r="H42" i="34" s="1"/>
  <c r="H44" i="34" s="1"/>
  <c r="D28" i="94" s="1"/>
  <c r="H48" i="21"/>
  <c r="H50" i="21" s="1"/>
  <c r="H52" i="21" s="1"/>
  <c r="I46" i="21"/>
  <c r="H44" i="23"/>
  <c r="H46" i="23" s="1"/>
  <c r="H48" i="23" s="1"/>
  <c r="I42" i="23"/>
  <c r="I43" i="24" l="1"/>
  <c r="D68" i="94" s="1"/>
  <c r="F68" i="94" s="1"/>
  <c r="I42" i="24"/>
  <c r="F79" i="94"/>
  <c r="D60" i="94"/>
  <c r="C51" i="192" s="1"/>
  <c r="D61" i="94"/>
  <c r="C52" i="192" s="1"/>
  <c r="D26" i="94"/>
  <c r="C23" i="192" s="1"/>
  <c r="D35" i="94"/>
  <c r="C32" i="192" s="1"/>
  <c r="D36" i="94"/>
  <c r="F36" i="94" s="1"/>
  <c r="D69" i="94"/>
  <c r="F69" i="94" s="1"/>
  <c r="D62" i="94"/>
  <c r="F62" i="94" s="1"/>
  <c r="D27" i="94"/>
  <c r="C24" i="192" s="1"/>
  <c r="D29" i="94"/>
  <c r="F29" i="94" s="1"/>
  <c r="D30" i="94"/>
  <c r="C27" i="192" s="1"/>
  <c r="D37" i="94"/>
  <c r="F37" i="94" s="1"/>
  <c r="D43" i="94"/>
  <c r="C12" i="193" s="1"/>
  <c r="D34" i="94"/>
  <c r="F34" i="94" s="1"/>
  <c r="D70" i="94"/>
  <c r="F70" i="94" s="1"/>
  <c r="D57" i="94"/>
  <c r="D56" i="94"/>
  <c r="C47" i="192" s="1"/>
  <c r="D73" i="94"/>
  <c r="F73" i="94" s="1"/>
  <c r="D25" i="94"/>
  <c r="F25" i="94" s="1"/>
  <c r="D31" i="94"/>
  <c r="C28" i="192" s="1"/>
  <c r="D33" i="94"/>
  <c r="C30" i="192" s="1"/>
  <c r="D65" i="94"/>
  <c r="C55" i="192" s="1"/>
  <c r="D44" i="94"/>
  <c r="C37" i="192" s="1"/>
  <c r="D66" i="94"/>
  <c r="C56" i="192" s="1"/>
  <c r="D58" i="94"/>
  <c r="F58" i="94" s="1"/>
  <c r="D71" i="94"/>
  <c r="F71" i="94" s="1"/>
  <c r="F18" i="94"/>
  <c r="D9" i="94"/>
  <c r="C7" i="192" s="1"/>
  <c r="D13" i="94"/>
  <c r="C11" i="192" s="1"/>
  <c r="D17" i="94"/>
  <c r="C15" i="192" s="1"/>
  <c r="D15" i="94"/>
  <c r="C13" i="192" s="1"/>
  <c r="D5" i="94"/>
  <c r="C4" i="192" s="1"/>
  <c r="D7" i="94"/>
  <c r="F7" i="94" s="1"/>
  <c r="D16" i="94"/>
  <c r="C14" i="192" s="1"/>
  <c r="D11" i="94"/>
  <c r="C9" i="192" s="1"/>
  <c r="D8" i="94"/>
  <c r="C6" i="192" s="1"/>
  <c r="D12" i="94"/>
  <c r="F12" i="94" s="1"/>
  <c r="D14" i="94"/>
  <c r="F14" i="94" s="1"/>
  <c r="F48" i="94"/>
  <c r="E52" i="16"/>
  <c r="D49" i="94"/>
  <c r="C41" i="192" s="1"/>
  <c r="D47" i="94"/>
  <c r="C39" i="192" s="1"/>
  <c r="C50" i="192"/>
  <c r="I46" i="119"/>
  <c r="D32" i="94" s="1"/>
  <c r="D58" i="56"/>
  <c r="D60" i="56" s="1"/>
  <c r="D61" i="56" s="1"/>
  <c r="J46" i="56"/>
  <c r="J49" i="65"/>
  <c r="D61" i="65"/>
  <c r="F39" i="94"/>
  <c r="C7" i="193"/>
  <c r="F45" i="94"/>
  <c r="C13" i="193"/>
  <c r="F10" i="94"/>
  <c r="F80" i="94"/>
  <c r="C74" i="192"/>
  <c r="C84" i="192" s="1"/>
  <c r="H41" i="177"/>
  <c r="H43" i="177" s="1"/>
  <c r="H45" i="177" s="1"/>
  <c r="D46" i="40"/>
  <c r="F8" i="46"/>
  <c r="D44" i="44"/>
  <c r="F7" i="46"/>
  <c r="D73" i="45"/>
  <c r="J6" i="46"/>
  <c r="G6" i="46"/>
  <c r="F5" i="62"/>
  <c r="H45" i="31"/>
  <c r="H47" i="31" s="1"/>
  <c r="H49" i="31" s="1"/>
  <c r="H50" i="149"/>
  <c r="H52" i="149" s="1"/>
  <c r="H54" i="149" s="1"/>
  <c r="D40" i="94" s="1"/>
  <c r="C38" i="192"/>
  <c r="F5" i="141"/>
  <c r="J7" i="141"/>
  <c r="G7" i="141"/>
  <c r="H57" i="163"/>
  <c r="H59" i="39"/>
  <c r="F6" i="141"/>
  <c r="J46" i="26"/>
  <c r="J46" i="37"/>
  <c r="J42" i="37"/>
  <c r="C25" i="192"/>
  <c r="C59" i="192" l="1"/>
  <c r="G5" i="62"/>
  <c r="G7" i="62" s="1"/>
  <c r="J7" i="62" s="1"/>
  <c r="C48" i="192"/>
  <c r="F57" i="94"/>
  <c r="F26" i="94"/>
  <c r="F30" i="94"/>
  <c r="F44" i="94"/>
  <c r="C34" i="192"/>
  <c r="F35" i="94"/>
  <c r="F66" i="94"/>
  <c r="C63" i="192"/>
  <c r="F43" i="94"/>
  <c r="F65" i="94"/>
  <c r="C33" i="192"/>
  <c r="C26" i="192"/>
  <c r="F31" i="94"/>
  <c r="F33" i="94"/>
  <c r="C62" i="192"/>
  <c r="C31" i="192"/>
  <c r="C49" i="192"/>
  <c r="C22" i="192"/>
  <c r="C60" i="192"/>
  <c r="F56" i="94"/>
  <c r="D54" i="94"/>
  <c r="F54" i="94" s="1"/>
  <c r="C61" i="192"/>
  <c r="C53" i="192"/>
  <c r="F27" i="94"/>
  <c r="D53" i="94"/>
  <c r="C45" i="192" s="1"/>
  <c r="F13" i="94"/>
  <c r="F9" i="94"/>
  <c r="F5" i="94"/>
  <c r="F15" i="94"/>
  <c r="F17" i="94"/>
  <c r="F11" i="94"/>
  <c r="F8" i="94"/>
  <c r="F16" i="94"/>
  <c r="C5" i="192"/>
  <c r="C12" i="192"/>
  <c r="C10" i="192"/>
  <c r="D3" i="94"/>
  <c r="C3" i="192" s="1"/>
  <c r="F47" i="94"/>
  <c r="F59" i="94"/>
  <c r="C29" i="192"/>
  <c r="F32" i="94"/>
  <c r="F60" i="94"/>
  <c r="F61" i="94"/>
  <c r="F49" i="94"/>
  <c r="F28" i="94"/>
  <c r="F46" i="94"/>
  <c r="F20" i="94"/>
  <c r="C4" i="193"/>
  <c r="C5" i="193" s="1"/>
  <c r="C27" i="193" s="1"/>
  <c r="C15" i="193"/>
  <c r="C29" i="193" s="1"/>
  <c r="F40" i="94"/>
  <c r="C8" i="193"/>
  <c r="C10" i="193" s="1"/>
  <c r="C28" i="193" s="1"/>
  <c r="J5" i="46"/>
  <c r="G5" i="46"/>
  <c r="J7" i="46"/>
  <c r="G7" i="46"/>
  <c r="J8" i="46"/>
  <c r="G8" i="46"/>
  <c r="J5" i="62"/>
  <c r="J7" i="142"/>
  <c r="G7" i="142"/>
  <c r="G6" i="141"/>
  <c r="J6" i="141"/>
  <c r="G5" i="142"/>
  <c r="J5" i="142"/>
  <c r="J5" i="141"/>
  <c r="G5" i="141"/>
  <c r="G6" i="142"/>
  <c r="J6" i="142"/>
  <c r="G10" i="142" l="1"/>
  <c r="H26" i="62"/>
  <c r="H28" i="62" s="1"/>
  <c r="H30" i="62" s="1"/>
  <c r="D50" i="94" s="1"/>
  <c r="C42" i="192" s="1"/>
  <c r="C43" i="192" s="1"/>
  <c r="C80" i="192" s="1"/>
  <c r="F53" i="94"/>
  <c r="C46" i="192"/>
  <c r="C57" i="192" s="1"/>
  <c r="C81" i="192" s="1"/>
  <c r="C35" i="192"/>
  <c r="C79" i="192" s="1"/>
  <c r="C65" i="192"/>
  <c r="C82" i="192" s="1"/>
  <c r="F3" i="94"/>
  <c r="G10" i="46"/>
  <c r="G9" i="141"/>
  <c r="J9" i="141" s="1"/>
  <c r="F50" i="94" l="1"/>
  <c r="J10" i="46"/>
  <c r="H30" i="46"/>
  <c r="H28" i="141"/>
  <c r="H30" i="141" s="1"/>
  <c r="H32" i="141" s="1"/>
  <c r="J10" i="142"/>
  <c r="H29" i="142"/>
  <c r="H31" i="142" s="1"/>
  <c r="H33" i="142" s="1"/>
  <c r="H54" i="186"/>
  <c r="D22" i="94" l="1"/>
  <c r="F22" i="94" s="1"/>
  <c r="D76" i="94"/>
  <c r="C67" i="192" s="1"/>
  <c r="C69" i="192" s="1"/>
  <c r="C83" i="192" s="1"/>
  <c r="H32" i="46"/>
  <c r="H34" i="46" s="1"/>
  <c r="D75" i="94" s="1"/>
  <c r="C18" i="192" l="1"/>
  <c r="C20" i="192" s="1"/>
  <c r="C78" i="192" s="1"/>
  <c r="F76" i="94"/>
  <c r="C21" i="193"/>
  <c r="C22" i="193" s="1"/>
  <c r="C31" i="193" s="1"/>
  <c r="F75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FAIZAN</author>
  </authors>
  <commentList>
    <comment ref="F28" authorId="0" shapeId="0" xr:uid="{2A90480F-AB2E-4573-9800-8361B5B3B236}">
      <text>
        <r>
          <rPr>
            <b/>
            <sz val="9"/>
            <color indexed="81"/>
            <rFont val="Tahoma"/>
            <family val="2"/>
          </rPr>
          <t>FAIZAN:</t>
        </r>
        <r>
          <rPr>
            <sz val="9"/>
            <color indexed="81"/>
            <rFont val="Tahoma"/>
            <family val="2"/>
          </rPr>
          <t xml:space="preserve">
Cambio a lamina impresa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Analista ID</author>
  </authors>
  <commentList>
    <comment ref="C13" authorId="0" shapeId="0" xr:uid="{C9D74D12-E3B2-492D-8B97-0BFB45801DFF}">
      <text>
        <r>
          <rPr>
            <b/>
            <sz val="9"/>
            <color indexed="81"/>
            <rFont val="Tahoma"/>
            <family val="2"/>
          </rPr>
          <t>Analista ID:</t>
        </r>
        <r>
          <rPr>
            <sz val="9"/>
            <color indexed="81"/>
            <rFont val="Tahoma"/>
            <family val="2"/>
          </rPr>
          <t xml:space="preserve">
Tecnas: 54,208
Visdecol: 99,488</t>
        </r>
      </text>
    </comment>
    <comment ref="C21" authorId="0" shapeId="0" xr:uid="{4C62DE4F-CE79-4CEB-AFCF-92697F0CACA0}">
      <text>
        <r>
          <rPr>
            <b/>
            <sz val="9"/>
            <color indexed="81"/>
            <rFont val="Tahoma"/>
            <family val="2"/>
          </rPr>
          <t>Analista ID:</t>
        </r>
        <r>
          <rPr>
            <sz val="9"/>
            <color indexed="81"/>
            <rFont val="Tahoma"/>
            <family val="2"/>
          </rPr>
          <t xml:space="preserve">
Tecnas: 86900
Visdecol: 125,000
</t>
        </r>
      </text>
    </comment>
    <comment ref="C22" authorId="0" shapeId="0" xr:uid="{E2EFF15F-854B-4E10-AF9C-2B496272B2FB}">
      <text>
        <r>
          <rPr>
            <b/>
            <sz val="9"/>
            <color indexed="81"/>
            <rFont val="Tahoma"/>
            <family val="2"/>
          </rPr>
          <t>Analista ID:</t>
        </r>
        <r>
          <rPr>
            <sz val="9"/>
            <color indexed="81"/>
            <rFont val="Tahoma"/>
            <family val="2"/>
          </rPr>
          <t xml:space="preserve">
Visdecol 1 kg: 21,23
22kg: 20,66
</t>
        </r>
      </text>
    </comment>
    <comment ref="C23" authorId="0" shapeId="0" xr:uid="{20D17266-5D45-451E-A92A-BCD83C2B0E9F}">
      <text>
        <r>
          <rPr>
            <b/>
            <sz val="9"/>
            <color indexed="81"/>
            <rFont val="Tahoma"/>
            <family val="2"/>
          </rPr>
          <t>Analista ID:</t>
        </r>
        <r>
          <rPr>
            <sz val="9"/>
            <color indexed="81"/>
            <rFont val="Tahoma"/>
            <family val="2"/>
          </rPr>
          <t xml:space="preserve">
Visdecol:29,263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Analista ID</author>
  </authors>
  <commentList>
    <comment ref="E42" authorId="0" shapeId="0" xr:uid="{B6477C43-D6FF-4C50-9339-5320AA1BF172}">
      <text>
        <r>
          <rPr>
            <b/>
            <sz val="9"/>
            <color indexed="81"/>
            <rFont val="Tahoma"/>
            <family val="2"/>
          </rPr>
          <t>Analista ID:</t>
        </r>
        <r>
          <rPr>
            <sz val="9"/>
            <color indexed="81"/>
            <rFont val="Tahoma"/>
            <family val="2"/>
          </rPr>
          <t xml:space="preserve">
PL500072550-1          MRB 190 AZUL EASY PEEL 
Precio x mto: us 0,3066.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<sst xmlns="http://schemas.openxmlformats.org/spreadsheetml/2006/main" count="9272" uniqueCount="1376">
  <si>
    <t>CÓDIGO</t>
  </si>
  <si>
    <t>DESCRIPCIÓN</t>
  </si>
  <si>
    <t>CATIDAD</t>
  </si>
  <si>
    <t>%</t>
  </si>
  <si>
    <t>MPII311</t>
  </si>
  <si>
    <t>MPCP044</t>
  </si>
  <si>
    <t>MPCP031</t>
  </si>
  <si>
    <t>MPCC043</t>
  </si>
  <si>
    <t>MPCC012</t>
  </si>
  <si>
    <t>MPPA144</t>
  </si>
  <si>
    <t>ALMIDON DE PAPA SACO X 25 KILOS .</t>
  </si>
  <si>
    <t>MPPA154</t>
  </si>
  <si>
    <t>PROTEÍNA DE SOYA AL 70%. WILCON SJ. SACO X 20 KILOS</t>
  </si>
  <si>
    <t>MPPA168</t>
  </si>
  <si>
    <t>PROTEÍNA COLAGÉNICA COLLAPRO P -950. SACO X 12,5 KILOS.</t>
  </si>
  <si>
    <t>MPPA151</t>
  </si>
  <si>
    <t>PLASMA APROPORK. SACO X 20 KILOS.</t>
  </si>
  <si>
    <t>MPPS150</t>
  </si>
  <si>
    <t>SAL YODADA REFISAL. SACO X 25 KILOS.</t>
  </si>
  <si>
    <t>MPPC112</t>
  </si>
  <si>
    <t>MEZCLA LÍQUIDA PARA SABORIZAR SALCHICHA. BOLSA X 2.7 KILOS. CAJA X 24,3 KILOS</t>
  </si>
  <si>
    <t>MPLR191</t>
  </si>
  <si>
    <t>PVH LIQUIDA - M - 1222. CANECA X 70 KILOS.</t>
  </si>
  <si>
    <t>MPPA134</t>
  </si>
  <si>
    <t>EXTRACTO PROTEICO LC 300. Saco x 25 kg.</t>
  </si>
  <si>
    <t>MPPN323</t>
  </si>
  <si>
    <t>CONSERVANTE INBAC ACN/NA. CAJA X 25 KILOS.</t>
  </si>
  <si>
    <t>MPPD172</t>
  </si>
  <si>
    <t>MEZCLA DE FOSFATOS (CARFOSEL 996). SACO X 25 KILOS.</t>
  </si>
  <si>
    <t>MPPS151</t>
  </si>
  <si>
    <t>SAL CURANTE AL 12 %. SACO X 25 KILOS.</t>
  </si>
  <si>
    <t>MPLO214</t>
  </si>
  <si>
    <t>COLOR NATURAL ROJO AC305RWS. GARRAFA X 4 KILOS.</t>
  </si>
  <si>
    <t>MPPD161</t>
  </si>
  <si>
    <t>ERITORBATO DE SODIO. CAJA X 25 KILOS.</t>
  </si>
  <si>
    <t>MPLO215</t>
  </si>
  <si>
    <t>COLOR NATURAL NARANJA  PR801 WD. GARRAFA X 10 KILOS.</t>
  </si>
  <si>
    <t>TOTAL</t>
  </si>
  <si>
    <t>Linea</t>
  </si>
  <si>
    <t>Referencia</t>
  </si>
  <si>
    <t>Presentación en Gramos</t>
  </si>
  <si>
    <t>Máquina</t>
  </si>
  <si>
    <t>Cocción</t>
  </si>
  <si>
    <t>Frío</t>
  </si>
  <si>
    <t>Recorte</t>
  </si>
  <si>
    <t>Sobrepeso</t>
  </si>
  <si>
    <t>Merma Total</t>
  </si>
  <si>
    <t>MATERIAL DE EMPAQUE</t>
  </si>
  <si>
    <t>ASIGNACIÓN MOD/CIF</t>
  </si>
  <si>
    <t>PRECIO DE VENTA</t>
  </si>
  <si>
    <t>MERMAS</t>
  </si>
  <si>
    <t>MPES186</t>
  </si>
  <si>
    <t>Lámina Inferior Sudpack GVP 130-423 mm (5.0 mils). 1 Rollo x 350 metros</t>
  </si>
  <si>
    <t>AGUA POTABLE.</t>
  </si>
  <si>
    <t>MPCP033</t>
  </si>
  <si>
    <t>PASTA DE POLLO NACIONAL ALIPAQ</t>
  </si>
  <si>
    <t>EMULSION (Piel de Cerdo) - Tocino Partes Magras</t>
  </si>
  <si>
    <t>REPROCESO 1: MORTADELA FAIZAN-VIANDE</t>
  </si>
  <si>
    <t>TOCINO LOMO CONGELADO IMPORTADO</t>
  </si>
  <si>
    <t>MPPC109</t>
  </si>
  <si>
    <t>CONDIMENTO AJIAROMA M - C100. BOLSA X 1 KILO.</t>
  </si>
  <si>
    <t>MPPS104</t>
  </si>
  <si>
    <t>AJO MOLIDO DESHIDRATADO B. 1. CAJA X 20 KILOS. (LA CAMPANA)</t>
  </si>
  <si>
    <t>MPPC119</t>
  </si>
  <si>
    <t>SABORIZANTE A POLLO SV. BOLSA X 1 KILO</t>
  </si>
  <si>
    <t>MPPS153</t>
  </si>
  <si>
    <t>CEBOLLA EN POLVO B.1. CAJA X 20 KILOS. (LA CAMPANA)</t>
  </si>
  <si>
    <t>MPPS154</t>
  </si>
  <si>
    <t>PIMIENTA MOLIDA BLANCA. BOLSA X 1 KILO. (TECNAS)</t>
  </si>
  <si>
    <t xml:space="preserve">Salchichones </t>
  </si>
  <si>
    <t>MPEP434</t>
  </si>
  <si>
    <t>Grapas Poly-Clip GMBH R-ID M 07-150 Carrete x 6,800 unidades</t>
  </si>
  <si>
    <t>TOTAL INSUMOS (UND 225G)</t>
  </si>
  <si>
    <t>TOTAL COSTO POR UND (225 G)</t>
  </si>
  <si>
    <t>TOTAL COSTO POR UND (225G)</t>
  </si>
  <si>
    <t>MPPC120</t>
  </si>
  <si>
    <t>AROMA SALCHICHON TRADICIONAL 84987B. GARRAFA X 5 KILOS</t>
  </si>
  <si>
    <t>PASTA DE POLLO IMPORTADA TYSON USA</t>
  </si>
  <si>
    <t>MPPD168</t>
  </si>
  <si>
    <t>CARRAGENINA CEAMGEL M 9396. SACO X 25 KILOS.</t>
  </si>
  <si>
    <t>MPPD160</t>
  </si>
  <si>
    <t>MEZCLA DE FOSFATOS (CARNAL 961). SACO X 25 KILOS.</t>
  </si>
  <si>
    <t xml:space="preserve">Barras </t>
  </si>
  <si>
    <t>MPEP431</t>
  </si>
  <si>
    <t>Fibrosa FVP CLS 95 B3 4 H3 Natural Corrugado. (Mortadela)</t>
  </si>
  <si>
    <t xml:space="preserve"> </t>
  </si>
  <si>
    <t>MPPO142</t>
  </si>
  <si>
    <t>COLOR NATURAL HEMOGLOBINA. I RED. BOLSA X 1 KILO.</t>
  </si>
  <si>
    <t>MPPH147</t>
  </si>
  <si>
    <t>HUMO TRUSMOKE OIL EX. GARRAFA X 20 KG</t>
  </si>
  <si>
    <t xml:space="preserve">Especiales </t>
  </si>
  <si>
    <t>Lámina Inferior Sudpack GVA 200 BT 323 MM (8.MILS) 1 Rollo x 300 metros</t>
  </si>
  <si>
    <t>TOTAL COSTO POR UND (500)</t>
  </si>
  <si>
    <t>MPCC034</t>
  </si>
  <si>
    <t>PIERNA DE CERDO. Molienda x Disco Riñon</t>
  </si>
  <si>
    <t>MPCC010</t>
  </si>
  <si>
    <t>BRAZUELO DE CERDO.</t>
  </si>
  <si>
    <t>MPII310</t>
  </si>
  <si>
    <t>HIELO EN ESCAMAS (BOLSA X 20 KILOS)</t>
  </si>
  <si>
    <t>MPLS190</t>
  </si>
  <si>
    <t>PREPARADO SABOR JAMÓN T 3391 x 4 KG LÍQUIDO</t>
  </si>
  <si>
    <t>MPPC077</t>
  </si>
  <si>
    <t>TAROMA HAM. BOLSA X 5 KILOS</t>
  </si>
  <si>
    <t>MPPS152</t>
  </si>
  <si>
    <t>DEXTROSA. BOLSA X 1 KILO.</t>
  </si>
  <si>
    <t>MPPC115</t>
  </si>
  <si>
    <t>CONDIMENTO AJIAROMA M - M100. BOLSA X 1 KILO</t>
  </si>
  <si>
    <t>MPPH141</t>
  </si>
  <si>
    <t>HUMO CHARDEX EN POLVO X 18 KG</t>
  </si>
  <si>
    <t>TOTAL PTO.</t>
  </si>
  <si>
    <t>INGREDIENTES CÁRNICOS</t>
  </si>
  <si>
    <t>PATRÓN           (%)</t>
  </si>
  <si>
    <t xml:space="preserve">TOTAL FORMULA </t>
  </si>
  <si>
    <t>Barras</t>
  </si>
  <si>
    <t>Jamón Premium Faizan</t>
  </si>
  <si>
    <t>TOTAL COSTO POR UND (2500)</t>
  </si>
  <si>
    <t>-</t>
  </si>
  <si>
    <t>REPELE (CHARQUEADO)</t>
  </si>
  <si>
    <t>TOCINO CINTA</t>
  </si>
  <si>
    <t>MPPS102</t>
  </si>
  <si>
    <t>REACTYNSH2 TRASGLUTAMINASA BOLSA X 1 KG</t>
  </si>
  <si>
    <t>MPPS095</t>
  </si>
  <si>
    <t>PIMIENTA NEGRA MOLIDA. BOLSA X 1 KILO. (TECNAS)</t>
  </si>
  <si>
    <t>Picados</t>
  </si>
  <si>
    <t>Salchicha Desayuno Premium</t>
  </si>
  <si>
    <t>MPEP355</t>
  </si>
  <si>
    <t>MPES407</t>
  </si>
  <si>
    <t xml:space="preserve">Lámina Superior Impresa Transparente ECOWEB M/PAUV 42 Micras. 301 MM. 1 Rollo x 1500 metros </t>
  </si>
  <si>
    <t>MPES202</t>
  </si>
  <si>
    <t>Lámina Inferior Sudpack GVP 130-323 mm (5.0 mils). 1 Rollo x 350 metros</t>
  </si>
  <si>
    <t>MPCC019</t>
  </si>
  <si>
    <t>GRASA EMPELLA</t>
  </si>
  <si>
    <t>TOTAL COSTO POR UND (200)</t>
  </si>
  <si>
    <t>MPCC026</t>
  </si>
  <si>
    <t>% MILANESA</t>
  </si>
  <si>
    <t>% BATTER+BRETTER</t>
  </si>
  <si>
    <t>MILANESA</t>
  </si>
  <si>
    <t>BATTER</t>
  </si>
  <si>
    <t>BRETTER</t>
  </si>
  <si>
    <t>CERVECERO FAIZAN X 500 G</t>
  </si>
  <si>
    <t>EMULSIÓN ABLANDADA. Disco 6 mm</t>
  </si>
  <si>
    <t>MIPS003</t>
  </si>
  <si>
    <t>GRANULOS DE PROTEÍNA. CANASTA X 25 KILOS.</t>
  </si>
  <si>
    <t>TOCINO LOMO CONGELADO IMPORTADO. Disco 6 mm</t>
  </si>
  <si>
    <t>PROTEÍNA DE SOYA AL 70%. WILCON SJ. SACO X 20 KILOS.</t>
  </si>
  <si>
    <t>MPCC036</t>
  </si>
  <si>
    <t>PAPADA DE CERDO. Disco 6mm.</t>
  </si>
  <si>
    <t>MPPC075</t>
  </si>
  <si>
    <t>PREPARADO SABOR  CERVECERO NEO. BOLSA X 7,03 KILOS.</t>
  </si>
  <si>
    <t>MPPH142</t>
  </si>
  <si>
    <t>CEBOLLA EN POLVO B.1. CAJA X 20 KILOS. (LA CAMPANA).</t>
  </si>
  <si>
    <t>Salchichones</t>
  </si>
  <si>
    <t>Salchichón Cervecero Faizán</t>
  </si>
  <si>
    <t>MPES106</t>
  </si>
  <si>
    <t>Tubular Salchichón Cervecero x 500 gramos</t>
  </si>
  <si>
    <t>TOTAL INSUMOS (UND 500 G)</t>
  </si>
  <si>
    <t>CERVECERO FAIZAN X 750 G</t>
  </si>
  <si>
    <t>MPES100</t>
  </si>
  <si>
    <t>Tubular Salchichón Cervecero x 750 gramos</t>
  </si>
  <si>
    <t>Lazos Poly-Clip LTDA GSA22 Rollo x 3.500 unidades de Lazadas</t>
  </si>
  <si>
    <t>MPEP956</t>
  </si>
  <si>
    <t>TOTAL INSUMOS (UND 750 G)</t>
  </si>
  <si>
    <t>TOTAL COSTO POR UND (750)</t>
  </si>
  <si>
    <t>CERVECERO FAIZAN X 1500 G</t>
  </si>
  <si>
    <t>Tubular Salchichón Cervecero 1.500 gramos</t>
  </si>
  <si>
    <t>MPES133</t>
  </si>
  <si>
    <t>SALCHICHA SUPER PERRO X 2.5 - 50 UNDS</t>
  </si>
  <si>
    <t>Salchichas</t>
  </si>
  <si>
    <t>MPEP380</t>
  </si>
  <si>
    <t>Funda Celulosa Nojax 20 x 100 Tubo x 30,48 metros. Caja x 200 tubos x 6,096 metros</t>
  </si>
  <si>
    <t>MPES158</t>
  </si>
  <si>
    <t>Lámina Superior Impresa Salchicha SúperPerro x 2.500 gramos x 50 unidades.</t>
  </si>
  <si>
    <t>MPES964</t>
  </si>
  <si>
    <t>TOTAL INSUMOS (UND 2500 G)</t>
  </si>
  <si>
    <t>SALCHICHA  MINI PERRO X 1.0 - 40 UNDS</t>
  </si>
  <si>
    <t>Funda Celulosa 18 x 100 (Cartón x 9.144 metros x 300 tubos,C/tubo x 30.48 metros. 6 caddy x 50 tubos)</t>
  </si>
  <si>
    <t>MPES159</t>
  </si>
  <si>
    <t>Lámina Superior Impresa Salchicha Miniperro x 1.000 gramos x 40 unidades.</t>
  </si>
  <si>
    <t>TOTAL INSUMOS (UND 1000 G)</t>
  </si>
  <si>
    <t>TOTAL COSTO POR UND (1000)</t>
  </si>
  <si>
    <t>MPPC097</t>
  </si>
  <si>
    <t>PREPARADO SABOR CHORIZO TERNERA SEVILLA X 3,83 KG</t>
  </si>
  <si>
    <t>MPPO134</t>
  </si>
  <si>
    <t>COLOR LOY.(NARAN. LIQ. A10-1). TARRO X 1 KILO.</t>
  </si>
  <si>
    <t>MPPO135</t>
  </si>
  <si>
    <t>COLOR NATURAL NARANJA LIQUIDO RA 40 - 3 9827 AF. GALÓN x 4 KILOS.</t>
  </si>
  <si>
    <t>Chorizo con Ternera</t>
  </si>
  <si>
    <t>MPEP354</t>
  </si>
  <si>
    <t>Funda Colageno NDX 26/60 (cartón x 4,718 metros x 258 tubos, C/tubo x 18.29 metros. 6 Caddy x 43 tubos C/U)</t>
  </si>
  <si>
    <t>MPES179</t>
  </si>
  <si>
    <t>Lámina Superior Impresa Chorizo Con Ternera x 1,020 gramos x 17 unidades</t>
  </si>
  <si>
    <t>TOTAL COSTO POR UND (1020)</t>
  </si>
  <si>
    <t>MPES178</t>
  </si>
  <si>
    <t>Lámina Superior Impresa Chorizo Con Ternera x 480 gramos x 8 unidades</t>
  </si>
  <si>
    <t>TOTAL INSUMOS (UND 480 G)</t>
  </si>
  <si>
    <t>TOTAL COSTO POR UND (480)</t>
  </si>
  <si>
    <t>TOTAL INSUMOS (UND 400G)</t>
  </si>
  <si>
    <t>TOTAL COSTO POR UND (400)</t>
  </si>
  <si>
    <t>MPEP424</t>
  </si>
  <si>
    <t>Fibrosa FVP CLS 140 B5 4 H5 Natural Corrugado. (Viandé)</t>
  </si>
  <si>
    <t>MPEP969</t>
  </si>
  <si>
    <t>Clips HC25-3218T. Carrete x 2,400 unidades.</t>
  </si>
  <si>
    <t>MPES002</t>
  </si>
  <si>
    <t>Lámina Superior Impresa Jamón de Cerdo Premium x 400 gramos x 20 tajadas. Ancho 415 mm. PET // Coext. HBA (PE-EVOH) Abre fácil Pig. Blanco. 60 micras.</t>
  </si>
  <si>
    <t>Lámina Inferior Modflex 180 micras (280m/rollo). 7 mils - 423 mm</t>
  </si>
  <si>
    <t>MPES462</t>
  </si>
  <si>
    <t>JAMÓN PREMIUM FAIZAN 400 G - 20 UNDS.</t>
  </si>
  <si>
    <t>JAMÓN PREMIUM FAIZAN 200 G - 10 UNDS.</t>
  </si>
  <si>
    <t>MPES001</t>
  </si>
  <si>
    <t>Lámina Superior Impresa Jamón de Cerdo Premium x 200 gramos x 10 tajadas. Ancho 415 mm. PET // Coext. HBA (PE-EVOH) Abre fácil Pig. Blanco. 60 micras.</t>
  </si>
  <si>
    <t>TOTAL INSUMOS (UND 200G)</t>
  </si>
  <si>
    <t>HAMBURGUESA (CAJA) X 2700 G - 30 UND.</t>
  </si>
  <si>
    <t>829</t>
  </si>
  <si>
    <t>MPPC094</t>
  </si>
  <si>
    <t>ADITIVO BURGER MEAT 80-B NATUR. BOLSA X 5 KILOS.</t>
  </si>
  <si>
    <t>MPPA122</t>
  </si>
  <si>
    <t>PROTEÍNA DE SOYA AL 70%. ARCON T (Hojuelas). SACO X 11.34 KILOS</t>
  </si>
  <si>
    <t>MPLO211</t>
  </si>
  <si>
    <t>COLOR CARAMELO. GARRAFA X 20 KILOS.</t>
  </si>
  <si>
    <t>MPPS157</t>
  </si>
  <si>
    <t>COMINO MOLIDO B.1. BOLSA X 1 KILO. (LA CAMPANA)</t>
  </si>
  <si>
    <t>Carne Cruda Congelada (Amarilla)</t>
  </si>
  <si>
    <t>MPES654</t>
  </si>
  <si>
    <t>Separador 15 cm x 15 cm Impreso Highpack</t>
  </si>
  <si>
    <t>MPES959</t>
  </si>
  <si>
    <t>Caja Hamburguesa x 2.700 gramos</t>
  </si>
  <si>
    <t>MPES513</t>
  </si>
  <si>
    <t>Bolsa AD BCO Impresa FAIZAN 23x25 + 4 cm en 1.0 ML</t>
  </si>
  <si>
    <t>TOTAL INSUMOS (UND 2700G)</t>
  </si>
  <si>
    <t>TOTAL COSTO POR UND (2700)</t>
  </si>
  <si>
    <t>HAMBURGUESA X 900 G - 10 UND.</t>
  </si>
  <si>
    <t>MPES137</t>
  </si>
  <si>
    <t>Bolsa Impresa Amarilla Hamburguesa  x 900 gramos x 10 unidades. Canal Moderno. Bolsa Flex Up Pet//PEBD 70 micras</t>
  </si>
  <si>
    <t>SCHA DESAYUNO 480 G - 14 UNDS</t>
  </si>
  <si>
    <t>MPEP410</t>
  </si>
  <si>
    <t>Funda Celulosa 23 USA x 4 CE S (Cartón x 7.680 metros x 300 tubos,C/tubo x 25.6 metros. 6 caddy x 50 tubos)</t>
  </si>
  <si>
    <t>MPES219</t>
  </si>
  <si>
    <t>Etiqueta Salchicha Premium Gruecitas x 480 gramos x 14 unidades.</t>
  </si>
  <si>
    <t>MPCP057</t>
  </si>
  <si>
    <t>PIEL DE PAVO IMPORTADA AGROSUPER</t>
  </si>
  <si>
    <t>RECORTE DE PECHUGA 95/5. SIN PIEL</t>
  </si>
  <si>
    <t>MPCC020</t>
  </si>
  <si>
    <t>PIERNA DE CERDO</t>
  </si>
  <si>
    <t>MPPO140</t>
  </si>
  <si>
    <t>ENTURBIANTE EN POLVO DPA X 1 KILO</t>
  </si>
  <si>
    <t xml:space="preserve">Milanesa </t>
  </si>
  <si>
    <t>APANADO</t>
  </si>
  <si>
    <t>PP BATIDO PREPARADO</t>
  </si>
  <si>
    <t>TOTAL INSUMOS (UND 1800 G)</t>
  </si>
  <si>
    <t>INGREDIENTES ADICIONALES</t>
  </si>
  <si>
    <t>MPEP352</t>
  </si>
  <si>
    <t xml:space="preserve">Multiflex 180 mm. Transparente sin impresión. Para Milanesa. </t>
  </si>
  <si>
    <t>MPES138</t>
  </si>
  <si>
    <t>Bolsa Amarilla Impresa Milanesa x 1.800 gramos x 15 Unidades. Canal Intitucional. Bolsa Plana Pet//PEDB 70 micras</t>
  </si>
  <si>
    <t>BATTER+BRETTER</t>
  </si>
  <si>
    <t>PICK UP MILANESA</t>
  </si>
  <si>
    <t xml:space="preserve">PP MEZCLA MILANESA </t>
  </si>
  <si>
    <t>PP APANADO MILANESA</t>
  </si>
  <si>
    <t>SCHA MANGUERA 560 G - 6 UND</t>
  </si>
  <si>
    <t>Salchicha Manguera</t>
  </si>
  <si>
    <t>TOTAL INSUMOS (UND 560 G)</t>
  </si>
  <si>
    <t>MPPC117</t>
  </si>
  <si>
    <t>MEZCLA LIQUIDA PARA SABORIZAR SALCHICHA MANGUERA. BOLSA X 8 KILOS</t>
  </si>
  <si>
    <t>MPEP955</t>
  </si>
  <si>
    <t>Polijax 20 X 110 Impresa. Tubo x 33.53 metros. Caja x 300 tubos x 10.058 metros</t>
  </si>
  <si>
    <t>MPES155</t>
  </si>
  <si>
    <t>Etiqueta Megasalchicha x 560 gramos x 6 unidades</t>
  </si>
  <si>
    <t>TOTAL COSTO POR UND (560)</t>
  </si>
  <si>
    <t>Salchichón Pollo x 225</t>
  </si>
  <si>
    <t>MPES161</t>
  </si>
  <si>
    <t xml:space="preserve">Tubular Salchichón Pollo X 225 gramos Cal 40 </t>
  </si>
  <si>
    <t>SCHON POLLO X 225 G</t>
  </si>
  <si>
    <t>SCHON AUTENTICO X 225 G</t>
  </si>
  <si>
    <t xml:space="preserve">Salchichón Autentico </t>
  </si>
  <si>
    <t>MPEP405</t>
  </si>
  <si>
    <t>Grapas Poly-Clip GMBH 15-08 5 x 1,5 Carrete x 5,500 unidades</t>
  </si>
  <si>
    <t>MPES162</t>
  </si>
  <si>
    <t xml:space="preserve">Tubular Salchichón Auténtico x 225 gramos. Cal 40 </t>
  </si>
  <si>
    <t>MPPC110</t>
  </si>
  <si>
    <t>SABOR ITALIAN MORTADELA FLAVOUR SACO X 15 KILOS</t>
  </si>
  <si>
    <t>Mortadela Faizan</t>
  </si>
  <si>
    <t>MPES188</t>
  </si>
  <si>
    <t>Lámina Superior Impresa Mortadela x 225 gramos x 14 unidades. Con Código. Ancho = 415 mm. (Pet / coextrusión HBA 70 micras).</t>
  </si>
  <si>
    <t>SCHA CLÁSICA   225 G - 9 UNDS</t>
  </si>
  <si>
    <t>Salchicha Clásica</t>
  </si>
  <si>
    <t>MPES190</t>
  </si>
  <si>
    <t>Lámina Superior Impresa Salchicha x 225 gramos x 9 unidades. Sin Código. Ancho = 415 mm. (Pet / coextrusión HBA 70 micras).</t>
  </si>
  <si>
    <t>MEGA COMBO FAIZAN 900 G</t>
  </si>
  <si>
    <t>10090O</t>
  </si>
  <si>
    <t>SALCHICHA CLASICA FAIZAN X 225 GRAMOS OFERTA</t>
  </si>
  <si>
    <t>SALCHICHÓN AUTÉNTICO X 225 GRAMOS</t>
  </si>
  <si>
    <t>20018O</t>
  </si>
  <si>
    <t>MORTADELA SELECCIONADA X 225 GRAMOS OFERTA</t>
  </si>
  <si>
    <t>SALCHICÓN DE POLLO X 225 GRAMOS</t>
  </si>
  <si>
    <t xml:space="preserve">Ofertas </t>
  </si>
  <si>
    <t>Mega Combo</t>
  </si>
  <si>
    <t>MPES251</t>
  </si>
  <si>
    <t xml:space="preserve">Lámina Superior Impresa Mega Combo Faizán x 900 gramos </t>
  </si>
  <si>
    <t>PICK UP           (%)</t>
  </si>
  <si>
    <t>TOTAL INSUMOS (UND 1500 G)</t>
  </si>
  <si>
    <t>TOTAL COSTO POR UND (1500)</t>
  </si>
  <si>
    <t>TOTAL INSUMOS (UND 900G)</t>
  </si>
  <si>
    <t>TOTAL COSTO POR UND (900 G)</t>
  </si>
  <si>
    <t>TOTAL COSTO POR UND (1800)</t>
  </si>
  <si>
    <t>TOTAL INSUMOS (UND 225 G)</t>
  </si>
  <si>
    <t>TOTAL COSTO POR UND (900)</t>
  </si>
  <si>
    <t xml:space="preserve">AGO -       COP / Kg </t>
  </si>
  <si>
    <t>AGO - 
COP / APP</t>
  </si>
  <si>
    <t>JUL - 
COP / APP</t>
  </si>
  <si>
    <t>JUL- 
COP / Kg.</t>
  </si>
  <si>
    <t>Perro</t>
  </si>
  <si>
    <t>MPES985</t>
  </si>
  <si>
    <t>Etiqueta Salchicha Perro Caliente x 480 gramos x 12 unidades</t>
  </si>
  <si>
    <t xml:space="preserve">Chorizos </t>
  </si>
  <si>
    <t>MPES401</t>
  </si>
  <si>
    <t xml:space="preserve">Lámina Superior Impresa Transparente ECOWEB M/PAUV 60 mm (2 mils) 30,1 cm. 1 Rollo x 800 metros </t>
  </si>
  <si>
    <t>MPES171</t>
  </si>
  <si>
    <t xml:space="preserve">Etiqueta Chorizo Ternera x 120 gramos x 2 unidades. </t>
  </si>
  <si>
    <t>TOTAL COSTO POR UND (120)</t>
  </si>
  <si>
    <t>AGO -       COP / UMB</t>
  </si>
  <si>
    <t>HAMBURGUESA X 450 G - 5 UND.</t>
  </si>
  <si>
    <t>Carne Cruda Congelada (Roja)</t>
  </si>
  <si>
    <t>MPES143</t>
  </si>
  <si>
    <t>Bolsa Impresa Roja Hamburguesa  x 450 gramos x 5 unidades. Canal Moderno. Bolsa Flex Up Pet//PEBD 80 micras</t>
  </si>
  <si>
    <t>Desayuno Premium</t>
  </si>
  <si>
    <t>MPES949</t>
  </si>
  <si>
    <t>Etiqueta Salchicha Desayuno Premium x 125 Gramos x 5 Unidades</t>
  </si>
  <si>
    <t>TOTAL INSUMOS (UND 600 G)</t>
  </si>
  <si>
    <t>TOTAL COSTO POR UND (600)</t>
  </si>
  <si>
    <t>SCHON AUTENTICO X 750 G</t>
  </si>
  <si>
    <t>MPES994</t>
  </si>
  <si>
    <t>Tubular Salchichón Tradicional x 750 Gramos Cal 44</t>
  </si>
  <si>
    <t>JUL- 
COP / UMB.</t>
  </si>
  <si>
    <t>TOTAL COSTO POR UND (750 G)</t>
  </si>
  <si>
    <t>MDELA FAIZAN X 225 G - 14 UND CC</t>
  </si>
  <si>
    <t>MDELA FAIZAN X 225 G - 14 UND SC</t>
  </si>
  <si>
    <t>MEZCLA SABOR MORTADELA DROP TECH</t>
  </si>
  <si>
    <t>MPPC122</t>
  </si>
  <si>
    <t>JUL- 
COP / UMB</t>
  </si>
  <si>
    <t>SCHON POLLO BRAKEL X 225 G</t>
  </si>
  <si>
    <t>Tubular Salchichón Pollo Bakel x 225 Gramos. Cal 40</t>
  </si>
  <si>
    <t>MPES207</t>
  </si>
  <si>
    <t>SCHON POLLO BRAKEL X 500 G</t>
  </si>
  <si>
    <t>Salchichón Pollo Brakel</t>
  </si>
  <si>
    <t>MPES968</t>
  </si>
  <si>
    <t>Caja Koba Salchichón de Pollo Brakel x 500 gramos (15 unidades)</t>
  </si>
  <si>
    <t>MPES206</t>
  </si>
  <si>
    <t>Tubular Salchichón Pollo Bakel x 500 Gramos. Cal 44</t>
  </si>
  <si>
    <t>SCHON TRADICIONAL VIANDÉ X 500 G</t>
  </si>
  <si>
    <t>Salchichón Tradicional Viandé</t>
  </si>
  <si>
    <t>MPES208</t>
  </si>
  <si>
    <t>Tubular Salchichón Tradicional Viande x 500 Gramos. Cal 44</t>
  </si>
  <si>
    <t>MPES972</t>
  </si>
  <si>
    <t>Caja Koba Salchichón Tradicional Viandé x 500 gramos (15 unidades)</t>
  </si>
  <si>
    <t>TOTAL COSTO POR UND (500 G)</t>
  </si>
  <si>
    <t>Lámina Superior Mortadela Seleccionada Viandé x 225 gramos x 17 unidades. Ancho = 415 mm. (Pet / coextrusión HBA 70 micras).</t>
  </si>
  <si>
    <t>MPES182</t>
  </si>
  <si>
    <t>SCHON CERVECERO VIANDÉ X 225 G</t>
  </si>
  <si>
    <t>GRANULOS DE PROTEÍNA</t>
  </si>
  <si>
    <t>MPPA164</t>
  </si>
  <si>
    <t>PROTEÍNA DE SOYA AL 69%. ARCON MM. SACO X 20 KILOS</t>
  </si>
  <si>
    <t>MPPC116</t>
  </si>
  <si>
    <t>PREPARADO SABOR CERVECERO SV - GF. BOLSA X 6,55 KILOS</t>
  </si>
  <si>
    <t>Cervecero Viandé</t>
  </si>
  <si>
    <t>SCHA VIANDÉ   225 G - 8 UNDS</t>
  </si>
  <si>
    <t>PASTA DE POLLO GOLD CREEK</t>
  </si>
  <si>
    <t xml:space="preserve">Salchicha Viandé </t>
  </si>
  <si>
    <t>MPES183</t>
  </si>
  <si>
    <t>Lámina Superior Impresa Salchicha Viandé x 225 gramos x 8 unidades. Ancho = 415 mm. (Pet / coextrusión HBA 70 micras).</t>
  </si>
  <si>
    <t xml:space="preserve">Funda Celulosa 20 x 100 CE FP CLR </t>
  </si>
  <si>
    <t>MPEP973</t>
  </si>
  <si>
    <t>SÚPER COMBO VIANDÉ 900 G</t>
  </si>
  <si>
    <t>Salchicha Seleccionada VIANDE x 225 grs</t>
  </si>
  <si>
    <t>Mortadela VIANDE x 225 grs</t>
  </si>
  <si>
    <t>Salchichón Cervecero VIANDE x 225 grs</t>
  </si>
  <si>
    <t>Salchichón Pollo  BRAKEL x 225 grs</t>
  </si>
  <si>
    <t>Súper Combo</t>
  </si>
  <si>
    <t>Lámina Superior Impresa Super Combo Tradicional Viandé x 900 gramos x 9 unidades. Ancho = 45 cms. (Pet / coextrusión HBA 73 micras).</t>
  </si>
  <si>
    <t>MPES220</t>
  </si>
  <si>
    <t>MPES973</t>
  </si>
  <si>
    <t>Caja Koba Super Combo Tradicional Viandé (9 unidades)</t>
  </si>
  <si>
    <t>SCHA VIANDÉ   450 G - 16 UNDS</t>
  </si>
  <si>
    <t>MPES184</t>
  </si>
  <si>
    <t>Lámina Superior Impresa Salchicha Viandé x 450 gramos x 16 unidades. Ancho = 415 mm. (Pet / coextrusión HBA 70 micras).</t>
  </si>
  <si>
    <t>MPES185</t>
  </si>
  <si>
    <t>Lámina Inferior Sudpack GVA 200 BT 423 MM (8.MILS) 1 Rollo x 300 metros</t>
  </si>
  <si>
    <t>MPES974</t>
  </si>
  <si>
    <t>Caja Koba Salchicha Tradicional Viandé x 450 gramos.  (22 unidades)</t>
  </si>
  <si>
    <t>TOTAL INSUMOS (UND 450 G)</t>
  </si>
  <si>
    <t>TOTAL COSTO POR UND (450 G)</t>
  </si>
  <si>
    <t>JAMÓN PREMIUM VIANDÉ 300 G - 15 UNDS.</t>
  </si>
  <si>
    <t>Jamón Premium Viandé</t>
  </si>
  <si>
    <t>MPES200</t>
  </si>
  <si>
    <t>Lámina Superior Impresa Jamón Viande x 300 gramos x 12 unidades.  Ancho = 415 mm. (Pet / coextrusión HBA 70 micras).</t>
  </si>
  <si>
    <t>MPES969</t>
  </si>
  <si>
    <t>Caja Koba Jamón de Cerdo Viandé x 300 gramos (32 unidades)</t>
  </si>
  <si>
    <t>LAMINA INFERIOR SUDPACK GVP 130-423 mm (5.0 mils). 1 Rollo x 350 metros</t>
  </si>
  <si>
    <t>TOTAL INSUMOS (UND 300G)</t>
  </si>
  <si>
    <t>TOTAL COSTO POR UND (300)</t>
  </si>
  <si>
    <t>SCHA CLÁSICA   450 G - 18 UNDS</t>
  </si>
  <si>
    <t>TOTAL INSUMOS (UND 450G)</t>
  </si>
  <si>
    <t xml:space="preserve">Etiqueta Salchicha Clásica x 450 gramos </t>
  </si>
  <si>
    <t>MPES719</t>
  </si>
  <si>
    <t xml:space="preserve">JMN SAND  INST  X 500 G 28 U </t>
  </si>
  <si>
    <t>MPPS090</t>
  </si>
  <si>
    <t>AZÚCAR REFINADA. SACO X 50 KILOS.</t>
  </si>
  <si>
    <t>MPPC076</t>
  </si>
  <si>
    <t>PREPARADO SABOR JAMON CALIFORNIAX 1 KG</t>
  </si>
  <si>
    <t>Jamón Sanduche</t>
  </si>
  <si>
    <t>Etiqueta Jamon Sanduche X 500</t>
  </si>
  <si>
    <t>TOTAL INSUMOS (UND 500G)</t>
  </si>
  <si>
    <t>MPES209</t>
  </si>
  <si>
    <t>Tubular Salchichón Cervecero Viande x 225 Gramos. Cal 40</t>
  </si>
  <si>
    <t>MPES215</t>
  </si>
  <si>
    <t>MPPC102</t>
  </si>
  <si>
    <t>PREPARADO SABOR CHORIZO CERDO SEVILLA. PAQUETE X 4,8 KILOS</t>
  </si>
  <si>
    <t>HUMO SMOKE OIL. GARRAFA PLÁSTICA X 12 KG.</t>
  </si>
  <si>
    <t>MPPK174</t>
  </si>
  <si>
    <t>SABOR CERDO COCIDO TECNAS X 1 Kg.</t>
  </si>
  <si>
    <t>Chorizo de Cerdo</t>
  </si>
  <si>
    <t>MPEP418</t>
  </si>
  <si>
    <t>Funda Colágeno NDX F 25/50 Cierre de Bola x 258 Tubos</t>
  </si>
  <si>
    <t>MPES115</t>
  </si>
  <si>
    <t>Etiqueta Chorizo Faizan x 500 gramos x 10 unidades</t>
  </si>
  <si>
    <t>CHORIZO DE CERDO X 250 G - 10 UNDS</t>
  </si>
  <si>
    <t>MPES114</t>
  </si>
  <si>
    <t>Etiqueta Chorizo Faizan x 250 gramos x 5 unidades</t>
  </si>
  <si>
    <t>TOTAL INSUMOS (UND 250 G)</t>
  </si>
  <si>
    <t>TOTAL COSTO POR UND (250)</t>
  </si>
  <si>
    <t>SCHON CERV PREM X 50 G</t>
  </si>
  <si>
    <t>Salchichon</t>
  </si>
  <si>
    <t>Cervecerito</t>
  </si>
  <si>
    <t>50 g</t>
  </si>
  <si>
    <t>MPPC121</t>
  </si>
  <si>
    <t>PREPARADO SABOR CERVECERO PREMIUM SV</t>
  </si>
  <si>
    <t>MPEP963</t>
  </si>
  <si>
    <t>FIBROSA T-SHIRR BTC CLR REG 1 1/2 x 150 35ST Smoke-E3</t>
  </si>
  <si>
    <t>MPES461</t>
  </si>
  <si>
    <t>Lámina Impresa Salchichón Cervecero Tajado x 50 gramos x 1,000 metros x 302 mm .</t>
  </si>
  <si>
    <t>TOTAL INSUMOS (UND 50 G)</t>
  </si>
  <si>
    <t>TOTAL COSTO POR UND (50)</t>
  </si>
  <si>
    <t>MPES223</t>
  </si>
  <si>
    <t>Lámina Jamón Tipo Sanduche Faizán x 500 g</t>
  </si>
  <si>
    <t>C/U</t>
  </si>
  <si>
    <t>TOTAL INSUMOS (UND 360 G)</t>
  </si>
  <si>
    <t>TOTAL COSTO POR UND (360)</t>
  </si>
  <si>
    <t>Caja Milanesa Pollo x 4 Unidades Brasset 360 g (30 Unidades)</t>
  </si>
  <si>
    <t>CARNE OSCURA DE POLLO</t>
  </si>
  <si>
    <t>AGUA</t>
  </si>
  <si>
    <t>EMULSION  (PIEL DE CERDO)  - TOCINO PARTES MAGRAS</t>
  </si>
  <si>
    <t>PROTOTIPO SCHA. AMERICANA QUESUDOS 16 UNDS. X 1150 G</t>
  </si>
  <si>
    <t>COP / Kg.</t>
  </si>
  <si>
    <t>COP / APP</t>
  </si>
  <si>
    <t>MPCC014</t>
  </si>
  <si>
    <t>RECORTE DE CERDO</t>
  </si>
  <si>
    <t>MPPS165</t>
  </si>
  <si>
    <t>SAL REDUCIDA EN SODIO</t>
  </si>
  <si>
    <t>MPPS166</t>
  </si>
  <si>
    <t>SABOR AHUMADO GRILL LIQUIDO</t>
  </si>
  <si>
    <t>AROMA CARNE</t>
  </si>
  <si>
    <t>PAPRIKA EN POLVO</t>
  </si>
  <si>
    <t>CARRAGENINA VISKON 5600</t>
  </si>
  <si>
    <t>LÍNEA</t>
  </si>
  <si>
    <t>REFERENCIA</t>
  </si>
  <si>
    <t>Scha. Americana</t>
  </si>
  <si>
    <t>Total</t>
  </si>
  <si>
    <t>COP / UMB</t>
  </si>
  <si>
    <t>CREAR</t>
  </si>
  <si>
    <t>Etiqueta 100 x  170</t>
  </si>
  <si>
    <t xml:space="preserve">Funda Celulosa 26 x 84 CE FP TRA (Cartón x 7.680 metros x 300 tubos,C/tubo x 25.6) </t>
  </si>
  <si>
    <t>TOTAL INSUMOS (UND 1150 G)</t>
  </si>
  <si>
    <t>TOTAL COSTO POR UND (1150G)</t>
  </si>
  <si>
    <t>LÓGISTICA DE LA DISTRIBUCIÓN</t>
  </si>
  <si>
    <t>NETO POR UND (1150G)</t>
  </si>
  <si>
    <t>PROTOTIPO SCHA. AMERICANA SAN ANDRÉS 6 UNDS. X 430 G</t>
  </si>
  <si>
    <t>PICADOS</t>
  </si>
  <si>
    <t>TOTAL INSUMOS (UND 430 G)</t>
  </si>
  <si>
    <t>TOTAL COSTO POR UND (430G)</t>
  </si>
  <si>
    <t>Caja Congelados 60 X 40 X 22 SK (58 Unds. Por caja)</t>
  </si>
  <si>
    <t>NETO COSTO POR UND (430G)</t>
  </si>
  <si>
    <t xml:space="preserve">JMN SAND X 450 G 24 U </t>
  </si>
  <si>
    <t>Etiqueta Jamon Sanduche X 450</t>
  </si>
  <si>
    <t>TOTAL COSTO POR UND (450)</t>
  </si>
  <si>
    <t>MEGA COMBO FAIZAN 675 G</t>
  </si>
  <si>
    <t xml:space="preserve">Lámina Superior Impresa Mega Combo Faizán x 675 gramos </t>
  </si>
  <si>
    <t>TOTAL INSUMOS (UND 675G)</t>
  </si>
  <si>
    <t>TOTAL COSTO POR UND (675 G)</t>
  </si>
  <si>
    <t>OFTA CERV PREM X 6 UND X 300 G</t>
  </si>
  <si>
    <t>SALCHICHON CERVECERO PREMIUM X 50 G - 5 UND</t>
  </si>
  <si>
    <t>Cervecero Premium</t>
  </si>
  <si>
    <t>CERVECERO FAIZAN X 1300 G</t>
  </si>
  <si>
    <t>SIN IVA</t>
  </si>
  <si>
    <t>MATERIAL DE EMPAQUE X 900 G</t>
  </si>
  <si>
    <t>MATERIAL DE EMPAQUE X 450</t>
  </si>
  <si>
    <t>MATERIAL DE EMPAQUE X 2700</t>
  </si>
  <si>
    <t>MPC</t>
  </si>
  <si>
    <t>MPNC</t>
  </si>
  <si>
    <t>HAMBURGUESA FAIZAN</t>
  </si>
  <si>
    <t>MPCP037</t>
  </si>
  <si>
    <t>PIEL DE POLLO NACIONAL</t>
  </si>
  <si>
    <t xml:space="preserve">SEP -       COP / Kg </t>
  </si>
  <si>
    <t xml:space="preserve">SEP -             COP / Kg </t>
  </si>
  <si>
    <t xml:space="preserve">SEP -                   COP / Kg </t>
  </si>
  <si>
    <t>PASTA DE POLLO NACIONAL</t>
  </si>
  <si>
    <t>PROTEÍNA DE SOYA AL 65%. PORTA HNOS. SACO X 20 KILOS</t>
  </si>
  <si>
    <t>CARRAGENINA CEAMGEL M 1710. SACO X 25 KILOS.</t>
  </si>
  <si>
    <t>DIACETATO DE SODIO</t>
  </si>
  <si>
    <t xml:space="preserve">NISINA </t>
  </si>
  <si>
    <t>PROTEÍNA CARAMELO 4.8mm</t>
  </si>
  <si>
    <t>MPCP058</t>
  </si>
  <si>
    <t>AGO- 
COP / UMB</t>
  </si>
  <si>
    <t>SEP -             COP / UMB</t>
  </si>
  <si>
    <t>SEP - 
COP / APP</t>
  </si>
  <si>
    <t>AGO- 
COP / Kg.</t>
  </si>
  <si>
    <t>PROPUESTA MORTADELA SIN CÓDIGO</t>
  </si>
  <si>
    <t>PIROFOSFATO ÁCIDO DE SODIO</t>
  </si>
  <si>
    <t>NISINA</t>
  </si>
  <si>
    <t>PROPUESTA MORTADELA SIN CÓDIGO PROPUESTA JOLI</t>
  </si>
  <si>
    <t>NUEVA EMULSIÓN DE PIEL DE CERDO</t>
  </si>
  <si>
    <t>CDM POWDER</t>
  </si>
  <si>
    <t>MPEP968</t>
  </si>
  <si>
    <t>TOTAL INSUMOS (UND 250G)</t>
  </si>
  <si>
    <t>TOTAL COSTO POR UND (250G)</t>
  </si>
  <si>
    <t>SEP -                COP / UMB</t>
  </si>
  <si>
    <t>SOLU-TEX GRASAS NEUTRO. SACO X 15 KILOS</t>
  </si>
  <si>
    <t>MPPA158</t>
  </si>
  <si>
    <t>MDELA VIANDÉ X 225 G - 14 UND SC V1.</t>
  </si>
  <si>
    <t>MDELA VIANDÉ X 225 G - 14 UND SC V2.</t>
  </si>
  <si>
    <t xml:space="preserve">SEP -       
COP / Kg </t>
  </si>
  <si>
    <t>MPPA132</t>
  </si>
  <si>
    <t>PROTEÍNA DE SOYA AL 65%. SACO X 20 KILOS</t>
  </si>
  <si>
    <t>SCHA VIANDÉ   225 G - 8 UNDS V2.</t>
  </si>
  <si>
    <t xml:space="preserve">PATRÓN JAMÓN PREMIUM FAIZÁN </t>
  </si>
  <si>
    <t>CANTIDAD</t>
  </si>
  <si>
    <t>JAMÓN PREMIUM VIANDÉ</t>
  </si>
  <si>
    <t>BRAZUELO DE CERDO</t>
  </si>
  <si>
    <t xml:space="preserve">SEP -        COP / Kg </t>
  </si>
  <si>
    <t>TOTAL INSUMOS (UND 1300 G)</t>
  </si>
  <si>
    <t>TOTAL COSTO POR UND (1300)</t>
  </si>
  <si>
    <t>CARRAGENINA CEAMGEL M 91-817. SACO X 25 KILOS.</t>
  </si>
  <si>
    <t xml:space="preserve">SEP -              COP / Kg </t>
  </si>
  <si>
    <t>INSTITUCIONAL</t>
  </si>
  <si>
    <t>SUPERETES</t>
  </si>
  <si>
    <t>Tajadora 400</t>
  </si>
  <si>
    <t># BARRAS</t>
  </si>
  <si>
    <t xml:space="preserve">Tota Kg Tajados </t>
  </si>
  <si>
    <t>POROSIDAD (Kg)</t>
  </si>
  <si>
    <t>POROSIDAD (%)</t>
  </si>
  <si>
    <t>TEXTURA ó PUNTAS (Kg)</t>
  </si>
  <si>
    <t>TEXTURA ó PUNTAS (%)</t>
  </si>
  <si>
    <t>TRONCO ó BANDA (Kg)</t>
  </si>
  <si>
    <t>TRONCO ó BANDA (%)</t>
  </si>
  <si>
    <t>EQUIPO</t>
  </si>
  <si>
    <t>TOTAL REPROCESO (Kg)</t>
  </si>
  <si>
    <t>TOTAL REPROCESO (%)</t>
  </si>
  <si>
    <t>PRODUCTO TERMINADO (Kg)</t>
  </si>
  <si>
    <r>
      <rPr>
        <b/>
        <sz val="11"/>
        <color theme="1"/>
        <rFont val="MS Reference Sans Serif"/>
        <family val="2"/>
      </rPr>
      <t>Kg </t>
    </r>
    <r>
      <rPr>
        <b/>
        <sz val="11"/>
        <color theme="1"/>
        <rFont val="Calibri"/>
        <family val="2"/>
      </rPr>
      <t xml:space="preserve"> / BARRA</t>
    </r>
  </si>
  <si>
    <t>Tajadora 600</t>
  </si>
  <si>
    <t>CARNE OSCURA</t>
  </si>
  <si>
    <t>Fibrosa FVP CLS 95 B3 4 H3 Natural Corrugada x 25 metros.</t>
  </si>
  <si>
    <t>TOTAL COSTO POR UND (500G)</t>
  </si>
  <si>
    <t>MALTODEXTRINA 80-20</t>
  </si>
  <si>
    <t>Faizán</t>
  </si>
  <si>
    <t>SALCHICHA MANGUERA X 560 G - 6 UND</t>
  </si>
  <si>
    <t>SALCHICHA MINIPERRO X 1.000 G - 40 UND</t>
  </si>
  <si>
    <t>SALCHICHA PERRO CALIENTE X 480 G - 12 UND</t>
  </si>
  <si>
    <t>SALCHICHA SUPER PERRO X 2.500 G - 50 UND</t>
  </si>
  <si>
    <t>SCHA. CLASICA X 225 G X 9 UND</t>
  </si>
  <si>
    <t>SALCHICHA CLASICA X 450 G - 18 UND</t>
  </si>
  <si>
    <t>SCHA. SELECCIONADA VIANDE X 450 G X 16 UND</t>
  </si>
  <si>
    <t>SALCHICHA DESAYUNO PREMIUM X 480 G - 14 UND</t>
  </si>
  <si>
    <t>MORTADELA SELECCIONADA X 225 G - 14 UND</t>
  </si>
  <si>
    <t>SALCHICHON CERVECERO X 500 G</t>
  </si>
  <si>
    <t>SALCHICHON AUTENTICO X 750 G</t>
  </si>
  <si>
    <t>SALCHICHON CERVECERO X 750 G</t>
  </si>
  <si>
    <t>SCHON. POLLO BRAKEL X 500 G</t>
  </si>
  <si>
    <t>SCHON. TRADICIONAL VIANDE X 500 G</t>
  </si>
  <si>
    <t>JAMON DE CERDO PREMIUM X 400 G -20 UND</t>
  </si>
  <si>
    <t>MILANESA DE POLLO APANADA X 1.800 G - 15 UND</t>
  </si>
  <si>
    <t>MILANESA DE POLLO APANADA X 600 G - 5 UND</t>
  </si>
  <si>
    <t>HAMBURGUESAS (BOLSA ROJA) X 900 G - 10 UND</t>
  </si>
  <si>
    <t>HAMBURGUESAS (CAJA) X 2700 G - 30 UND</t>
  </si>
  <si>
    <t>HAMBURGUESA X 450 G - 5 UND</t>
  </si>
  <si>
    <t>JAMON PREMIUM VIANDE X 300 G X 15 UND</t>
  </si>
  <si>
    <t>SUPER COMBO VIANDE * 900</t>
  </si>
  <si>
    <t xml:space="preserve">TOCINO </t>
  </si>
  <si>
    <t>BATIDO COMPLETO #1 JOLI. SACO X 25 KILOS.</t>
  </si>
  <si>
    <t>MPPV192</t>
  </si>
  <si>
    <t>HUMO TRUSMOKE 45. GARRAFA X 23 KG</t>
  </si>
  <si>
    <t>MPPH146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</si>
  <si>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</si>
  <si>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</si>
  <si>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</si>
  <si>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</si>
  <si>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</si>
  <si>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</si>
  <si>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</si>
  <si>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</si>
  <si>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</si>
  <si>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 xml:space="preserve">VARIACIÓN (%) </t>
  </si>
  <si>
    <t xml:space="preserve">VARIACIÓN TOTAL (%) </t>
  </si>
  <si>
    <t xml:space="preserve">Funda Celulosa 19 x 100 CE FP CLR </t>
  </si>
  <si>
    <t>META</t>
  </si>
  <si>
    <t>TOCINETA 18%</t>
  </si>
  <si>
    <t>% CARNE</t>
  </si>
  <si>
    <t>% SALMUERA</t>
  </si>
  <si>
    <t>Inyección</t>
  </si>
  <si>
    <t>CARNE FORMULA</t>
  </si>
  <si>
    <t>SALMUERA FORMULA</t>
  </si>
  <si>
    <t>BARRIGUERO</t>
  </si>
  <si>
    <t>INGREDIENTES SALMUERA</t>
  </si>
  <si>
    <t>SALMUERA           (%)</t>
  </si>
  <si>
    <t>SAL COMUN</t>
  </si>
  <si>
    <t>EMULPRO BA 555</t>
  </si>
  <si>
    <t>MPPU062</t>
  </si>
  <si>
    <t>SALMUERA EMULPRO BA 555. SACO X 25 KILOS.</t>
  </si>
  <si>
    <t>Tocineta Cruda Ahumada</t>
  </si>
  <si>
    <t>HUMO ENVIRO 24 P</t>
  </si>
  <si>
    <t>PP SLN HUMO TOCINETA</t>
  </si>
  <si>
    <t>SOLUCIÓN HUMO DE INMERSIÓN</t>
  </si>
  <si>
    <t xml:space="preserve">PP TOCINETA + SLN </t>
  </si>
  <si>
    <t>MPES998</t>
  </si>
  <si>
    <t>Etiqueta Tocineta Premium Ahumada x 500 gramos</t>
  </si>
  <si>
    <t>PP BARRIGUERO + SALMUERA</t>
  </si>
  <si>
    <t>JMN SANDUCHE</t>
  </si>
  <si>
    <t>TIENDAS</t>
  </si>
  <si>
    <t xml:space="preserve">OCT -       COP / Kg </t>
  </si>
  <si>
    <t>OCT - 
COP / APP</t>
  </si>
  <si>
    <t xml:space="preserve">OCT -        COP / Kg </t>
  </si>
  <si>
    <t>OCT -        COP / UMB</t>
  </si>
  <si>
    <t>Costo APP Actual</t>
  </si>
  <si>
    <t>Costo APP 0.3</t>
  </si>
  <si>
    <t xml:space="preserve">OCT -        COP / UMB </t>
  </si>
  <si>
    <t>SEP -        COP / UMB</t>
  </si>
  <si>
    <t>TABLA DE REFERENCIAS</t>
  </si>
  <si>
    <t>Marca</t>
  </si>
  <si>
    <t>Línea de PICADOS SALCHICHAS</t>
  </si>
  <si>
    <t>Línea de PICADOS CHORIZOS</t>
  </si>
  <si>
    <t>Línea de SALCHICHONES</t>
  </si>
  <si>
    <t>Línea de BARRAS</t>
  </si>
  <si>
    <t>Línea PRERFORMADOS</t>
  </si>
  <si>
    <t>JAMÓN SANDUCHE X 500 G X 28 UND (I)</t>
  </si>
  <si>
    <t>Línea OFERTAS</t>
  </si>
  <si>
    <t xml:space="preserve">MEGA COMBO FAIZAN * 900 </t>
  </si>
  <si>
    <t>SEP -       
COP / UMB</t>
  </si>
  <si>
    <t>PASTA DE POLLO IMPORTADA</t>
  </si>
  <si>
    <t>TOCINO DE CERDO</t>
  </si>
  <si>
    <t>PRECIO MATERIAS PRIMAS - OCT 22</t>
  </si>
  <si>
    <t>PRECIO MATERIAL DE EMPAQUE Y EMBUTIDO - OCT 22</t>
  </si>
  <si>
    <t>PROTEÍNA ANIMAL</t>
  </si>
  <si>
    <t>PROTEÍNA VEGETAL</t>
  </si>
  <si>
    <t>AROMAS Y SABORES</t>
  </si>
  <si>
    <t>ALMIDONES</t>
  </si>
  <si>
    <t>MODIFICADORES DE PH</t>
  </si>
  <si>
    <t>HUMOS</t>
  </si>
  <si>
    <t>COLORANTES</t>
  </si>
  <si>
    <t>CONSERVANTES</t>
  </si>
  <si>
    <t>PRODUCTOS EN PROCESO</t>
  </si>
  <si>
    <t>CARNE DE CERDO</t>
  </si>
  <si>
    <t>CARNE DE POLLO</t>
  </si>
  <si>
    <t>EDULCORANTES</t>
  </si>
  <si>
    <t>FIJADORES DE COLOR</t>
  </si>
  <si>
    <t>EXTENSORES</t>
  </si>
  <si>
    <t>AGUA POTABLE</t>
  </si>
  <si>
    <t>CONDIMENTOS Y ESPECIAS</t>
  </si>
  <si>
    <t>BREADER</t>
  </si>
  <si>
    <t>GELIFICANTES</t>
  </si>
  <si>
    <t>ANTIOXIDANTE</t>
  </si>
  <si>
    <t>ENTURBIANTE</t>
  </si>
  <si>
    <t>GRASA DE CERDO</t>
  </si>
  <si>
    <t>GRASA DE POLLO</t>
  </si>
  <si>
    <t>RESALTADORES DE SABOR</t>
  </si>
  <si>
    <t>ENZYMAS</t>
  </si>
  <si>
    <t>GRUPO</t>
  </si>
  <si>
    <t>ETIQUETAS Y ADHESIVOS</t>
  </si>
  <si>
    <t>FUNDAS PLÁSTICAS</t>
  </si>
  <si>
    <t>PELÍCULA SUPERIOR</t>
  </si>
  <si>
    <t>FUNDA DE TRASNFERENCIA</t>
  </si>
  <si>
    <t>FUNDAS DE COLÁGENO</t>
  </si>
  <si>
    <t>FUNDAS  PLÁSTICAS</t>
  </si>
  <si>
    <t>FUNDAS CELULOSAS</t>
  </si>
  <si>
    <t>PELÍCULA INFERIOR</t>
  </si>
  <si>
    <t>CLIPS</t>
  </si>
  <si>
    <t>BOLSAS LAMINADAS</t>
  </si>
  <si>
    <t>BOLSAS REGULARES</t>
  </si>
  <si>
    <t>LAMINILLAS</t>
  </si>
  <si>
    <t>CORRUGADOS</t>
  </si>
  <si>
    <t>LAZADAS</t>
  </si>
  <si>
    <t>COLLARINES</t>
  </si>
  <si>
    <t>PIEL DE CERDO</t>
  </si>
  <si>
    <t>PROTEÍNA AISLADA DE SOYA WILPRO I200 ó SOLUPROT GF 513.</t>
  </si>
  <si>
    <t xml:space="preserve">COLOR NATURAL HEMOGLOBINA. I RED. BOLSA X 1 KILO. </t>
  </si>
  <si>
    <t xml:space="preserve">MEZCLA PARA ELABORAR EMULSIONES CÁRNICAS </t>
  </si>
  <si>
    <t>Etiquetas de fila</t>
  </si>
  <si>
    <t>Total general</t>
  </si>
  <si>
    <t>Suma de CATIDAD</t>
  </si>
  <si>
    <t>CERVECERO FAIZAN 500 G</t>
  </si>
  <si>
    <t>CERVECERO FAIZAN 750 G</t>
  </si>
  <si>
    <t>SCHA MINI PERRO X 1 KG</t>
  </si>
  <si>
    <t>SCHA PERRO X 480 G</t>
  </si>
  <si>
    <t>SCHA SÚPER PERRO X 2.5 KG</t>
  </si>
  <si>
    <t>CH TERNERA X 120 G</t>
  </si>
  <si>
    <t>CH TERNERA X 480 G</t>
  </si>
  <si>
    <t>CH TERNERA X 1020 G</t>
  </si>
  <si>
    <t>CH CERDO X 250</t>
  </si>
  <si>
    <t>CH CERDO X 500</t>
  </si>
  <si>
    <t>JMN PREMIUM 200 G</t>
  </si>
  <si>
    <t>JMN PREMIUM 400 G</t>
  </si>
  <si>
    <t>HSA 450 G - 5 UNDS</t>
  </si>
  <si>
    <t>HSA 900 G - 10 UNDS</t>
  </si>
  <si>
    <t>HSA 2700 G - 30 UNDS</t>
  </si>
  <si>
    <t>MNESA APANADA 600 G 5 UNDS</t>
  </si>
  <si>
    <t>MNESA APANADA 1800 G 15 UND</t>
  </si>
  <si>
    <t>MDELA FAIZAN  225 G 14 U CC</t>
  </si>
  <si>
    <t>MDELA FAIZAN  225 G 14 U SC</t>
  </si>
  <si>
    <t>SCHA CLÁSICA   225 G 9 UND</t>
  </si>
  <si>
    <t xml:space="preserve">JMN SDW  INST  500 G 28 U </t>
  </si>
  <si>
    <t>MATERIAL</t>
  </si>
  <si>
    <t>NECESIDAD</t>
  </si>
  <si>
    <t>CERVECERO FAIZAN 1500 G</t>
  </si>
  <si>
    <t>HSA 900 G - 10 UNDS INST</t>
  </si>
  <si>
    <t>SCHA DESAYUNO 480 G -14 UND</t>
  </si>
  <si>
    <t>SCHA CLÁSICA   450 G 18 UND</t>
  </si>
  <si>
    <t>SCHON POLLO BRAKEL X 225</t>
  </si>
  <si>
    <t>SCHON POLLO BRAKEL X 500</t>
  </si>
  <si>
    <t xml:space="preserve">SCHON TRAD VIANDÉ X 500 </t>
  </si>
  <si>
    <t>SCHON CERV VIANDÉ X 225 G</t>
  </si>
  <si>
    <t xml:space="preserve">MDELA VIANDÉ X 225 G 14 UND </t>
  </si>
  <si>
    <t>SCHA VIANDÉ   225 G 8 UNDS</t>
  </si>
  <si>
    <t>JMN PREM VIANDÉ 300 G - 15</t>
  </si>
  <si>
    <t xml:space="preserve">JMN SDW  500 G 28 U </t>
  </si>
  <si>
    <t>Funda Celulosa 16 x 100</t>
  </si>
  <si>
    <t>SCHA DESAYUNO 115 G - 5 UNDS</t>
  </si>
  <si>
    <t>.</t>
  </si>
  <si>
    <t>Suma de NECESIDAD</t>
  </si>
  <si>
    <t>Suma de OCT -        COP / UMB</t>
  </si>
  <si>
    <t>NECESIDAD  DIC /2022</t>
  </si>
  <si>
    <t xml:space="preserve">INVERSIÓN ME </t>
  </si>
  <si>
    <t>INVENTARIO NOV 30</t>
  </si>
  <si>
    <t>ALMIDON DE PAPA</t>
  </si>
  <si>
    <t>COMINO MOLIDO</t>
  </si>
  <si>
    <t>ERITORBATO DE SODIO</t>
  </si>
  <si>
    <t>SAL YODADA</t>
  </si>
  <si>
    <t>HIELO</t>
  </si>
  <si>
    <t>PERNIL DE CERDO</t>
  </si>
  <si>
    <t>Pernil de Cerdo</t>
  </si>
  <si>
    <t xml:space="preserve">DIC -       
COP / Kg </t>
  </si>
  <si>
    <t>DIC - 
COP / APP</t>
  </si>
  <si>
    <t>Malla Ahumada SQRU X 45 M.</t>
  </si>
  <si>
    <t>Malla ZIP-NET -28-P368/50GR- Roja y Verde -45mts</t>
  </si>
  <si>
    <t>Etiqueta polipropileno brillante 100 x 80</t>
  </si>
  <si>
    <t>Salsa de Ciruelas x 80 g.</t>
  </si>
  <si>
    <t xml:space="preserve">DIC -       
COP / UMB </t>
  </si>
  <si>
    <t xml:space="preserve">LAM SUP TRANS ECOWEB M/PAUV 60U 301MM   </t>
  </si>
  <si>
    <t>PAPRIKA POLVO</t>
  </si>
  <si>
    <t xml:space="preserve">DIC -        COP / Kg </t>
  </si>
  <si>
    <t>CHORIZO SANTARROSANO</t>
  </si>
  <si>
    <t>MDM NACIONAL</t>
  </si>
  <si>
    <t>ARCON T</t>
  </si>
  <si>
    <t>SAL DIETETICA</t>
  </si>
  <si>
    <t>PROTEÍNA CONCENTRADA DE SOYA 65%</t>
  </si>
  <si>
    <t>PUERRO</t>
  </si>
  <si>
    <t>INBAC</t>
  </si>
  <si>
    <t>CARNAL 961</t>
  </si>
  <si>
    <t>SAL DE CURA</t>
  </si>
  <si>
    <t>COLOR CARAMELO</t>
  </si>
  <si>
    <t xml:space="preserve">   </t>
  </si>
  <si>
    <t>DIC -        COP / UMB</t>
  </si>
  <si>
    <t xml:space="preserve">Funda Colágeno NDX F 30/50 </t>
  </si>
  <si>
    <t>Etiqueta Chorizo Santa Rosano x 260 gramos x 4 unidades</t>
  </si>
  <si>
    <t>HAMBURGUESA X 1425 G - 15 UND.</t>
  </si>
  <si>
    <t xml:space="preserve">NOV -        COP / Kg </t>
  </si>
  <si>
    <t>NOV - 
COP / APP</t>
  </si>
  <si>
    <t>NOV -        COP / UMB</t>
  </si>
  <si>
    <t>PROTEINA CONCENTRADA DE SOYA  65%</t>
  </si>
  <si>
    <t>TOTAL INSUMOS (UND 1.425 G)</t>
  </si>
  <si>
    <t>Hamburguesa Los Perritos</t>
  </si>
  <si>
    <t>TOTAL COSTO POR UND (1.425)</t>
  </si>
  <si>
    <t>SCHA. DESAYUNO PREMIUM X 115 G X 5 UND</t>
  </si>
  <si>
    <t>MEZCLA</t>
  </si>
  <si>
    <t>MPCC028</t>
  </si>
  <si>
    <t>PIEL DE POLLO</t>
  </si>
  <si>
    <t>MDELA VIANDÉ X 225 G - 14 UND SC V1. - ITALIAN</t>
  </si>
  <si>
    <t>Chorizo de Santarrosano</t>
  </si>
  <si>
    <t>BATCH</t>
  </si>
  <si>
    <t>ALMIDON DE YUCA</t>
  </si>
  <si>
    <t xml:space="preserve">DIC -             COP / Kg </t>
  </si>
  <si>
    <t xml:space="preserve">RECORTE DE CERDO </t>
  </si>
  <si>
    <t>TOTAL INSUMOS (UND 115 G)</t>
  </si>
  <si>
    <t>TOTAL COSTO POR UND (115)</t>
  </si>
  <si>
    <t xml:space="preserve">JMN SAND X 450 G 28 U </t>
  </si>
  <si>
    <t>OFTA CERV PREM X 6 UND</t>
  </si>
  <si>
    <t xml:space="preserve">BATIDO COMPLETO             </t>
  </si>
  <si>
    <t>MDELA VIANDÉ X 225 G - 14 UND S</t>
  </si>
  <si>
    <t>Suma de CATIDAD / FEBRERO 2023</t>
  </si>
  <si>
    <t xml:space="preserve">ABLANDADOR </t>
  </si>
  <si>
    <t>PASTA DE POLLO ESTANDAR</t>
  </si>
  <si>
    <t>PASTA DE POLLO IMPORTADA PREMIUM</t>
  </si>
  <si>
    <t>CEBOLLA PUERRO</t>
  </si>
  <si>
    <t>TIPO</t>
  </si>
  <si>
    <t>ChorizoSantarrosano</t>
  </si>
  <si>
    <t>RECORTE DE CERDO 70/30</t>
  </si>
  <si>
    <t>CHORIZO SANTARROSANO X 130</t>
  </si>
  <si>
    <t>TOTAL INSUMOS (UND 130 G)</t>
  </si>
  <si>
    <t>TOTAL COSTO POR UND (130)</t>
  </si>
  <si>
    <t>MB</t>
  </si>
  <si>
    <t>CHORIZO SANTARROSANO X 65 G</t>
  </si>
  <si>
    <t>Salcicha Jumbi</t>
  </si>
  <si>
    <t>SCHA JUMBO X 450 G</t>
  </si>
  <si>
    <t>SCHA JUMBO X 1200 G</t>
  </si>
  <si>
    <t>Salcicha Jumbo</t>
  </si>
  <si>
    <t>PLASMA PORCINO</t>
  </si>
  <si>
    <t>SCHA VIANDÉ   400 G - 14 UNDS APRÓX V2.</t>
  </si>
  <si>
    <t>MAR -       COP / UMB</t>
  </si>
  <si>
    <t>MAR - 
COP / APP</t>
  </si>
  <si>
    <t>ALMIDON DE YUCA SACO X 25 KILOS .</t>
  </si>
  <si>
    <t>TOTAL INSUMOS (UND 400 G)</t>
  </si>
  <si>
    <t>TOTAL COSTO POR UND (400 G)</t>
  </si>
  <si>
    <t>Pasevilla-1724</t>
  </si>
  <si>
    <t>SALCHICHON CERVECERO X 1.300 G</t>
  </si>
  <si>
    <t>TOTAL COSTO POR UND (300 G)</t>
  </si>
  <si>
    <t>SUPRA MEAT F451</t>
  </si>
  <si>
    <t>PVH LIQUIDA M 1222</t>
  </si>
  <si>
    <t>REPROCESO 1: MORTADELA FAIZÁN-VIANDÉ</t>
  </si>
  <si>
    <t>REPROCESO 1: MORTADELA FAIZÁN-VIANDÉ. Disco 6 mm.</t>
  </si>
  <si>
    <t>CARRAGENINA</t>
  </si>
  <si>
    <t>SALCHICHON CERVECERO X 1.500 G</t>
  </si>
  <si>
    <t>JAMON DE CERDO PREMIUM VIANDE X 300  G</t>
  </si>
  <si>
    <t>D1</t>
  </si>
  <si>
    <t>d</t>
  </si>
  <si>
    <t>DEXTROSA</t>
  </si>
  <si>
    <t>EMULSION DE PIEL DE CERDO</t>
  </si>
  <si>
    <t>ALMIDON MODIFICADO DE MAIZ</t>
  </si>
  <si>
    <t>CIF MES</t>
  </si>
  <si>
    <t xml:space="preserve"> Descripción</t>
  </si>
  <si>
    <t xml:space="preserve"> PRECIO DE LISTA</t>
  </si>
  <si>
    <t>CHORIZO DE CERDO X 250G - 5 UND.</t>
  </si>
  <si>
    <t>CHORIZO DE CERDO X 500G - 10 UND.</t>
  </si>
  <si>
    <t>HAMBURGUESA (CAJA) X 2700G - 30 UND.</t>
  </si>
  <si>
    <t>HAMBURGUESA (Institucional) X 900G - 10 UND.</t>
  </si>
  <si>
    <t>HAMBURGUESA (Supermercados) X 900G - 10 UND.</t>
  </si>
  <si>
    <t>HAMBURGUESA X 450G - 5 UND.</t>
  </si>
  <si>
    <t>JAMON DE CERDO PREMIUM  X 400G - 20 UND.</t>
  </si>
  <si>
    <t>JAMON SÁNDUCHE INSTITUCIONAL X 500G - 28 UND.</t>
  </si>
  <si>
    <t xml:space="preserve">JAMON SÁNDUCHE X 450G - 24 TAJ. </t>
  </si>
  <si>
    <t>MILANESA DE POLLO APANADA X 1.800G - 15 UND.</t>
  </si>
  <si>
    <t>MILANESA DE POLLO APANADA X 600G - 5 UND.</t>
  </si>
  <si>
    <t>MORTADELA SELECCIONADA X 225G - 14 UND.</t>
  </si>
  <si>
    <t>SALCHICHA CLÁSICA X 225G - 9 UND.</t>
  </si>
  <si>
    <t>SALCHICHA CLÁSICA X 450G - 18 UND.</t>
  </si>
  <si>
    <t>SALCHICHA DESAYUNO PREMIUM X 115G - 5 UND.</t>
  </si>
  <si>
    <t>SALCHICHA DESAYUNO PREMIUM X 480G - 14 UND.</t>
  </si>
  <si>
    <t xml:space="preserve">SALCHICHA MANGUERA X 560G - 6 UND. </t>
  </si>
  <si>
    <t>SALCHICHA MINIPERRO X 1.000G - 40 UND.</t>
  </si>
  <si>
    <t>SALCHICHA PERRO CALIENTE X 480G - 12 UND.</t>
  </si>
  <si>
    <t>SALCHICHA SUPER PERRO X 2.500G - 50 UND</t>
  </si>
  <si>
    <t>SALCHICHA JUMBO X 450G X 6 UND</t>
  </si>
  <si>
    <t>SALCHICHA JUMBO X 1200G X 16 UND</t>
  </si>
  <si>
    <t>SALCHICHON AUTENTICO X 750G</t>
  </si>
  <si>
    <t>SALCHICHON CERVECERO X 1.500G</t>
  </si>
  <si>
    <t>SALCHICHON CERVECERO X 1300G</t>
  </si>
  <si>
    <t>SALCHICHON CERVECERO X 500G</t>
  </si>
  <si>
    <t>SALCHICHON CERVECERO X 750G</t>
  </si>
  <si>
    <t>CERVECERITO X 300G X 6 UND</t>
  </si>
  <si>
    <t xml:space="preserve">TOCINETA X 200G </t>
  </si>
  <si>
    <t>TOCINETA X 1KG</t>
  </si>
  <si>
    <t>SALCHICHON TRADICIONAL VIANDÉ X 500 G</t>
  </si>
  <si>
    <t>SALCHICHON POLLO BRAKEL X 500 G</t>
  </si>
  <si>
    <t>MES</t>
  </si>
  <si>
    <t>HAMBURGUESA DE POLLO 1425 X 15 UND LOS PERRITOS</t>
  </si>
  <si>
    <t>HAMBURGUESA DE POLLO 1500 X 10 UND LOS PERRITOS</t>
  </si>
  <si>
    <t>JAMON SANDUCHE X 225 G</t>
  </si>
  <si>
    <t>JMN SANDUCHE X 225 G</t>
  </si>
  <si>
    <t>HAMBURGUESA DE POLLO X 1500 G - 10 UND.</t>
  </si>
  <si>
    <t>HAMBURGUESA DE POLLO X 1425 G - 15 UND.</t>
  </si>
  <si>
    <t>HAMBURGUESA DE POLLO X 1425 X 15 UND</t>
  </si>
  <si>
    <t xml:space="preserve">HAMBURGUESA DE POLLO X 1500 X 10 UND </t>
  </si>
  <si>
    <t>SCHA DESAYUNO 240 G - 7 UNDS</t>
  </si>
  <si>
    <t>SALCHCIHA DESAYUNO PREMIUM X 240 X 7 UND</t>
  </si>
  <si>
    <t>SALCHICHÓN DE POLLO X 225 GRAMOS</t>
  </si>
  <si>
    <t>MEGA COMBO FAIZAN 675 G X 3</t>
  </si>
  <si>
    <t>TOCINETA X 500G</t>
  </si>
  <si>
    <t>MEGA COMBO FAIZAN 900 G NUEVO CON JMN 225</t>
  </si>
  <si>
    <t>MEGA COMBO FAIZAN * 900  NUEVO CON JAMON 225</t>
  </si>
  <si>
    <t>MEGACOMBO FAIZAN X 900G NUEVO CON JAMON 225</t>
  </si>
  <si>
    <t>,.</t>
  </si>
  <si>
    <t>SALCHICHA PERRO CALIENTE VIANDE X 240 G X 6 UND</t>
  </si>
  <si>
    <t>TOTAL COSTO POR UND (240)</t>
  </si>
  <si>
    <t>TOTAL INSUMOS (UND 240 G)</t>
  </si>
  <si>
    <t>SALCHICHA SUPER PERRO VIANDE X 400 G X 5 UND</t>
  </si>
  <si>
    <t>LAM SUP TRANS ECOWEB M/PAUV 42U 301MM</t>
  </si>
  <si>
    <t>TOTAL INSUMOS (UND 440 G)</t>
  </si>
  <si>
    <t>TOTAL COSTO POR UND (440)</t>
  </si>
  <si>
    <t>CHORIZO CON TERNERA X 440 G - 8 UNDS</t>
  </si>
  <si>
    <t>CHORIZO DE CERDO X 400 G - 10 UNDS</t>
  </si>
  <si>
    <t>ETI RESPALDO SALCHICHA DESAYUNO 240</t>
  </si>
  <si>
    <t>ACETATO DE SODIO</t>
  </si>
  <si>
    <t>ETI RESPALDO MDELA CLASICA 225 G X 14 TJ</t>
  </si>
  <si>
    <t>ETI RESPALDO SCHA CLASICA 225 G X 9 UND</t>
  </si>
  <si>
    <t>TOTAL INSUMOS (UND 300 G)</t>
  </si>
  <si>
    <t>Agua</t>
  </si>
  <si>
    <t>Batido</t>
  </si>
  <si>
    <t>ETI RESPALD CHORIZO SANTA ROSANO X 300 G</t>
  </si>
  <si>
    <t>CHORIZO SANTARROSANO x 300</t>
  </si>
  <si>
    <t>AROMA SCHON DE POLLO 88447B LUCTA</t>
  </si>
  <si>
    <t>ETI RESPALDO JMN SANDUCHE 225 G X 12 TJ</t>
  </si>
  <si>
    <t>CAJA SCHA PERRO CALIENTE X 3.8 KG - 16 U</t>
  </si>
  <si>
    <t>CHORIZO DE CERDO X 400 GRS</t>
  </si>
  <si>
    <t>CARNE DE TERNERA</t>
  </si>
  <si>
    <t>SAL REDUCIDA EN SODIO 60/40</t>
  </si>
  <si>
    <t>COLOR LOY NARANJA LIQ A10 1</t>
  </si>
  <si>
    <t>COLOR NATURAL NARANJA RA 40-3 9827</t>
  </si>
  <si>
    <t>SABOR CERDO COCIDO</t>
  </si>
  <si>
    <t>SAL CURANTE AL 12 %</t>
  </si>
  <si>
    <t>COLOR NATURAL HEMOGLOBINA I RED</t>
  </si>
  <si>
    <t>COMINO MOLIDO B</t>
  </si>
  <si>
    <t>PIMIENTA NEGRA MOLIDA</t>
  </si>
  <si>
    <t>CEBOLLA EN POLVO</t>
  </si>
  <si>
    <t>AJO MOLIDO DESHIDRATADO B.1</t>
  </si>
  <si>
    <t>LAM INFE 90-423 MM 3.5MILS</t>
  </si>
  <si>
    <t>CHORIZO CON TERNERA VIANDE X 225 G X 5 UND</t>
  </si>
  <si>
    <t>Chorizos</t>
  </si>
  <si>
    <t xml:space="preserve">Con ternera Viande </t>
  </si>
  <si>
    <t>CAJA CHORIZO TERNERA X 2.5 KG - 10 U</t>
  </si>
  <si>
    <t>LAM SUP CHZO TERNERA D1 225 X 5 X 415 MM</t>
  </si>
  <si>
    <t>CHORIZO CON TERNERA VIANDE X 225 GRS 5 UND</t>
  </si>
  <si>
    <t>ETI RESPALDO CHORIZO CERDO 400GR X 8U</t>
  </si>
  <si>
    <t>TOCINETA 30%</t>
  </si>
  <si>
    <t>PATRÓN
  (%)</t>
  </si>
  <si>
    <t>CONCENTRADO DE SOYA</t>
  </si>
  <si>
    <t xml:space="preserve">PVH </t>
  </si>
  <si>
    <t xml:space="preserve">DEXTROSA </t>
  </si>
  <si>
    <t>FOSFATOS</t>
  </si>
  <si>
    <t>SAL CURA 12%</t>
  </si>
  <si>
    <t>HEMOGLOBINA I RED</t>
  </si>
  <si>
    <t xml:space="preserve">TRUESMOKE OIL </t>
  </si>
  <si>
    <t>TOCINO PARA AHUMAR PAPADA CRUDA</t>
  </si>
  <si>
    <t>Tocineta Cruda</t>
  </si>
  <si>
    <t>Se aprovecha para empaque por 1 Kg.</t>
  </si>
  <si>
    <t>TOTAL INSUMOS (UND 200 G)</t>
  </si>
  <si>
    <t>PRECIO DE VENTA SUGERIDO</t>
  </si>
  <si>
    <t>CONCENTRADO DE SOYA al 65%</t>
  </si>
  <si>
    <t>FOSFATOS CARFOSEL</t>
  </si>
  <si>
    <t>ETI BLANCA GENERICA 100 X 80</t>
  </si>
  <si>
    <t>CHORIZO CON TERNERA X 110 G - 2 UND</t>
  </si>
  <si>
    <t>TOTAL INSUMOS (UND 110 G)</t>
  </si>
  <si>
    <t>CHORIZO CON TERNERA 110 G 2 UND</t>
  </si>
  <si>
    <t>CHORIZO SANTARROSANO x 480</t>
  </si>
  <si>
    <t>TOTAL INSUMOS (UND 1200 G)</t>
  </si>
  <si>
    <t>TOTAL COSTO POR UND (1200)</t>
  </si>
  <si>
    <t>CHOTIZO SANTARROSANO X 1200</t>
  </si>
  <si>
    <t>CHORIZO SANTARROSANO X 480</t>
  </si>
  <si>
    <t>ETI RESPALDO JMN PREMIUM 200 G X 10 TJ</t>
  </si>
  <si>
    <t>TOTAL COSTO POR UND (225)</t>
  </si>
  <si>
    <t>LAM SUP SCHA PERRO D1 240 X 6 X 302 MM</t>
  </si>
  <si>
    <t>BOLSA TRASNP LDPE 21 x 60 CAL 3</t>
  </si>
  <si>
    <t>ETI RESPALDO CHORIZO CERDO 250GR X 5U</t>
  </si>
  <si>
    <t>CHORIZO DE CERDO X 250 G - 5 UND - Fazán</t>
  </si>
  <si>
    <t>Julio COP / Kg.</t>
  </si>
  <si>
    <t>Julio
COP / APP</t>
  </si>
  <si>
    <t>Línea TOCINOS</t>
  </si>
  <si>
    <t>TOCINO BARRIGUERO X 1 KG</t>
  </si>
  <si>
    <t>TOCINO PAPADA X 1 KG</t>
  </si>
  <si>
    <t>CHORIZO CON TERNERA X 110G - 2 UND.</t>
  </si>
  <si>
    <t>ETI SALCHICHA JUMBO X 450 G X 6 UND</t>
  </si>
  <si>
    <t>ETI RESPALDO SCHA JUMBO 450 G X 6 UND</t>
  </si>
  <si>
    <t>SCHA JUMBO X 450 G FAZÁN</t>
  </si>
  <si>
    <t>Batch</t>
  </si>
  <si>
    <t>CHORIZO ANTIOQUEÑO  VIANDE X 225 G X 5 UND</t>
  </si>
  <si>
    <t>COLOR NATURAL NARANJA PR801WD</t>
  </si>
  <si>
    <t xml:space="preserve">Con Antioqueño  Viande </t>
  </si>
  <si>
    <t>LAM SUP CHZO ANTIOQUEÑO D1 225X 5X415 MM</t>
  </si>
  <si>
    <t>BRAZUELO DE CERDO IMPORTADO</t>
  </si>
  <si>
    <t>1 Und</t>
  </si>
  <si>
    <t>PROTEINA COLAGENICA ALTA FUNCIONALIDAD</t>
  </si>
  <si>
    <t>MEGA SALCHICHA TIPO MANGUERA X 1120 GRS 12 UND</t>
  </si>
  <si>
    <t>TOCINETA PAPADA 1 KG</t>
  </si>
  <si>
    <t>TOCINETA BARRIGUERO 1 KG</t>
  </si>
  <si>
    <t>CHORIZO CON TERNERA VIANDE X 225 GRS</t>
  </si>
  <si>
    <t>CHORIZO ANTIOQUEÑO VIANDE X 225 GRS</t>
  </si>
  <si>
    <t>CHORIZO CON TERNERA X 220 GRS 4 UNDS</t>
  </si>
  <si>
    <t>CHORIZO CON TERNERA X 1100 GRS 20 UNDS</t>
  </si>
  <si>
    <t>CHORIZO DE CERDO X 1000 GRS 20 UNDS</t>
  </si>
  <si>
    <t>CHORIZO SANTARROSANO COCTEL X 1000 GRS X 74 UND</t>
  </si>
  <si>
    <t>CHORIZO SANTARROSANO LARGO X 1200 GRS 15 UNDS</t>
  </si>
  <si>
    <t>CHORIZO SANTARROSANO CORTO PERRITOS 480 GRS X 12 UNDS</t>
  </si>
  <si>
    <t xml:space="preserve">MORTADELA JAMONADA X 225 GRS X 12 UNDS </t>
  </si>
  <si>
    <t>TOTAL INSUMOS (UND 1100 G)</t>
  </si>
  <si>
    <t>SALCHICHÓN DE CERVECERO  X 225 GRAMOS</t>
  </si>
  <si>
    <t>Mortadela Jamonada</t>
  </si>
  <si>
    <t>ETI RESPALDO MDELA JAMONAD 225 G X 12 TJ</t>
  </si>
  <si>
    <t>MORTADELA JAMONADA</t>
  </si>
  <si>
    <t>MORTADELA SELECCIONADA X 225G - 17 UND. VIANDE</t>
  </si>
  <si>
    <t>CHORIZO ANTIOQUEÑO X 225 VIANDE</t>
  </si>
  <si>
    <t>CERVECERO FAIZAN X 225 G</t>
  </si>
  <si>
    <t>1 UND</t>
  </si>
  <si>
    <t>1 bacth</t>
  </si>
  <si>
    <t>SALCHICHA DESAYUNO PREMIUM FZAN X 240 X 7UND</t>
  </si>
  <si>
    <t xml:space="preserve">JAMON SANDUCHE FZAN X 225 </t>
  </si>
  <si>
    <t>JAMÓN SANDUCHE X 450 G X 24 UND FZAN</t>
  </si>
  <si>
    <t>JAMON DE CERDO PREMIUM X 200 G - 10 UND FZAN</t>
  </si>
  <si>
    <t>Costo Batch</t>
  </si>
  <si>
    <t>ETI SALCHICHA DESAYUNO PREMIUM X 240G</t>
  </si>
  <si>
    <t>ETI JAMON SANDUCHE 225 GR X 12 U</t>
  </si>
  <si>
    <t>JMN SANDUCHE ÉXITO  X 225 G</t>
  </si>
  <si>
    <t>ETI JAMON SANDUCHE 450 GR X 24 U</t>
  </si>
  <si>
    <t>CHORIZO SANTARROSANO COCTEL X 1 KG</t>
  </si>
  <si>
    <t>FUNDA COLAGENO NDX 17/50</t>
  </si>
  <si>
    <t>SCHA MANGUERA 1120 G - 12 UND</t>
  </si>
  <si>
    <t>MEGA SALCHICHA TIPO MANGUERA 1120 G 12 UND</t>
  </si>
  <si>
    <t>CHORIZO COCTEL SANTARROSANO X 1000 74 UND</t>
  </si>
  <si>
    <t>CHORIZO SANTARROSANO  LARGO PERRITOS 1.2 G 15 UND</t>
  </si>
  <si>
    <t xml:space="preserve">CHORIZO SANTARROSANO x 1200 </t>
  </si>
  <si>
    <t>CHORIZO SANTARROSANO CORTO x 480 12 und</t>
  </si>
  <si>
    <t>CHORIZO SANTARROSANO LARGO x 1200 15 und</t>
  </si>
  <si>
    <t>Chorizo Mexicano</t>
  </si>
  <si>
    <t>CONSERVANTE INBAC ACN NA</t>
  </si>
  <si>
    <t>TOMATE EN POLVO</t>
  </si>
  <si>
    <t>SCHA DESAYUNO 960 G - 28 UNDS</t>
  </si>
  <si>
    <t>ETI MEGA SALCHICHA X 1120GR X 12U</t>
  </si>
  <si>
    <t>SALCHICHA DESAYUNO X 960 GRS</t>
  </si>
  <si>
    <t xml:space="preserve">SALCHICHA DESAYUNO PREMIUM X 960 </t>
  </si>
  <si>
    <t>ETI RESPALDO JMN SANDUCHE 450 G X 24 TJ</t>
  </si>
  <si>
    <t>Octubre
COP / APP</t>
  </si>
  <si>
    <t>Costo del Batch</t>
  </si>
  <si>
    <t>CILANTRO MOLIDO</t>
  </si>
  <si>
    <t>LUCTAROMA CHORIZO ANTIOQUEÑO 81110B</t>
  </si>
  <si>
    <t>PROTEINA CONCENTRADA DE SOYA 70%</t>
  </si>
  <si>
    <t>RECORTE CERDO 80/20 NAL MEZCLADOS</t>
  </si>
  <si>
    <t>GRAPAS POLY- R-ID M 07-150</t>
  </si>
  <si>
    <t>BRAZUELO DE CERDO NACIONAL</t>
  </si>
  <si>
    <t>TUBU SALCHICHON CERVECERO FAIZAN X 1300G</t>
  </si>
  <si>
    <t>HUMO TRUSMOKE OIL EX</t>
  </si>
  <si>
    <t>MEZCLA FOSFATOS CARFOSEL996 (GRANULAR)</t>
  </si>
  <si>
    <t>FUNDA CELULOSA 26 X 84</t>
  </si>
  <si>
    <t>LAM INFE SUDPACK GVP 130-323 MM</t>
  </si>
  <si>
    <t>MEZCLA LIQUIDA SALCHICHA</t>
  </si>
  <si>
    <t>FUNDA CELULOSA 18 X 100</t>
  </si>
  <si>
    <t>FUNDA CELULOSA 23 X 100</t>
  </si>
  <si>
    <t>BRAZUELO CHARQUEADO</t>
  </si>
  <si>
    <t>SAL YODADA REFISAL</t>
  </si>
  <si>
    <t>FUNDA COLAGENO NDXF 25/50</t>
  </si>
  <si>
    <t>ETI CHORIZO DE CERDO 250G X 5 UDS</t>
  </si>
  <si>
    <t>PROTEINA CONCENTRADA SOYA 65%</t>
  </si>
  <si>
    <t>PROTEINA TEXTURIZADA DE SOYA 70%</t>
  </si>
  <si>
    <t>LAM SUP CHZO SANTARO 300 G X 5 U 302 MM</t>
  </si>
  <si>
    <t>PIMIENTA NEGRA MOLIDa</t>
  </si>
  <si>
    <t>PIMIENTA DE CAYENA</t>
  </si>
  <si>
    <t>HIELO EN ESCAMAS</t>
  </si>
  <si>
    <t>PREPARADO SABOR JAMON T 3391</t>
  </si>
  <si>
    <t>TAROMA HAM</t>
  </si>
  <si>
    <t>CLIPS HC25-3218T</t>
  </si>
  <si>
    <t>ETI RESPALDO JMN PREMIUM 400 G X 20 TJ</t>
  </si>
  <si>
    <t>PROTEINA TEXTURIZADA DE TRIGO - HAMB CJA</t>
  </si>
  <si>
    <t>SEPARADOR 16,5 X 16,5 CM TRANSPARENTE</t>
  </si>
  <si>
    <t>LUCTAROMA SCHA POLLO ASADO 82894B</t>
  </si>
  <si>
    <t>PROTEINA TEXTURIZADA DE TRIGO - MNESA</t>
  </si>
  <si>
    <t>REPELE CHARQUEADO</t>
  </si>
  <si>
    <t>FUNDA CELULOSA 17X95</t>
  </si>
  <si>
    <t>ETI RESPALDO SCHA DESAYUNO 480 G X 14 UN</t>
  </si>
  <si>
    <t>PASTA DE POLLO importada premium</t>
  </si>
  <si>
    <t>FUNDA POLIAMIDA 19 X 110 - MEGA SCHA.</t>
  </si>
  <si>
    <t>FIBROSA FVP CLS 95 B3 4 H3 MORTADELA</t>
  </si>
  <si>
    <t>LAM SUP SALCH CLASICA 225G 9UN 302</t>
  </si>
  <si>
    <t>TUBU SALCHICHON CERVECERO FAIZAN 225G</t>
  </si>
  <si>
    <t>CAJA KOBA SALCHICHON TRADICIONAL VIANDE</t>
  </si>
  <si>
    <t>LAM COMBO VIANDE</t>
  </si>
  <si>
    <t>RECORTE DE CERDO 80/20 IMPORTADO</t>
  </si>
  <si>
    <t>FUNDA CELULOSA 24X84</t>
  </si>
  <si>
    <t>FUNDA CELULOSA 28X84</t>
  </si>
  <si>
    <t>LUCTAROMA CEBOLLA FRITA 82973B</t>
  </si>
  <si>
    <t>TOCINO FORANEO</t>
  </si>
  <si>
    <t>TOCINO BARRIGUERO PARA INYECCION</t>
  </si>
  <si>
    <t xml:space="preserve">PERNIL DE CERDO </t>
  </si>
  <si>
    <t>MALLA ZIP-NET-28-P368/50GR- ROJA Y VERDE</t>
  </si>
  <si>
    <t>MALLA JIF PAK 08SQRU 45MR SM4</t>
  </si>
  <si>
    <t>BOLSA TERMOENCOGIBLE 8X10</t>
  </si>
  <si>
    <t>SALSA DE CIRUELAS SOBRE X 80G TECNAS</t>
  </si>
  <si>
    <t>pernil de cerdo</t>
  </si>
  <si>
    <t>CHORIZO SANTARROSANO x 1200 x 20 und</t>
  </si>
  <si>
    <t>SALCHICHA SUPER PERRO X 500 G - 10 UNDS</t>
  </si>
  <si>
    <t>SALCHICHA SUPER PERRO FAZAN X 500 GRS 10 UND</t>
  </si>
  <si>
    <t>ETI RESPALDO SCHA S.PERRO 500 G X 10 UND</t>
  </si>
  <si>
    <t xml:space="preserve">ETI SALCHIPERRO CALIENTE 480 G X 12UND  </t>
  </si>
  <si>
    <t>ETI CERVECERITO 50 GR X 5 TAJ</t>
  </si>
  <si>
    <t>BOLSA CERVECERITO PREMIUM X 6U 16CMX22CM</t>
  </si>
  <si>
    <t>SALCHICHA SUPER PERRO X 500 G</t>
  </si>
  <si>
    <t>CHORIZO CON TERNERA X 1100 G -</t>
  </si>
  <si>
    <t>LAM SUP MEGA COMBO FAIZAN X 675 G X 3 UD</t>
  </si>
  <si>
    <t>CHORIZO DE CERDO X 400 G - 8 UND</t>
  </si>
  <si>
    <t>CHORIZO COCTEL SANTARROSANO X 300 xx  UND</t>
  </si>
  <si>
    <t>CHORIZO SANTARROSANO COCTEL X 300 GRS</t>
  </si>
  <si>
    <t>CHORIZO SANTARROSANO COCTEL X 300  GRS 24 UNDS</t>
  </si>
  <si>
    <t>X</t>
  </si>
  <si>
    <t>ETI CHZO COCTEL SANTA ROSANO X 300 G</t>
  </si>
  <si>
    <t>Línea Especiales</t>
  </si>
  <si>
    <t>PERNIL NAVIDEÑO</t>
  </si>
  <si>
    <t>CHORIZO CON TERNERA X 220 G - 4 UND</t>
  </si>
  <si>
    <t>CHORIZO DE CERDO X 100 G - 2 UNDS</t>
  </si>
  <si>
    <t>TOTAL INSUMOS (UND 100 G)</t>
  </si>
  <si>
    <t>TOTAL COSTO POR UND (100)</t>
  </si>
  <si>
    <t>LAM SUP CHZO CERDO 100 G X 2 U 302 MM</t>
  </si>
  <si>
    <t>CHORIZO DE CERDO X 100 GRS</t>
  </si>
  <si>
    <t>LAM SUP CHZO CERDO 1000 G X 20 U 302 MM</t>
  </si>
  <si>
    <t>CHORIZO DE CERDO X 1000 G - 20 unds</t>
  </si>
  <si>
    <t>LAM SUP CHZO TERNER 220 G X 4 U 302 MM</t>
  </si>
  <si>
    <t>ETI RESPALDO CHZO TERNERA 220 G X 4 UN</t>
  </si>
  <si>
    <t>CHORIZO CON TERNERA X 220 G - 4 UNDS</t>
  </si>
  <si>
    <t>SALCHICHA TIPO INSTITUCIONAL  x 1200 15 und -PERRITOS</t>
  </si>
  <si>
    <t>CHORIZO CON TERNERA X 440 G - 8 UND FAZAN</t>
  </si>
  <si>
    <t>LAM SUP SALCH CLASICA 450G 18UN 302</t>
  </si>
  <si>
    <t>ETI RESPALDO SCHA CLASICA 450 G X 18 UND</t>
  </si>
  <si>
    <t>LAM SUP MEGA COMBO FAIZAN X 900 G X 4 UD</t>
  </si>
  <si>
    <t xml:space="preserve">MORATDELA JAMONADA X 225 GRS </t>
  </si>
  <si>
    <t>JAMÓN PREMIUM FAIZAN 120 G - 5 UNDS.</t>
  </si>
  <si>
    <t xml:space="preserve">JAMON PREMIUM X 120 </t>
  </si>
  <si>
    <t>LAM SUP JAMON CERD PREM 120GR 6TJ 302MM</t>
  </si>
  <si>
    <t>ETI RESPALDO JMN PREMIUM 120 G X 6TJ</t>
  </si>
  <si>
    <t>CHORIZO CON TERNERA X 440 G - 8 UND FZAN</t>
  </si>
  <si>
    <t>Ya está en etiqueta con lamina transparente</t>
  </si>
  <si>
    <t>Ya está en etiqueta y lam transp</t>
  </si>
  <si>
    <t>Etiqueta scantec</t>
  </si>
  <si>
    <t>Ya está en lamina impresa</t>
  </si>
  <si>
    <t>ETI CHORIZO CERDO 400 G X 8 UND</t>
  </si>
  <si>
    <t>CHORIZO CON TERNERA X 1.100 G - 20 UNDS</t>
  </si>
  <si>
    <t>TOCINO PAPADA PARA INYECCION</t>
  </si>
  <si>
    <t>Octubre  COP / Kg.</t>
  </si>
  <si>
    <t xml:space="preserve"> Batch $$</t>
  </si>
  <si>
    <t>Batch $$</t>
  </si>
  <si>
    <t>ETI CHORIZO CON TERNERA X 110 GR X 2 U</t>
  </si>
  <si>
    <t xml:space="preserve">SAL REDUCIDA EN SODIO 60/40             </t>
  </si>
  <si>
    <t xml:space="preserve">SAL CURANTE AL 12 %                     </t>
  </si>
  <si>
    <t xml:space="preserve">PREPARADO SABOR  CERVECERO NEO          </t>
  </si>
  <si>
    <t xml:space="preserve">CEBOLLA EN POLVO                        </t>
  </si>
  <si>
    <t xml:space="preserve">HUMO CHARDEX EN POLVO                   </t>
  </si>
  <si>
    <t xml:space="preserve">AJO MOLIDO DESHIDRATADO B.1             </t>
  </si>
  <si>
    <t xml:space="preserve">TUBU SALCHICHON CERVECERO FAIZAN X 500G </t>
  </si>
  <si>
    <t xml:space="preserve">LAZOS POLY-CLIP GSA20                   </t>
  </si>
  <si>
    <t xml:space="preserve">TUBU SALCHICHON AUTENTICO X750 G        </t>
  </si>
  <si>
    <t xml:space="preserve">TUBU SALCHICHON CERVECERO FAIZAN 1500G  </t>
  </si>
  <si>
    <t xml:space="preserve">CONSERVANTE INBAC ACN NA                </t>
  </si>
  <si>
    <t xml:space="preserve">LAM INFE SUDPACK GVA200 BT323 MM 8MM    </t>
  </si>
  <si>
    <t xml:space="preserve">RECORTE CERDO 80/20 NAL EMULSIFICADOS </t>
  </si>
  <si>
    <t xml:space="preserve">ERITORBATO DE SODIO                     </t>
  </si>
  <si>
    <t xml:space="preserve">DEXTROSA                                </t>
  </si>
  <si>
    <t xml:space="preserve">LAM INFE SUDPACK GVP 130-323 MM         </t>
  </si>
  <si>
    <t xml:space="preserve">PVH LIQUIDA M 1222                      </t>
  </si>
  <si>
    <t xml:space="preserve">EXTRACTO PROTEICO LC 300                </t>
  </si>
  <si>
    <t xml:space="preserve">SOLU TEX GRASAS NEUTRO                  </t>
  </si>
  <si>
    <t xml:space="preserve">FUNDA CELULOSA 18 X 100                 </t>
  </si>
  <si>
    <t xml:space="preserve">LAM SUP SALCH SUPER PERRO 500G 10UN 302 </t>
  </si>
  <si>
    <t xml:space="preserve">COLOR LOY NARANJA LIQ A10 1             </t>
  </si>
  <si>
    <t xml:space="preserve">COLOR NATURAL NARANJA RA 40-3 9827      </t>
  </si>
  <si>
    <t xml:space="preserve">PREPARADO SABOR CHORIZO TERNERA         </t>
  </si>
  <si>
    <t xml:space="preserve">FUNDA COLAGENO ND 26/60                 </t>
  </si>
  <si>
    <t xml:space="preserve">SAL YODADA REFISAL                      </t>
  </si>
  <si>
    <t xml:space="preserve">SABOR CERDO COCIDO                      </t>
  </si>
  <si>
    <t xml:space="preserve">COMINO MOLIDO B                         </t>
  </si>
  <si>
    <t xml:space="preserve">PREPARADO SABOR CHORIZO CERDO           </t>
  </si>
  <si>
    <t xml:space="preserve">FUNDA COLAGENO NDXF 25/50               </t>
  </si>
  <si>
    <t xml:space="preserve">COLOR CARAMELO                          </t>
  </si>
  <si>
    <t xml:space="preserve">ETI RESPALDO CHORIZO SANTA ROSANO X 480 </t>
  </si>
  <si>
    <t>ETI CHZO COCTEL SANTA ROSANO X 1000 G</t>
  </si>
  <si>
    <t xml:space="preserve">HIELO EN ESCAMAS                        </t>
  </si>
  <si>
    <t xml:space="preserve">TAROMA HAM                              </t>
  </si>
  <si>
    <t xml:space="preserve">FIBROSA FVP CLS 140 JAMON               </t>
  </si>
  <si>
    <t xml:space="preserve">ETI JAMON DE CERDO PREMIUM X 200G       </t>
  </si>
  <si>
    <t xml:space="preserve">ADITIVO BURGER MEAT 80 B NAT            </t>
  </si>
  <si>
    <t xml:space="preserve">RECORTE DE PECHUGA 95 5 SIN PIEL        </t>
  </si>
  <si>
    <t xml:space="preserve">ETI MEGA SALCHICHA X 560GR X 6U         </t>
  </si>
  <si>
    <t xml:space="preserve">PIEL DE POLLO                           </t>
  </si>
  <si>
    <t xml:space="preserve">ENTURBIANTE EN POLVO DPA                </t>
  </si>
  <si>
    <t xml:space="preserve">PIMIENTA BLANCA MOLIDA                  </t>
  </si>
  <si>
    <t xml:space="preserve">BATIDO COMPLETO                         </t>
  </si>
  <si>
    <t xml:space="preserve">APANADO NARANJA GRUESO                  </t>
  </si>
  <si>
    <t xml:space="preserve">TUBULAR EMBUTIDO 180 MM MILANESA        </t>
  </si>
  <si>
    <t xml:space="preserve">BOLSA NARANJA MILANE X 600G X 5UDS      </t>
  </si>
  <si>
    <t xml:space="preserve">BOLSA AMARILLA MILANESA X 1800G X 15UDS </t>
  </si>
  <si>
    <t xml:space="preserve">AROMA SALCHICHON TRADICIONAL 84987B     </t>
  </si>
  <si>
    <t xml:space="preserve">GRAPAS POLY-CLIP R15-07                 </t>
  </si>
  <si>
    <t xml:space="preserve">TUBU SALCHICHON FAIZAN AUTENTICO 225G   </t>
  </si>
  <si>
    <t xml:space="preserve">AROMA MORTADELA TRAD 88896B </t>
  </si>
  <si>
    <t xml:space="preserve">TUBU SALCHICHON POLL FAIZAN X 225G      </t>
  </si>
  <si>
    <t xml:space="preserve">PREPARADO SABOR JAMON T 3391            </t>
  </si>
  <si>
    <t xml:space="preserve">TUBU SALCHICHON TRADICI VIANDE X 500G   </t>
  </si>
  <si>
    <t xml:space="preserve">TUBU SALCHICHON POLLO BRAKEL X 500G     </t>
  </si>
  <si>
    <t xml:space="preserve">CAJA KOBA SALCHICHON DE POLLO BRAKEL    </t>
  </si>
  <si>
    <t xml:space="preserve">TUBU SALCHICHON POLLO BRAKEL 225G       </t>
  </si>
  <si>
    <t>MDELA VIANDÉ X 225 G - 17 UND SC V1. -</t>
  </si>
  <si>
    <t xml:space="preserve">LAM SUP MDELA VIANDE 225G X 17UNDS 415  </t>
  </si>
  <si>
    <t xml:space="preserve">PREPARADO SABOR CERVECERO SV GF         </t>
  </si>
  <si>
    <t xml:space="preserve">TUBU SALCHICHON CERVECERO VIANDE X 225G </t>
  </si>
  <si>
    <t xml:space="preserve">LAM SUP SALCHI VIANDE 225G X 8UNDS 415  </t>
  </si>
  <si>
    <t xml:space="preserve">LAM SUP JAMON VIANDE X300G 70X415MM     </t>
  </si>
  <si>
    <t xml:space="preserve">CAJA JAMON DE CERDO VIANDE (32 UND)     </t>
  </si>
  <si>
    <t>CAJA SCHA SUPER PERRO  X 4 KG - 10 U</t>
  </si>
  <si>
    <t>SALCHICHA LONG X 20 UNDS X 1100 GRS</t>
  </si>
  <si>
    <t>SALCHICHA POP X  40 UNDS X 1000 GRS</t>
  </si>
  <si>
    <t>SALCHICHA LONG FP 1100 G X 20 UND</t>
  </si>
  <si>
    <t>SALCHICHA UNINORTE X 1280 GRS X 16 UNDS</t>
  </si>
  <si>
    <t>SALCHICHA LONG X 1100 GRS X 20 UNDS</t>
  </si>
  <si>
    <t>FUNDA CELULOSA 20 X 110</t>
  </si>
  <si>
    <t xml:space="preserve">BOLSA HAMB X 450G X 5UND                </t>
  </si>
  <si>
    <t xml:space="preserve">BOLSA IMP ROJA HAMB X900 G X10UND MODER </t>
  </si>
  <si>
    <t xml:space="preserve">BOLSA AD BCO IMPR FAIZAN 23 X 25        </t>
  </si>
  <si>
    <t xml:space="preserve">BOLSA SIN IMP 25 x 35 FLEXIBLE          </t>
  </si>
  <si>
    <t>SALCHICHON DE POLLO BRAKEL X 225</t>
  </si>
  <si>
    <t>MORTADELA SELECCIONADA X 225</t>
  </si>
  <si>
    <t>SALCHICHON CERVECERO VIANDE X 225</t>
  </si>
  <si>
    <t>SALCHCIHA SELECCIONADA VIANDE X 225</t>
  </si>
  <si>
    <t>Codigo</t>
  </si>
  <si>
    <t>LUCTAROMA AHUMADO TOCINETA 85812B</t>
  </si>
  <si>
    <t xml:space="preserve">AZUCAR REFINADA                         </t>
  </si>
  <si>
    <t>TRANSGLUTAMINASA PROLINK MB-MM BOLSA 1KG</t>
  </si>
  <si>
    <t>TBBQ GSF DRY X 500 G</t>
  </si>
  <si>
    <t>TRUSMOKE 25 x 4 KG</t>
  </si>
  <si>
    <t xml:space="preserve">ETI TOCINETA FAZAN AHUM X 150 G X 10 TJ </t>
  </si>
  <si>
    <t xml:space="preserve">ETI RESPALDO TOCINETA FAZAN AHUM 150 G </t>
  </si>
  <si>
    <t>TOTAL COSTO POR UND (150 G)</t>
  </si>
  <si>
    <t>SALCHICHA UNINORTE 1280 G X 15 UND</t>
  </si>
  <si>
    <t>CODIGO</t>
  </si>
  <si>
    <t>Fazàn</t>
  </si>
  <si>
    <t>PLASTICA AHUMADA BTM CAL 540 X 123 CM</t>
  </si>
  <si>
    <t>Tocineta Pre Cocida</t>
  </si>
  <si>
    <t xml:space="preserve">LAM SUP TRANS ECOWEB M/PAUV 60U 404MM   </t>
  </si>
  <si>
    <t>HUMO TRUSMOKE DRY x 20 KG</t>
  </si>
  <si>
    <t xml:space="preserve">ETI JAMON SANDUCHE 500GR 28TJ           </t>
  </si>
  <si>
    <t>ETI MDELA JMDA T SANDUCHE 225 GR X 12 U</t>
  </si>
  <si>
    <t>LAM INFE SUDPACK GVP130-423 MM</t>
  </si>
  <si>
    <t xml:space="preserve">ETI JAMON FAIZAN PREM 400G 20 TAJ       </t>
  </si>
  <si>
    <t>CHORIZO DE CERDO X 1000 G - 20 UND</t>
  </si>
  <si>
    <t>TOCINETA REESTRUCTURADA X 1000 KG</t>
  </si>
  <si>
    <t xml:space="preserve">TOCINETA REESTRUCTURADA X 150 GRS </t>
  </si>
  <si>
    <t>JAMON DE CERDO PREMIUM X 200G - 10 UND. FAZAN</t>
  </si>
  <si>
    <t>JAMON DE CERDO PREMIUM X 200G - 10 UND. ÉXITO</t>
  </si>
  <si>
    <t>TOCINETA RESTRUCTURADA FAZÀN X 1 KG</t>
  </si>
  <si>
    <t>MILANESA DE POLLO APANADA X 240G - 2 UND.</t>
  </si>
  <si>
    <t>BOLSA NARANJA MILANE X 240G X 2UDS</t>
  </si>
  <si>
    <t>TOCIENTA REESTRUCTURADA FAZÀN X 1000 GRS X 78 UNDS</t>
  </si>
  <si>
    <t xml:space="preserve">ETI SALCHICHA DESAYUNO PREMIUM 480G     </t>
  </si>
  <si>
    <t>PIROFOSFATO ACIDO DE SODIO</t>
  </si>
  <si>
    <t>JAMON DE CERDO PREMIUM X 120 G - 6 UND FZA</t>
  </si>
  <si>
    <t xml:space="preserve">JAMON DE CERDO PREMIUM X 220 G - 11 UND </t>
  </si>
  <si>
    <t>MILANESA DE POLLO APANADA X 240 G - 2 UND</t>
  </si>
  <si>
    <t>TOCIENTA REESTRUCTURADA FAZÀN X 150 GRS X 10 UNDS</t>
  </si>
  <si>
    <t>CAJA BA+TA SUP COMBO TRADICIONAL VIANDE</t>
  </si>
  <si>
    <t>LINEA SALCHICHAS</t>
  </si>
  <si>
    <t>LINEA CHORIZOS</t>
  </si>
  <si>
    <t>LINEA SALCHICHONES</t>
  </si>
  <si>
    <t>LINEA TAJADOS</t>
  </si>
  <si>
    <t>LINEA HAMBURGUESAS</t>
  </si>
  <si>
    <t>LINEA OFERTAS</t>
  </si>
  <si>
    <t>LINEA TOCINOS</t>
  </si>
  <si>
    <t>LINEA</t>
  </si>
  <si>
    <t>LINEA SALCHICHICHONES</t>
  </si>
  <si>
    <t>LINEA JAMONES</t>
  </si>
  <si>
    <t>ETI MDLA CLASICA 225 G FAZAN</t>
  </si>
  <si>
    <t>HAMBURGUESA DE POLLO X 750 GRS 5 UNDS</t>
  </si>
  <si>
    <t>CHORIZO SANTARROSANO VIANDE X 225 GRS 5 UND</t>
  </si>
  <si>
    <t>CHORIZO SANTARROSANO  VIANDE X 225 G X 5 UND</t>
  </si>
  <si>
    <t>CHORIZO SANTARROSANO VIANDE X 225 GRS 5 UNDS</t>
  </si>
  <si>
    <t>SUPRAMEAT TRANSGLUTAMINASA MEAT PLUS 874</t>
  </si>
  <si>
    <t xml:space="preserve">ETI CHORIZO TERNERA X 120G X 2 UDS      </t>
  </si>
  <si>
    <t xml:space="preserve">SUPRAMEAT TRANSGLUTAMINASA MEAT PLUS 874 </t>
  </si>
  <si>
    <t>45,,10</t>
  </si>
  <si>
    <t>N/A</t>
  </si>
  <si>
    <t>SNACK SCHON CERV PREM X 50 G</t>
  </si>
  <si>
    <t>OFTA CERV PREM X 3 UND X 150 G</t>
  </si>
  <si>
    <t>PREPARADO SABOR CERVECERO PREMIUM SV LS</t>
  </si>
  <si>
    <t>COLOR ROJO AC-150</t>
  </si>
  <si>
    <t>SNACK CERVCERITO PREMIUM X 3 UND X 150 GRS</t>
  </si>
  <si>
    <t>HAMBURGUESA DE POLLO X 750 G - 5 UND.</t>
  </si>
  <si>
    <t>TOCINO NACIONAL</t>
  </si>
  <si>
    <t>TOCIENTA REESTRUCTURADA FAZÀN X 150 GRS X 10 UNDS - RX</t>
  </si>
  <si>
    <t>TOCIENTA REESTRUCTURADA FAZÀN X 1000 GRS X 78 UNDS - RX</t>
  </si>
  <si>
    <t>SALCHICHA SUPER PERRO X 2.5 - 50 UNDS - RX</t>
  </si>
  <si>
    <t>SNACK CERVECERITO X150 GRS</t>
  </si>
  <si>
    <t>SNACK CERVECERITO  X150 GRS</t>
  </si>
  <si>
    <t>Viande</t>
  </si>
  <si>
    <t>COLOR NATURAL ROJO AC150</t>
  </si>
  <si>
    <t>SUPRAMEAT PLUS</t>
  </si>
  <si>
    <t>SALCHICHON SNACK CERVECERO PREMIUM X 50 G - 3 UND</t>
  </si>
  <si>
    <t>Q Batch</t>
  </si>
  <si>
    <t xml:space="preserve">LAM INFE SUDPACK BTX 100-323 MM       </t>
  </si>
  <si>
    <t>LAM INFE SUDPACK BTX 100-323 MM</t>
  </si>
  <si>
    <t>LAM SUPER PERRO VIANDE 400G X 445MM 50MI</t>
  </si>
  <si>
    <t>LUCTAROMA CHORIZO SANTARROSANO 81738C</t>
  </si>
  <si>
    <t>ETI TOCINETA FAZAN AHUM X 1 KG X 66 TJ</t>
  </si>
  <si>
    <t>ETI SALCHICHA SUPER PERRO X 2.5 X 50 U</t>
  </si>
  <si>
    <t>CAJA B/T SNACK CERVECERITO X 1.8KG-12U</t>
  </si>
  <si>
    <t>EXTRACTO PROTEICO GP 83</t>
  </si>
  <si>
    <t>LAM SUP TRANS ECOWEB 42 U 445 MM</t>
  </si>
  <si>
    <t>ETI PERNIL DE CERDO NAVIDEÑO X 500 G</t>
  </si>
  <si>
    <t>LAM SUP SNACK CERVECERITO  VIANDE X 50GR</t>
  </si>
  <si>
    <t xml:space="preserve">FIBROSA NALO P CLEAR 53 MM  </t>
  </si>
  <si>
    <t>SALCHICHA SUIZA X 990 GRS 9 UNDS</t>
  </si>
  <si>
    <t>SCHA SUIZA X 990 G X  9 UDS MULTIVAC</t>
  </si>
  <si>
    <t>$ MPC</t>
  </si>
  <si>
    <t>NUEZ MOSCADA - visde</t>
  </si>
  <si>
    <t>PIMIENTA BLANCA</t>
  </si>
  <si>
    <t>COLOR ROJO CARMIN AC150</t>
  </si>
  <si>
    <t>Clavo en polvo Visdecol</t>
  </si>
  <si>
    <t>HUMO H&amp;B =p50</t>
  </si>
  <si>
    <t>CILANTRO MOLIDO Visdecol</t>
  </si>
  <si>
    <t>Salchicha Suiza</t>
  </si>
  <si>
    <t>usa</t>
  </si>
  <si>
    <t>COP</t>
  </si>
  <si>
    <t>LAM INFE SUDPACK GVA 200 x 460 MM</t>
  </si>
  <si>
    <t>TOTAL INSUMOS (UND 990 G)</t>
  </si>
  <si>
    <t>TOTAL COSTO POR UND (1000G)</t>
  </si>
  <si>
    <t xml:space="preserve">MARGEN BRUTO </t>
  </si>
  <si>
    <t>COP / g</t>
  </si>
  <si>
    <t>ETI MINI PERRO X 1 KG X 40 U</t>
  </si>
  <si>
    <t>SALCHICHA SUIZA X 990 G X 9 UNDS</t>
  </si>
  <si>
    <t>FUNDA COLAGENO  NDX F 28 / 50</t>
  </si>
  <si>
    <t>LAM INFE SUDPACK BTX 100 X 460 MM</t>
  </si>
  <si>
    <t>BOLSA BLANCA HSA POLLO X 750G X 5UDS</t>
  </si>
  <si>
    <t>MORTADELA JAMONADA FAZAN X 225 G</t>
  </si>
  <si>
    <t>REPROCESO: MORTADELA SELECCIONADA</t>
  </si>
  <si>
    <t>HUMO TRUSMOKE DRY X 20 KG</t>
  </si>
  <si>
    <t>TRIPA PLASTICA MRB 190 AZUL EASY PEEL</t>
  </si>
  <si>
    <t>CAJA + TAPA MORT JAMONADA X 400 G - 24 U</t>
  </si>
  <si>
    <t>LAM SUP MORTAD JAMON V X 400 GR X 415 MM</t>
  </si>
  <si>
    <t>Mortadela Jamonada Viande</t>
  </si>
  <si>
    <t>MORTADELA JAMÓNADA VIANDE X 400 GRS</t>
  </si>
  <si>
    <t>VIANDE</t>
  </si>
  <si>
    <t>MORTADELA JAMONADA VIANDE X 400 GRS</t>
  </si>
  <si>
    <t>SALCHICHA PERRO CALIENTE  X 480 G - 12 UNDS</t>
  </si>
  <si>
    <t>HAMBURGUESA DE POLLO X 750 5 UND</t>
  </si>
  <si>
    <t xml:space="preserve">TOCINETA REESTRUCTURADA X 400 GRS </t>
  </si>
  <si>
    <t>TOCIENTA REESTRUCTURADA FAZÀN X 400 GRS X 27 UNDS - RX</t>
  </si>
  <si>
    <t>TOCINETA RESTRUCTURADA FAZÀN X 400 GRS X 27 UNDS</t>
  </si>
  <si>
    <t>TOCINETA RESTRUCTURADA FAZÀN X 150 GRS X 10 UNDS</t>
  </si>
  <si>
    <t xml:space="preserve">CHORIZO RED DE ALIMENTOS </t>
  </si>
  <si>
    <t>FAZÀN</t>
  </si>
  <si>
    <t>Chorizo Red de Alimentos F1</t>
  </si>
  <si>
    <t>PASTA DE POLLO ESTANDAR 6mm</t>
  </si>
  <si>
    <t>PIEL DE POLLO       8mm</t>
  </si>
  <si>
    <t xml:space="preserve">AGUA             </t>
  </si>
  <si>
    <t xml:space="preserve">SAL YODADA          </t>
  </si>
  <si>
    <t xml:space="preserve">AZUCAR </t>
  </si>
  <si>
    <t>COLOR LOY.(NARANJA LIQUIDO A10-1).</t>
  </si>
  <si>
    <t>HUMO TRUSMOKE 45</t>
  </si>
  <si>
    <t>CHORIZOS</t>
  </si>
  <si>
    <t xml:space="preserve">Chorizo </t>
  </si>
  <si>
    <t>COSTO  DE MEZCLA</t>
  </si>
  <si>
    <t>COSTO MATERIAL DE EMPAQUE</t>
  </si>
  <si>
    <t>unds x mt</t>
  </si>
  <si>
    <t>Etiqueta blanca</t>
  </si>
  <si>
    <t>TOTAL INSUMOS (UND 90G)</t>
  </si>
  <si>
    <t>TOTAL COSTO POR UND (90G)</t>
  </si>
  <si>
    <t>CLORURO DE POTASIO - KCL</t>
  </si>
  <si>
    <t>CONSERVANTE PROVIAN K</t>
  </si>
  <si>
    <t xml:space="preserve">MAY-COP/Kg </t>
  </si>
  <si>
    <t>MAY-COP/APP</t>
  </si>
  <si>
    <t xml:space="preserve">MAY-COP/UMB </t>
  </si>
  <si>
    <t>Mayo</t>
  </si>
  <si>
    <t>TOCINO</t>
  </si>
  <si>
    <t>ETI SALCHICHA DESAYUNO PREMI X 115 X 5 U</t>
  </si>
  <si>
    <t>ETI RESPAL CHZO TERNERA 440 G 8 U EXITO</t>
  </si>
  <si>
    <t>ETI CHZO TERNERA 440 G X 8U - G.EXITO</t>
  </si>
  <si>
    <t xml:space="preserve">CAJA HAMBURGUESA X 2700GR               </t>
  </si>
  <si>
    <t>MB-JUN</t>
  </si>
  <si>
    <t xml:space="preserve">JUN-COP/Kg </t>
  </si>
  <si>
    <t>JUN-COP/APP</t>
  </si>
  <si>
    <t xml:space="preserve">JUN-COP/UMB </t>
  </si>
  <si>
    <t>CAJA+TAPA CHORIZO SANTA VIANDE X 16 UNDS</t>
  </si>
  <si>
    <t>MB - JUNIO  COSTOS</t>
  </si>
  <si>
    <t>MB - JUNIO</t>
  </si>
  <si>
    <t>MB - MAY</t>
  </si>
  <si>
    <t xml:space="preserve">TUBU SALCHICHON CERVECERO FAIZAN 750G   </t>
  </si>
  <si>
    <t>FUNDA CELULOSA 19 X 125</t>
  </si>
  <si>
    <t>JAMÓN PREMIUM FAIZAN 220 G - 11 UNDS.</t>
  </si>
  <si>
    <t xml:space="preserve">JAMON PREMIUM FAZAN 220 </t>
  </si>
  <si>
    <t>ETI JAMON DE CERDO PREMIUM X 220G</t>
  </si>
  <si>
    <t xml:space="preserve">ETI RESPALDO JMN PREMIUM 220 G X 11 TJ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</si>
</sst>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  <numFmt numFmtId="166" formatCode="0.000"/>
    <numFmt numFmtId="167" formatCode="_(* #,##0.00_);_(* \(#,##0.00\);_(* &quot;-&quot;??_);_(@_)"/>
    <numFmt numFmtId="168" formatCode="_(* #,##0.000_);_(* \(#,##0.000\);_(* &quot;-&quot;??_);_(@_)"/>
    <numFmt numFmtId="169" formatCode="_(* #,##0.0_);_(* \(#,##0.0\);_(* &quot;-&quot;??_);_(@_)"/>
    <numFmt numFmtId="170" formatCode="0.0"/>
    <numFmt numFmtId="171" formatCode="_-* #,##0.00\ _$_-;\-* #,##0.00\ _$_-;_-* &quot;-&quot;??\ _$_-;_-@_-"/>
    <numFmt numFmtId="172" formatCode="0.0%"/>
    <numFmt numFmtId="173" formatCode="0.0000"/>
    <numFmt numFmtId="174" formatCode="_-* #,##0.0000_-;\-* #,##0.0000_-;_-* &quot;-&quot;??_-;_-@_-"/>
    <numFmt numFmtId="175" formatCode="#,##0.000"/>
    <numFmt numFmtId="176" formatCode="_(* #,##0_);_(* \(#,##0\);_(* &quot;-&quot;??_);_(@_)"/>
    <numFmt numFmtId="177" formatCode="0.000%"/>
    <numFmt numFmtId="178" formatCode="_-* #,##0.0_-;\-* #,##0.0_-;_-* &quot;-&quot;??_-;_-@_-"/>
    <numFmt numFmtId="179" formatCode="_-* #,##0.000_-;\-* #,##0.000_-;_-* &quot;-&quot;???_-;_-@_-"/>
    <numFmt numFmtId="180" formatCode="\$#,##0.00"/>
    <numFmt numFmtId="181" formatCode="_-[$$-240A]\ * #,##0.00_-;\-[$$-240A]\ * #,##0.00_-;_-[$$-240A]\ * &quot;-&quot;??_-;_-@_-"/>
    <numFmt numFmtId="182" formatCode="_-&quot;$&quot;\ * #.##0.00000000_-;\-&quot;$&quot;\ * #.##0.00000000_-;_-&quot;$&quot;\ * &quot;-&quot;??_-;_-@_-"/>
    <numFmt numFmtId="183" formatCode="_-&quot;$&quot;\ * #,##0_-;\-&quot;$&quot;\ * #,##0_-;_-&quot;$&quot;\ * &quot;-&quot;??_-;_-@_-"/>
    <numFmt numFmtId="184" formatCode="&quot;$&quot;#,##0.00"/>
    <numFmt numFmtId="185" formatCode="#,##0.000_ ;\-#,##0.000\ "/>
    <numFmt numFmtId="186" formatCode="#,##0_ ;\-#,##0\ "/>
    <numFmt numFmtId="187" formatCode="_-* #,##0.00000_-;\-* #,##0.00000_-;_-* &quot;-&quot;??_-;_-@_-"/>
    <numFmt numFmtId="188" formatCode="#,##0.0"/>
    <numFmt numFmtId="189" formatCode="_-* #,##0.000000_-;\-* #,##0.000000_-;_-* &quot;-&quot;??_-;_-@_-"/>
    <numFmt numFmtId="190" formatCode="_-* #,##0_-;\-* #,##0_-;_-* &quot;-&quot;???_-;_-@_-"/>
    <numFmt numFmtId="191" formatCode="_-[$$-240A]\ * #,##0_-;\-[$$-240A]\ * #,##0_-;_-[$$-240A]\ * &quot;-&quot;??_-;_-@_-"/>
    <numFmt numFmtId="192" formatCode="_-&quot;$&quot;\ * #,##0.000_-;\-&quot;$&quot;\ * #,##0.000_-;_-&quot;$&quot;\ * &quot;-&quot;??_-;_-@_-"/>
    <numFmt numFmtId="193" formatCode="_-&quot;$&quot;\ * #,##0.0_-;\-&quot;$&quot;\ * #,##0.0_-;_-&quot;$&quot;\ * &quot;-&quot;??_-;_-@_-"/>
    <numFmt numFmtId="194" formatCode="\$#,##0"/>
    <numFmt numFmtId="195" formatCode="&quot;$&quot;\ #,##0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10"/>
      <color theme="0"/>
      <name val="Century Gothic"/>
      <family val="2"/>
    </font>
    <font>
      <i/>
      <sz val="10"/>
      <color rgb="FF000000"/>
      <name val="Century Gothic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name val="Arial"/>
      <family val="2"/>
    </font>
    <font>
      <b/>
      <sz val="10"/>
      <color theme="0"/>
      <name val="Century Gothic"/>
      <family val="2"/>
    </font>
    <font>
      <i/>
      <sz val="10"/>
      <name val="Century Gothic"/>
      <family val="2"/>
    </font>
    <font>
      <b/>
      <sz val="10"/>
      <name val="Century Gothic"/>
      <family val="2"/>
    </font>
    <font>
      <b/>
      <sz val="20"/>
      <color theme="0"/>
      <name val="Century Gothic"/>
      <family val="2"/>
    </font>
    <font>
      <sz val="14"/>
      <color rgb="FF000000"/>
      <name val="Century Gothic"/>
      <family val="2"/>
    </font>
    <font>
      <sz val="10"/>
      <color rgb="FFFFFFFF"/>
      <name val="Century Gothic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alibri"/>
      <family val="2"/>
    </font>
    <font>
      <b/>
      <sz val="11"/>
      <color theme="1"/>
      <name val="MS Reference Sans Serif"/>
      <family val="2"/>
    </font>
    <font>
      <b/>
      <sz val="11"/>
      <color theme="1"/>
      <name val="Century Gothic"/>
      <family val="2"/>
    </font>
    <font>
      <sz val="11"/>
      <color theme="0"/>
      <name val="Century Gothic"/>
      <family val="2"/>
    </font>
    <font>
      <b/>
      <sz val="12"/>
      <name val="Century Gothic"/>
      <family val="2"/>
    </font>
    <font>
      <sz val="9"/>
      <color rgb="FF000000"/>
      <name val="Century Gothic"/>
      <family val="2"/>
    </font>
    <font>
      <sz val="10"/>
      <color indexed="8"/>
      <name val="Century Gothic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b/>
      <sz val="11"/>
      <color theme="0"/>
      <name val="Calibri"/>
      <family val="2"/>
      <scheme val="minor"/>
    </font>
    <font>
      <b/>
      <sz val="12"/>
      <name val="Calibri Light"/>
      <family val="2"/>
      <scheme val="major"/>
    </font>
    <font>
      <b/>
      <sz val="14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i/>
      <sz val="11"/>
      <color theme="0"/>
      <name val="Calibri"/>
      <family val="2"/>
      <scheme val="minor"/>
    </font>
    <font>
      <b/>
      <sz val="13"/>
      <name val="Century Gothic"/>
      <family val="2"/>
    </font>
    <font>
      <sz val="13"/>
      <name val="Century Gothic"/>
      <family val="2"/>
    </font>
    <font>
      <sz val="11"/>
      <color indexed="8"/>
      <name val="Century Gothic"/>
      <family val="2"/>
    </font>
    <font>
      <i/>
      <sz val="11"/>
      <name val="Century Gothic"/>
      <family val="2"/>
    </font>
    <font>
      <i/>
      <sz val="11"/>
      <color rgb="FF000000"/>
      <name val="Century Gothic"/>
      <family val="2"/>
    </font>
    <font>
      <sz val="11"/>
      <color rgb="FFFFFFFF"/>
      <name val="Century Gothic"/>
      <family val="2"/>
    </font>
    <font>
      <b/>
      <sz val="12"/>
      <color rgb="FF000000"/>
      <name val="Century Gothic"/>
      <family val="2"/>
    </font>
    <font>
      <sz val="11"/>
      <color indexed="8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Century Gothic"/>
      <family val="2"/>
    </font>
    <font>
      <b/>
      <sz val="18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0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name val="Century Gothic"/>
      <family val="2"/>
    </font>
    <font>
      <sz val="8"/>
      <color indexed="8"/>
      <name val="Verdana"/>
      <family val="2"/>
    </font>
    <font>
      <b/>
      <sz val="16"/>
      <color rgb="FF000000"/>
      <name val="Century Gothic"/>
      <family val="2"/>
    </font>
    <font>
      <sz val="8"/>
      <name val="Calibri"/>
      <family val="2"/>
      <scheme val="minor"/>
    </font>
    <font>
      <sz val="13"/>
      <name val="Century Gothic"/>
      <family val="2"/>
    </font>
    <font>
      <sz val="8"/>
      <color indexed="8"/>
      <name val="Verdana"/>
      <family val="2"/>
    </font>
    <font>
      <b/>
      <sz val="14"/>
      <color theme="1"/>
      <name val="Calibri"/>
      <family val="2"/>
      <scheme val="minor"/>
    </font>
    <font>
      <sz val="8"/>
      <color indexed="8"/>
      <name val="Verdana"/>
      <family val="2"/>
    </font>
    <font>
      <sz val="12"/>
      <color rgb="FF242424"/>
      <name val="Aptos"/>
      <family val="2"/>
    </font>
    <font>
      <sz val="12"/>
      <color indexed="8"/>
      <name val="Century Gothic"/>
      <family val="2"/>
    </font>
    <font>
      <sz val="12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A5A5A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</fills>
  <borders count="66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FFFFFF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BFBFBF"/>
      </left>
      <right style="thin">
        <color theme="0"/>
      </right>
      <top style="thin">
        <color rgb="FFBFBFBF"/>
      </top>
      <bottom style="thin">
        <color rgb="FFBFBFBF"/>
      </bottom>
      <diagonal/>
    </border>
    <border>
      <left style="thin">
        <color theme="0"/>
      </left>
      <right style="thin">
        <color theme="0"/>
      </right>
      <top style="thin">
        <color rgb="FFBFBFBF"/>
      </top>
      <bottom style="thin">
        <color rgb="FFBFBFBF"/>
      </bottom>
      <diagonal/>
    </border>
    <border>
      <left style="thin">
        <color theme="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/>
      </left>
      <right style="thin">
        <color rgb="FFBFBFBF"/>
      </right>
      <top style="thin">
        <color theme="0"/>
      </top>
      <bottom style="thin">
        <color theme="0"/>
      </bottom>
      <diagonal/>
    </border>
    <border>
      <left style="thin">
        <color rgb="FFBFBFBF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BFBFBF"/>
      </top>
      <bottom style="thin">
        <color rgb="FFBFBFBF"/>
      </bottom>
      <diagonal/>
    </border>
  </borders>
  <cellStyleXfs count="27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31" fillId="0" borderId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3" fillId="22" borderId="59" applyNumberFormat="0" applyAlignment="0" applyProtection="0"/>
    <xf numFmtId="167" fontId="1" fillId="0" borderId="0" applyFont="0" applyFill="0" applyBorder="0" applyAlignment="0" applyProtection="0"/>
    <xf numFmtId="0" fontId="55" fillId="0" borderId="0" applyNumberFormat="0" applyFont="0" applyFill="0" applyBorder="0" applyAlignment="0" applyProtection="0"/>
    <xf numFmtId="0" fontId="61" fillId="0" borderId="0" applyNumberFormat="0" applyFont="0" applyFill="0" applyBorder="0" applyAlignment="0" applyProtection="0"/>
    <xf numFmtId="41" fontId="1" fillId="0" borderId="0" applyFont="0" applyFill="0" applyBorder="0" applyAlignment="0" applyProtection="0"/>
  </cellStyleXfs>
  <cellXfs count="1935">
    <xf numFmtId="0" fontId="0" fillId="0" borderId="0" xfId="0"/>
    <xf numFmtId="0" fontId="3" fillId="3" borderId="0" xfId="0" applyFont="1" applyFill="1"/>
    <xf numFmtId="43" fontId="4" fillId="2" borderId="2" xfId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/>
    <xf numFmtId="165" fontId="3" fillId="3" borderId="3" xfId="1" applyNumberFormat="1" applyFont="1" applyFill="1" applyBorder="1"/>
    <xf numFmtId="0" fontId="3" fillId="3" borderId="4" xfId="0" applyFont="1" applyFill="1" applyBorder="1"/>
    <xf numFmtId="164" fontId="3" fillId="3" borderId="4" xfId="1" applyNumberFormat="1" applyFont="1" applyFill="1" applyBorder="1"/>
    <xf numFmtId="43" fontId="3" fillId="3" borderId="4" xfId="0" applyNumberFormat="1" applyFont="1" applyFill="1" applyBorder="1"/>
    <xf numFmtId="165" fontId="3" fillId="3" borderId="4" xfId="1" applyNumberFormat="1" applyFont="1" applyFill="1" applyBorder="1"/>
    <xf numFmtId="164" fontId="3" fillId="3" borderId="4" xfId="0" applyNumberFormat="1" applyFont="1" applyFill="1" applyBorder="1"/>
    <xf numFmtId="0" fontId="3" fillId="3" borderId="5" xfId="0" applyFont="1" applyFill="1" applyBorder="1"/>
    <xf numFmtId="164" fontId="4" fillId="2" borderId="2" xfId="0" applyNumberFormat="1" applyFont="1" applyFill="1" applyBorder="1"/>
    <xf numFmtId="43" fontId="4" fillId="2" borderId="2" xfId="0" applyNumberFormat="1" applyFont="1" applyFill="1" applyBorder="1"/>
    <xf numFmtId="0" fontId="3" fillId="2" borderId="2" xfId="0" applyFont="1" applyFill="1" applyBorder="1"/>
    <xf numFmtId="165" fontId="4" fillId="2" borderId="2" xfId="0" applyNumberFormat="1" applyFont="1" applyFill="1" applyBorder="1"/>
    <xf numFmtId="0" fontId="4" fillId="3" borderId="0" xfId="0" applyFont="1" applyFill="1" applyAlignment="1">
      <alignment horizontal="left"/>
    </xf>
    <xf numFmtId="164" fontId="4" fillId="3" borderId="0" xfId="0" applyNumberFormat="1" applyFont="1" applyFill="1"/>
    <xf numFmtId="43" fontId="4" fillId="3" borderId="0" xfId="0" applyNumberFormat="1" applyFont="1" applyFill="1"/>
    <xf numFmtId="165" fontId="4" fillId="3" borderId="0" xfId="0" applyNumberFormat="1" applyFont="1" applyFill="1"/>
    <xf numFmtId="0" fontId="4" fillId="2" borderId="6" xfId="0" applyFont="1" applyFill="1" applyBorder="1"/>
    <xf numFmtId="0" fontId="3" fillId="3" borderId="6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43" fontId="4" fillId="2" borderId="2" xfId="1" applyFont="1" applyFill="1" applyBorder="1" applyAlignment="1">
      <alignment horizontal="center"/>
    </xf>
    <xf numFmtId="43" fontId="3" fillId="3" borderId="3" xfId="1" applyFont="1" applyFill="1" applyBorder="1"/>
    <xf numFmtId="43" fontId="3" fillId="3" borderId="4" xfId="1" applyFont="1" applyFill="1" applyBorder="1"/>
    <xf numFmtId="164" fontId="4" fillId="2" borderId="2" xfId="0" applyNumberFormat="1" applyFont="1" applyFill="1" applyBorder="1" applyAlignment="1">
      <alignment horizontal="center"/>
    </xf>
    <xf numFmtId="9" fontId="5" fillId="3" borderId="0" xfId="0" applyNumberFormat="1" applyFont="1" applyFill="1"/>
    <xf numFmtId="0" fontId="3" fillId="3" borderId="0" xfId="0" applyFont="1" applyFill="1" applyAlignment="1">
      <alignment horizontal="center" vertical="center"/>
    </xf>
    <xf numFmtId="9" fontId="6" fillId="3" borderId="0" xfId="0" applyNumberFormat="1" applyFont="1" applyFill="1"/>
    <xf numFmtId="0" fontId="3" fillId="0" borderId="4" xfId="0" applyFont="1" applyBorder="1"/>
    <xf numFmtId="164" fontId="3" fillId="0" borderId="4" xfId="1" applyNumberFormat="1" applyFont="1" applyFill="1" applyBorder="1"/>
    <xf numFmtId="43" fontId="3" fillId="0" borderId="4" xfId="0" applyNumberFormat="1" applyFont="1" applyBorder="1"/>
    <xf numFmtId="165" fontId="3" fillId="0" borderId="4" xfId="1" applyNumberFormat="1" applyFont="1" applyFill="1" applyBorder="1"/>
    <xf numFmtId="0" fontId="7" fillId="0" borderId="4" xfId="0" applyFont="1" applyBorder="1"/>
    <xf numFmtId="43" fontId="3" fillId="0" borderId="7" xfId="0" applyNumberFormat="1" applyFont="1" applyBorder="1"/>
    <xf numFmtId="43" fontId="3" fillId="3" borderId="5" xfId="1" applyFont="1" applyFill="1" applyBorder="1"/>
    <xf numFmtId="43" fontId="4" fillId="3" borderId="0" xfId="1" applyFont="1" applyFill="1"/>
    <xf numFmtId="43" fontId="3" fillId="3" borderId="0" xfId="1" applyFont="1" applyFill="1"/>
    <xf numFmtId="43" fontId="3" fillId="0" borderId="4" xfId="1" applyFont="1" applyFill="1" applyBorder="1"/>
    <xf numFmtId="164" fontId="4" fillId="2" borderId="2" xfId="1" applyNumberFormat="1" applyFont="1" applyFill="1" applyBorder="1"/>
    <xf numFmtId="43" fontId="3" fillId="2" borderId="2" xfId="1" applyFont="1" applyFill="1" applyBorder="1"/>
    <xf numFmtId="0" fontId="9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vertical="center"/>
    </xf>
    <xf numFmtId="167" fontId="9" fillId="3" borderId="0" xfId="1" applyNumberFormat="1" applyFont="1" applyFill="1" applyBorder="1" applyAlignment="1">
      <alignment vertical="center" wrapText="1"/>
    </xf>
    <xf numFmtId="0" fontId="12" fillId="3" borderId="0" xfId="0" applyFont="1" applyFill="1" applyAlignment="1">
      <alignment vertical="center"/>
    </xf>
    <xf numFmtId="168" fontId="9" fillId="3" borderId="0" xfId="1" applyNumberFormat="1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/>
    </xf>
    <xf numFmtId="167" fontId="11" fillId="2" borderId="4" xfId="1" applyNumberFormat="1" applyFont="1" applyFill="1" applyBorder="1" applyAlignment="1">
      <alignment horizontal="center" vertical="center" wrapText="1"/>
    </xf>
    <xf numFmtId="167" fontId="11" fillId="3" borderId="11" xfId="1" applyNumberFormat="1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vertical="center"/>
    </xf>
    <xf numFmtId="168" fontId="12" fillId="3" borderId="4" xfId="1" applyNumberFormat="1" applyFont="1" applyFill="1" applyBorder="1" applyAlignment="1">
      <alignment vertical="center"/>
    </xf>
    <xf numFmtId="164" fontId="12" fillId="3" borderId="11" xfId="1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/>
    </xf>
    <xf numFmtId="167" fontId="11" fillId="2" borderId="4" xfId="1" applyNumberFormat="1" applyFont="1" applyFill="1" applyBorder="1" applyAlignment="1">
      <alignment horizontal="left" vertical="center"/>
    </xf>
    <xf numFmtId="167" fontId="11" fillId="3" borderId="11" xfId="1" applyNumberFormat="1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167" fontId="11" fillId="3" borderId="0" xfId="1" applyNumberFormat="1" applyFont="1" applyFill="1" applyBorder="1" applyAlignment="1">
      <alignment horizontal="left" vertical="center"/>
    </xf>
    <xf numFmtId="168" fontId="12" fillId="3" borderId="0" xfId="1" applyNumberFormat="1" applyFont="1" applyFill="1" applyBorder="1" applyAlignment="1">
      <alignment vertical="center"/>
    </xf>
    <xf numFmtId="164" fontId="12" fillId="3" borderId="0" xfId="1" applyNumberFormat="1" applyFont="1" applyFill="1" applyBorder="1" applyAlignment="1">
      <alignment horizontal="left" vertical="center" wrapText="1"/>
    </xf>
    <xf numFmtId="10" fontId="9" fillId="3" borderId="0" xfId="2" applyNumberFormat="1" applyFont="1" applyFill="1" applyBorder="1" applyAlignment="1">
      <alignment vertical="center"/>
    </xf>
    <xf numFmtId="166" fontId="9" fillId="3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167" fontId="11" fillId="2" borderId="0" xfId="1" applyNumberFormat="1" applyFont="1" applyFill="1" applyBorder="1" applyAlignment="1">
      <alignment horizontal="left" vertical="center"/>
    </xf>
    <xf numFmtId="43" fontId="9" fillId="3" borderId="4" xfId="1" applyFont="1" applyFill="1" applyBorder="1" applyAlignment="1">
      <alignment vertical="center"/>
    </xf>
    <xf numFmtId="43" fontId="12" fillId="3" borderId="4" xfId="1" applyFont="1" applyFill="1" applyBorder="1" applyAlignment="1">
      <alignment vertical="center"/>
    </xf>
    <xf numFmtId="43" fontId="12" fillId="3" borderId="4" xfId="1" applyFont="1" applyFill="1" applyBorder="1" applyAlignment="1">
      <alignment horizontal="left" vertical="center"/>
    </xf>
    <xf numFmtId="43" fontId="9" fillId="3" borderId="4" xfId="0" applyNumberFormat="1" applyFont="1" applyFill="1" applyBorder="1" applyAlignment="1">
      <alignment vertical="center"/>
    </xf>
    <xf numFmtId="0" fontId="9" fillId="3" borderId="4" xfId="0" applyFont="1" applyFill="1" applyBorder="1"/>
    <xf numFmtId="167" fontId="10" fillId="2" borderId="4" xfId="0" applyNumberFormat="1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167" fontId="12" fillId="0" borderId="4" xfId="1" applyNumberFormat="1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167" fontId="11" fillId="2" borderId="12" xfId="1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/>
    </xf>
    <xf numFmtId="0" fontId="12" fillId="3" borderId="10" xfId="0" applyFont="1" applyFill="1" applyBorder="1" applyAlignment="1">
      <alignment vertical="center"/>
    </xf>
    <xf numFmtId="43" fontId="12" fillId="3" borderId="10" xfId="1" applyFont="1" applyFill="1" applyBorder="1" applyAlignment="1">
      <alignment horizontal="left" vertical="center" wrapText="1"/>
    </xf>
    <xf numFmtId="164" fontId="12" fillId="3" borderId="10" xfId="1" applyNumberFormat="1" applyFont="1" applyFill="1" applyBorder="1" applyAlignment="1">
      <alignment vertical="center"/>
    </xf>
    <xf numFmtId="43" fontId="11" fillId="2" borderId="3" xfId="1" applyFont="1" applyFill="1" applyBorder="1" applyAlignment="1">
      <alignment horizontal="left" vertical="center"/>
    </xf>
    <xf numFmtId="164" fontId="12" fillId="3" borderId="0" xfId="1" applyNumberFormat="1" applyFont="1" applyFill="1" applyBorder="1" applyAlignment="1">
      <alignment vertical="center"/>
    </xf>
    <xf numFmtId="43" fontId="12" fillId="3" borderId="0" xfId="1" applyFont="1" applyFill="1" applyBorder="1" applyAlignment="1">
      <alignment horizontal="left" vertical="center" wrapText="1"/>
    </xf>
    <xf numFmtId="165" fontId="9" fillId="3" borderId="4" xfId="1" applyNumberFormat="1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165" fontId="10" fillId="2" borderId="4" xfId="1" applyNumberFormat="1" applyFont="1" applyFill="1" applyBorder="1" applyAlignment="1">
      <alignment vertical="center"/>
    </xf>
    <xf numFmtId="0" fontId="2" fillId="5" borderId="0" xfId="0" applyFont="1" applyFill="1"/>
    <xf numFmtId="0" fontId="4" fillId="2" borderId="13" xfId="0" applyFont="1" applyFill="1" applyBorder="1"/>
    <xf numFmtId="0" fontId="3" fillId="3" borderId="13" xfId="0" applyFont="1" applyFill="1" applyBorder="1" applyAlignment="1">
      <alignment horizontal="center"/>
    </xf>
    <xf numFmtId="164" fontId="4" fillId="2" borderId="4" xfId="1" applyNumberFormat="1" applyFont="1" applyFill="1" applyBorder="1"/>
    <xf numFmtId="165" fontId="3" fillId="3" borderId="4" xfId="1" applyNumberFormat="1" applyFont="1" applyFill="1" applyBorder="1" applyAlignment="1">
      <alignment vertical="center"/>
    </xf>
    <xf numFmtId="43" fontId="3" fillId="3" borderId="4" xfId="0" applyNumberFormat="1" applyFont="1" applyFill="1" applyBorder="1" applyAlignment="1">
      <alignment vertical="center"/>
    </xf>
    <xf numFmtId="0" fontId="4" fillId="5" borderId="0" xfId="0" applyFont="1" applyFill="1"/>
    <xf numFmtId="169" fontId="11" fillId="2" borderId="0" xfId="1" applyNumberFormat="1" applyFont="1" applyFill="1" applyBorder="1" applyAlignment="1">
      <alignment horizontal="left" vertical="center"/>
    </xf>
    <xf numFmtId="168" fontId="11" fillId="2" borderId="3" xfId="1" applyNumberFormat="1" applyFont="1" applyFill="1" applyBorder="1" applyAlignment="1">
      <alignment horizontal="left" vertical="center"/>
    </xf>
    <xf numFmtId="164" fontId="3" fillId="3" borderId="0" xfId="1" applyNumberFormat="1" applyFont="1" applyFill="1"/>
    <xf numFmtId="43" fontId="4" fillId="5" borderId="0" xfId="1" applyFont="1" applyFill="1" applyBorder="1" applyAlignment="1"/>
    <xf numFmtId="164" fontId="4" fillId="2" borderId="2" xfId="1" applyNumberFormat="1" applyFont="1" applyFill="1" applyBorder="1" applyAlignment="1">
      <alignment horizontal="center"/>
    </xf>
    <xf numFmtId="164" fontId="3" fillId="3" borderId="3" xfId="1" applyNumberFormat="1" applyFont="1" applyFill="1" applyBorder="1"/>
    <xf numFmtId="168" fontId="10" fillId="2" borderId="4" xfId="0" applyNumberFormat="1" applyFont="1" applyFill="1" applyBorder="1" applyAlignment="1">
      <alignment vertical="center"/>
    </xf>
    <xf numFmtId="165" fontId="4" fillId="5" borderId="0" xfId="1" applyNumberFormat="1" applyFont="1" applyFill="1" applyBorder="1" applyAlignment="1"/>
    <xf numFmtId="43" fontId="3" fillId="3" borderId="4" xfId="1" applyFont="1" applyFill="1" applyBorder="1" applyAlignment="1">
      <alignment vertical="center"/>
    </xf>
    <xf numFmtId="165" fontId="3" fillId="3" borderId="0" xfId="1" applyNumberFormat="1" applyFont="1" applyFill="1"/>
    <xf numFmtId="0" fontId="3" fillId="0" borderId="3" xfId="0" applyFont="1" applyBorder="1" applyAlignment="1">
      <alignment horizontal="left"/>
    </xf>
    <xf numFmtId="164" fontId="3" fillId="0" borderId="3" xfId="1" applyNumberFormat="1" applyFont="1" applyFill="1" applyBorder="1" applyAlignment="1">
      <alignment horizontal="left"/>
    </xf>
    <xf numFmtId="43" fontId="3" fillId="0" borderId="3" xfId="0" applyNumberFormat="1" applyFont="1" applyBorder="1" applyAlignment="1">
      <alignment horizontal="left"/>
    </xf>
    <xf numFmtId="165" fontId="3" fillId="0" borderId="3" xfId="1" applyNumberFormat="1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4" xfId="0" applyFont="1" applyBorder="1" applyAlignment="1">
      <alignment horizontal="left"/>
    </xf>
    <xf numFmtId="165" fontId="3" fillId="0" borderId="4" xfId="1" applyNumberFormat="1" applyFont="1" applyFill="1" applyBorder="1" applyAlignment="1">
      <alignment horizontal="left"/>
    </xf>
    <xf numFmtId="43" fontId="3" fillId="3" borderId="0" xfId="1" applyFont="1" applyFill="1" applyBorder="1"/>
    <xf numFmtId="165" fontId="4" fillId="3" borderId="0" xfId="1" applyNumberFormat="1" applyFont="1" applyFill="1" applyBorder="1" applyAlignment="1">
      <alignment horizontal="center"/>
    </xf>
    <xf numFmtId="43" fontId="4" fillId="2" borderId="4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64" fontId="3" fillId="3" borderId="0" xfId="1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43" fontId="4" fillId="2" borderId="4" xfId="1" applyFont="1" applyFill="1" applyBorder="1" applyAlignment="1">
      <alignment horizontal="center" vertical="center" wrapText="1"/>
    </xf>
    <xf numFmtId="43" fontId="3" fillId="3" borderId="19" xfId="1" applyFont="1" applyFill="1" applyBorder="1"/>
    <xf numFmtId="43" fontId="3" fillId="3" borderId="10" xfId="1" applyFont="1" applyFill="1" applyBorder="1"/>
    <xf numFmtId="9" fontId="5" fillId="3" borderId="0" xfId="1" applyNumberFormat="1" applyFont="1" applyFill="1"/>
    <xf numFmtId="43" fontId="3" fillId="3" borderId="14" xfId="1" applyFont="1" applyFill="1" applyBorder="1"/>
    <xf numFmtId="43" fontId="3" fillId="3" borderId="23" xfId="1" applyFont="1" applyFill="1" applyBorder="1"/>
    <xf numFmtId="0" fontId="4" fillId="2" borderId="21" xfId="0" applyFont="1" applyFill="1" applyBorder="1" applyAlignment="1">
      <alignment horizontal="center" vertical="center"/>
    </xf>
    <xf numFmtId="43" fontId="4" fillId="2" borderId="21" xfId="1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 wrapText="1"/>
    </xf>
    <xf numFmtId="43" fontId="4" fillId="5" borderId="0" xfId="1" applyFont="1" applyFill="1" applyBorder="1" applyAlignment="1">
      <alignment vertical="center"/>
    </xf>
    <xf numFmtId="43" fontId="4" fillId="5" borderId="0" xfId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/>
    </xf>
    <xf numFmtId="43" fontId="4" fillId="6" borderId="2" xfId="1" applyFont="1" applyFill="1" applyBorder="1" applyAlignment="1">
      <alignment horizontal="center" vertical="center"/>
    </xf>
    <xf numFmtId="43" fontId="4" fillId="6" borderId="2" xfId="1" applyFont="1" applyFill="1" applyBorder="1" applyAlignment="1">
      <alignment horizontal="center"/>
    </xf>
    <xf numFmtId="172" fontId="14" fillId="5" borderId="0" xfId="2" applyNumberFormat="1" applyFont="1" applyFill="1"/>
    <xf numFmtId="9" fontId="5" fillId="5" borderId="0" xfId="0" applyNumberFormat="1" applyFont="1" applyFill="1"/>
    <xf numFmtId="43" fontId="4" fillId="2" borderId="21" xfId="1" applyFont="1" applyFill="1" applyBorder="1" applyAlignment="1">
      <alignment horizontal="center" vertical="center" wrapText="1"/>
    </xf>
    <xf numFmtId="0" fontId="3" fillId="5" borderId="0" xfId="0" applyFont="1" applyFill="1"/>
    <xf numFmtId="172" fontId="4" fillId="5" borderId="0" xfId="2" applyNumberFormat="1" applyFont="1" applyFill="1"/>
    <xf numFmtId="9" fontId="15" fillId="5" borderId="0" xfId="0" applyNumberFormat="1" applyFont="1" applyFill="1"/>
    <xf numFmtId="164" fontId="4" fillId="2" borderId="4" xfId="1" applyNumberFormat="1" applyFont="1" applyFill="1" applyBorder="1" applyAlignment="1">
      <alignment horizontal="center" vertical="center"/>
    </xf>
    <xf numFmtId="164" fontId="3" fillId="3" borderId="4" xfId="1" applyNumberFormat="1" applyFont="1" applyFill="1" applyBorder="1" applyAlignment="1">
      <alignment vertical="center"/>
    </xf>
    <xf numFmtId="0" fontId="4" fillId="2" borderId="21" xfId="0" applyFont="1" applyFill="1" applyBorder="1" applyAlignment="1">
      <alignment horizontal="center" vertical="center" wrapText="1"/>
    </xf>
    <xf numFmtId="164" fontId="4" fillId="2" borderId="21" xfId="1" applyNumberFormat="1" applyFont="1" applyFill="1" applyBorder="1" applyAlignment="1">
      <alignment horizontal="center" vertical="center"/>
    </xf>
    <xf numFmtId="43" fontId="3" fillId="3" borderId="0" xfId="1" applyFont="1" applyFill="1" applyAlignment="1">
      <alignment vertical="center"/>
    </xf>
    <xf numFmtId="164" fontId="4" fillId="2" borderId="4" xfId="1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43" fontId="4" fillId="8" borderId="4" xfId="1" applyFont="1" applyFill="1" applyBorder="1" applyAlignment="1">
      <alignment horizontal="center" vertical="center" wrapText="1"/>
    </xf>
    <xf numFmtId="43" fontId="4" fillId="8" borderId="2" xfId="1" applyFont="1" applyFill="1" applyBorder="1" applyAlignment="1">
      <alignment horizontal="center" vertical="center" wrapText="1"/>
    </xf>
    <xf numFmtId="43" fontId="4" fillId="8" borderId="2" xfId="1" applyFont="1" applyFill="1" applyBorder="1" applyAlignment="1">
      <alignment horizontal="center"/>
    </xf>
    <xf numFmtId="172" fontId="16" fillId="5" borderId="0" xfId="2" applyNumberFormat="1" applyFont="1" applyFill="1"/>
    <xf numFmtId="43" fontId="3" fillId="3" borderId="0" xfId="0" applyNumberFormat="1" applyFont="1" applyFill="1"/>
    <xf numFmtId="0" fontId="3" fillId="3" borderId="4" xfId="0" applyFont="1" applyFill="1" applyBorder="1" applyAlignment="1">
      <alignment vertical="center"/>
    </xf>
    <xf numFmtId="164" fontId="4" fillId="2" borderId="4" xfId="1" applyNumberFormat="1" applyFont="1" applyFill="1" applyBorder="1" applyAlignment="1">
      <alignment vertical="center"/>
    </xf>
    <xf numFmtId="43" fontId="4" fillId="2" borderId="4" xfId="1" applyFont="1" applyFill="1" applyBorder="1" applyAlignment="1">
      <alignment vertical="center"/>
    </xf>
    <xf numFmtId="165" fontId="4" fillId="2" borderId="4" xfId="1" applyNumberFormat="1" applyFont="1" applyFill="1" applyBorder="1" applyAlignment="1">
      <alignment vertical="center"/>
    </xf>
    <xf numFmtId="164" fontId="4" fillId="5" borderId="0" xfId="1" applyNumberFormat="1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3" fillId="3" borderId="1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3" fillId="3" borderId="3" xfId="1" applyNumberFormat="1" applyFont="1" applyFill="1" applyBorder="1" applyAlignment="1">
      <alignment vertical="center"/>
    </xf>
    <xf numFmtId="43" fontId="3" fillId="3" borderId="3" xfId="1" applyFont="1" applyFill="1" applyBorder="1" applyAlignment="1">
      <alignment vertical="center"/>
    </xf>
    <xf numFmtId="9" fontId="5" fillId="3" borderId="0" xfId="0" applyNumberFormat="1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172" fontId="4" fillId="4" borderId="0" xfId="2" applyNumberFormat="1" applyFont="1" applyFill="1" applyAlignment="1">
      <alignment vertical="center"/>
    </xf>
    <xf numFmtId="9" fontId="5" fillId="4" borderId="0" xfId="0" applyNumberFormat="1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43" fontId="4" fillId="6" borderId="4" xfId="1" applyFont="1" applyFill="1" applyBorder="1" applyAlignment="1">
      <alignment vertical="center"/>
    </xf>
    <xf numFmtId="43" fontId="4" fillId="7" borderId="4" xfId="1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172" fontId="4" fillId="5" borderId="0" xfId="2" applyNumberFormat="1" applyFont="1" applyFill="1" applyAlignment="1">
      <alignment vertical="center"/>
    </xf>
    <xf numFmtId="43" fontId="3" fillId="3" borderId="0" xfId="0" applyNumberFormat="1" applyFont="1" applyFill="1" applyAlignment="1">
      <alignment vertical="center"/>
    </xf>
    <xf numFmtId="167" fontId="10" fillId="6" borderId="4" xfId="0" applyNumberFormat="1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/>
    <xf numFmtId="165" fontId="4" fillId="8" borderId="4" xfId="1" applyNumberFormat="1" applyFont="1" applyFill="1" applyBorder="1" applyAlignment="1">
      <alignment horizontal="center" vertical="center" wrapText="1"/>
    </xf>
    <xf numFmtId="165" fontId="12" fillId="3" borderId="4" xfId="1" applyNumberFormat="1" applyFont="1" applyFill="1" applyBorder="1" applyAlignment="1">
      <alignment horizontal="left" vertical="center"/>
    </xf>
    <xf numFmtId="165" fontId="9" fillId="3" borderId="0" xfId="1" applyNumberFormat="1" applyFont="1" applyFill="1" applyAlignment="1">
      <alignment vertical="center"/>
    </xf>
    <xf numFmtId="165" fontId="2" fillId="5" borderId="0" xfId="1" applyNumberFormat="1" applyFont="1" applyFill="1" applyBorder="1" applyAlignment="1"/>
    <xf numFmtId="0" fontId="7" fillId="3" borderId="0" xfId="0" applyFont="1" applyFill="1" applyAlignment="1">
      <alignment horizontal="center" vertical="center"/>
    </xf>
    <xf numFmtId="0" fontId="7" fillId="3" borderId="0" xfId="0" applyFont="1" applyFill="1"/>
    <xf numFmtId="164" fontId="12" fillId="3" borderId="4" xfId="1" applyNumberFormat="1" applyFont="1" applyFill="1" applyBorder="1" applyAlignment="1">
      <alignment vertical="center"/>
    </xf>
    <xf numFmtId="164" fontId="9" fillId="3" borderId="4" xfId="1" applyNumberFormat="1" applyFont="1" applyFill="1" applyBorder="1" applyAlignment="1">
      <alignment vertical="center"/>
    </xf>
    <xf numFmtId="164" fontId="9" fillId="3" borderId="0" xfId="1" applyNumberFormat="1" applyFont="1" applyFill="1" applyAlignment="1">
      <alignment vertical="center"/>
    </xf>
    <xf numFmtId="164" fontId="10" fillId="2" borderId="4" xfId="1" applyNumberFormat="1" applyFont="1" applyFill="1" applyBorder="1" applyAlignment="1">
      <alignment vertical="center"/>
    </xf>
    <xf numFmtId="164" fontId="12" fillId="3" borderId="4" xfId="1" applyNumberFormat="1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170" fontId="3" fillId="3" borderId="6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172" fontId="14" fillId="5" borderId="0" xfId="2" applyNumberFormat="1" applyFont="1" applyFill="1" applyAlignment="1">
      <alignment vertical="center"/>
    </xf>
    <xf numFmtId="9" fontId="5" fillId="5" borderId="0" xfId="0" applyNumberFormat="1" applyFont="1" applyFill="1" applyAlignment="1">
      <alignment vertical="center"/>
    </xf>
    <xf numFmtId="165" fontId="4" fillId="8" borderId="21" xfId="1" applyNumberFormat="1" applyFont="1" applyFill="1" applyBorder="1" applyAlignment="1">
      <alignment horizontal="center" vertical="center" wrapText="1"/>
    </xf>
    <xf numFmtId="43" fontId="4" fillId="8" borderId="21" xfId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9" fontId="5" fillId="4" borderId="0" xfId="0" applyNumberFormat="1" applyFont="1" applyFill="1" applyAlignment="1">
      <alignment horizontal="center" vertical="center"/>
    </xf>
    <xf numFmtId="164" fontId="3" fillId="3" borderId="4" xfId="0" applyNumberFormat="1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172" fontId="14" fillId="4" borderId="0" xfId="2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49" fontId="7" fillId="0" borderId="0" xfId="3" applyNumberFormat="1" applyFont="1"/>
    <xf numFmtId="0" fontId="4" fillId="2" borderId="30" xfId="0" applyFont="1" applyFill="1" applyBorder="1" applyAlignment="1">
      <alignment horizontal="center" vertical="center"/>
    </xf>
    <xf numFmtId="43" fontId="4" fillId="6" borderId="2" xfId="0" applyNumberFormat="1" applyFont="1" applyFill="1" applyBorder="1"/>
    <xf numFmtId="0" fontId="3" fillId="3" borderId="34" xfId="0" applyFont="1" applyFill="1" applyBorder="1"/>
    <xf numFmtId="43" fontId="3" fillId="3" borderId="7" xfId="1" applyFont="1" applyFill="1" applyBorder="1"/>
    <xf numFmtId="43" fontId="4" fillId="6" borderId="30" xfId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65" fontId="4" fillId="3" borderId="0" xfId="1" applyNumberFormat="1" applyFont="1" applyFill="1" applyAlignment="1">
      <alignment vertical="center"/>
    </xf>
    <xf numFmtId="165" fontId="3" fillId="3" borderId="0" xfId="1" applyNumberFormat="1" applyFont="1" applyFill="1" applyAlignment="1">
      <alignment vertical="center"/>
    </xf>
    <xf numFmtId="172" fontId="16" fillId="5" borderId="0" xfId="2" applyNumberFormat="1" applyFont="1" applyFill="1" applyAlignment="1">
      <alignment vertical="center"/>
    </xf>
    <xf numFmtId="43" fontId="4" fillId="2" borderId="30" xfId="1" applyFont="1" applyFill="1" applyBorder="1" applyAlignment="1">
      <alignment horizontal="center" vertical="center"/>
    </xf>
    <xf numFmtId="164" fontId="3" fillId="3" borderId="10" xfId="1" applyNumberFormat="1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2" fillId="5" borderId="21" xfId="0" applyFont="1" applyFill="1" applyBorder="1" applyAlignment="1">
      <alignment vertical="center"/>
    </xf>
    <xf numFmtId="165" fontId="4" fillId="5" borderId="0" xfId="1" applyNumberFormat="1" applyFont="1" applyFill="1" applyBorder="1" applyAlignment="1">
      <alignment vertical="center"/>
    </xf>
    <xf numFmtId="43" fontId="3" fillId="3" borderId="10" xfId="1" applyFont="1" applyFill="1" applyBorder="1" applyAlignment="1">
      <alignment vertical="center"/>
    </xf>
    <xf numFmtId="0" fontId="7" fillId="0" borderId="0" xfId="3" applyFont="1"/>
    <xf numFmtId="0" fontId="4" fillId="2" borderId="29" xfId="0" applyFont="1" applyFill="1" applyBorder="1" applyAlignment="1">
      <alignment horizontal="center" vertical="center"/>
    </xf>
    <xf numFmtId="43" fontId="4" fillId="2" borderId="29" xfId="1" applyFont="1" applyFill="1" applyBorder="1" applyAlignment="1">
      <alignment horizontal="center" vertical="center"/>
    </xf>
    <xf numFmtId="43" fontId="4" fillId="5" borderId="0" xfId="1" applyFont="1" applyFill="1" applyBorder="1" applyAlignment="1">
      <alignment horizontal="left" vertical="center"/>
    </xf>
    <xf numFmtId="165" fontId="4" fillId="6" borderId="4" xfId="1" applyNumberFormat="1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164" fontId="3" fillId="0" borderId="4" xfId="1" applyNumberFormat="1" applyFont="1" applyFill="1" applyBorder="1" applyAlignment="1">
      <alignment vertical="center"/>
    </xf>
    <xf numFmtId="43" fontId="3" fillId="0" borderId="4" xfId="0" applyNumberFormat="1" applyFont="1" applyBorder="1" applyAlignment="1">
      <alignment vertical="center"/>
    </xf>
    <xf numFmtId="165" fontId="3" fillId="0" borderId="4" xfId="1" applyNumberFormat="1" applyFont="1" applyFill="1" applyBorder="1" applyAlignment="1">
      <alignment vertical="center"/>
    </xf>
    <xf numFmtId="43" fontId="3" fillId="3" borderId="7" xfId="1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43" fontId="3" fillId="3" borderId="5" xfId="1" applyFont="1" applyFill="1" applyBorder="1" applyAlignment="1">
      <alignment vertical="center"/>
    </xf>
    <xf numFmtId="164" fontId="4" fillId="2" borderId="2" xfId="1" applyNumberFormat="1" applyFont="1" applyFill="1" applyBorder="1" applyAlignment="1">
      <alignment vertical="center"/>
    </xf>
    <xf numFmtId="43" fontId="4" fillId="2" borderId="2" xfId="0" applyNumberFormat="1" applyFont="1" applyFill="1" applyBorder="1" applyAlignment="1">
      <alignment vertical="center"/>
    </xf>
    <xf numFmtId="0" fontId="4" fillId="3" borderId="0" xfId="0" applyFont="1" applyFill="1" applyAlignment="1">
      <alignment horizontal="left" vertical="center"/>
    </xf>
    <xf numFmtId="43" fontId="4" fillId="3" borderId="0" xfId="1" applyFont="1" applyFill="1" applyAlignment="1">
      <alignment vertical="center"/>
    </xf>
    <xf numFmtId="43" fontId="4" fillId="3" borderId="0" xfId="0" applyNumberFormat="1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0" fontId="17" fillId="5" borderId="0" xfId="0" applyFont="1" applyFill="1" applyAlignment="1">
      <alignment vertical="center"/>
    </xf>
    <xf numFmtId="165" fontId="3" fillId="3" borderId="3" xfId="1" applyNumberFormat="1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164" fontId="3" fillId="0" borderId="3" xfId="1" applyNumberFormat="1" applyFont="1" applyFill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3" fillId="0" borderId="3" xfId="1" applyNumberFormat="1" applyFont="1" applyFill="1" applyBorder="1" applyAlignment="1">
      <alignment vertical="center"/>
    </xf>
    <xf numFmtId="43" fontId="3" fillId="0" borderId="4" xfId="1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65" fontId="4" fillId="2" borderId="2" xfId="0" applyNumberFormat="1" applyFont="1" applyFill="1" applyBorder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43" fontId="4" fillId="2" borderId="4" xfId="0" applyNumberFormat="1" applyFont="1" applyFill="1" applyBorder="1"/>
    <xf numFmtId="164" fontId="3" fillId="5" borderId="0" xfId="1" applyNumberFormat="1" applyFont="1" applyFill="1"/>
    <xf numFmtId="164" fontId="3" fillId="5" borderId="0" xfId="1" applyNumberFormat="1" applyFont="1" applyFill="1" applyAlignment="1">
      <alignment vertical="center"/>
    </xf>
    <xf numFmtId="43" fontId="3" fillId="7" borderId="3" xfId="1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165" fontId="3" fillId="3" borderId="0" xfId="1" applyNumberFormat="1" applyFont="1" applyFill="1" applyAlignment="1">
      <alignment horizontal="center" vertical="center"/>
    </xf>
    <xf numFmtId="165" fontId="3" fillId="3" borderId="0" xfId="0" applyNumberFormat="1" applyFont="1" applyFill="1"/>
    <xf numFmtId="165" fontId="7" fillId="3" borderId="0" xfId="1" applyNumberFormat="1" applyFont="1" applyFill="1" applyAlignment="1">
      <alignment horizontal="center" vertical="center"/>
    </xf>
    <xf numFmtId="165" fontId="7" fillId="3" borderId="0" xfId="0" applyNumberFormat="1" applyFont="1" applyFill="1"/>
    <xf numFmtId="173" fontId="3" fillId="3" borderId="0" xfId="0" applyNumberFormat="1" applyFont="1" applyFill="1"/>
    <xf numFmtId="164" fontId="3" fillId="3" borderId="0" xfId="1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43" fontId="3" fillId="3" borderId="0" xfId="1" applyFont="1" applyFill="1" applyAlignment="1">
      <alignment horizontal="center" vertical="center"/>
    </xf>
    <xf numFmtId="43" fontId="3" fillId="0" borderId="3" xfId="1" applyFont="1" applyFill="1" applyBorder="1" applyAlignment="1">
      <alignment vertical="center"/>
    </xf>
    <xf numFmtId="43" fontId="4" fillId="2" borderId="2" xfId="1" applyFont="1" applyFill="1" applyBorder="1" applyAlignment="1">
      <alignment vertical="center"/>
    </xf>
    <xf numFmtId="43" fontId="2" fillId="5" borderId="0" xfId="1" applyFont="1" applyFill="1" applyBorder="1" applyAlignment="1">
      <alignment vertical="center"/>
    </xf>
    <xf numFmtId="164" fontId="3" fillId="3" borderId="5" xfId="1" applyNumberFormat="1" applyFont="1" applyFill="1" applyBorder="1" applyAlignment="1">
      <alignment vertical="center"/>
    </xf>
    <xf numFmtId="43" fontId="3" fillId="0" borderId="4" xfId="1" applyFont="1" applyBorder="1" applyAlignment="1">
      <alignment vertical="center"/>
    </xf>
    <xf numFmtId="43" fontId="4" fillId="6" borderId="2" xfId="1" applyFont="1" applyFill="1" applyBorder="1" applyAlignment="1">
      <alignment vertical="center"/>
    </xf>
    <xf numFmtId="43" fontId="3" fillId="2" borderId="2" xfId="1" applyFont="1" applyFill="1" applyBorder="1" applyAlignment="1">
      <alignment vertical="center"/>
    </xf>
    <xf numFmtId="164" fontId="3" fillId="3" borderId="0" xfId="0" applyNumberFormat="1" applyFont="1" applyFill="1" applyAlignment="1">
      <alignment vertical="center"/>
    </xf>
    <xf numFmtId="9" fontId="5" fillId="3" borderId="0" xfId="1" applyNumberFormat="1" applyFont="1" applyFill="1" applyAlignment="1">
      <alignment vertical="center"/>
    </xf>
    <xf numFmtId="165" fontId="4" fillId="8" borderId="4" xfId="1" applyNumberFormat="1" applyFont="1" applyFill="1" applyBorder="1" applyAlignment="1">
      <alignment vertical="center"/>
    </xf>
    <xf numFmtId="165" fontId="4" fillId="6" borderId="2" xfId="1" applyNumberFormat="1" applyFont="1" applyFill="1" applyBorder="1" applyAlignment="1">
      <alignment horizontal="center"/>
    </xf>
    <xf numFmtId="166" fontId="3" fillId="3" borderId="0" xfId="0" applyNumberFormat="1" applyFont="1" applyFill="1" applyAlignment="1">
      <alignment vertical="center"/>
    </xf>
    <xf numFmtId="164" fontId="9" fillId="3" borderId="0" xfId="0" applyNumberFormat="1" applyFont="1" applyFill="1" applyAlignment="1">
      <alignment vertical="center"/>
    </xf>
    <xf numFmtId="165" fontId="4" fillId="2" borderId="2" xfId="1" applyNumberFormat="1" applyFont="1" applyFill="1" applyBorder="1" applyAlignment="1">
      <alignment horizontal="center"/>
    </xf>
    <xf numFmtId="43" fontId="8" fillId="4" borderId="4" xfId="1" applyFont="1" applyFill="1" applyBorder="1"/>
    <xf numFmtId="165" fontId="3" fillId="0" borderId="10" xfId="1" applyNumberFormat="1" applyFont="1" applyFill="1" applyBorder="1"/>
    <xf numFmtId="174" fontId="3" fillId="3" borderId="3" xfId="1" applyNumberFormat="1" applyFont="1" applyFill="1" applyBorder="1" applyAlignment="1">
      <alignment horizontal="left" indent="1"/>
    </xf>
    <xf numFmtId="164" fontId="4" fillId="2" borderId="29" xfId="1" applyNumberFormat="1" applyFont="1" applyFill="1" applyBorder="1" applyAlignment="1">
      <alignment horizontal="center" vertical="center"/>
    </xf>
    <xf numFmtId="164" fontId="4" fillId="2" borderId="30" xfId="1" applyNumberFormat="1" applyFont="1" applyFill="1" applyBorder="1" applyAlignment="1">
      <alignment horizontal="center" vertical="center"/>
    </xf>
    <xf numFmtId="43" fontId="2" fillId="5" borderId="21" xfId="1" applyFont="1" applyFill="1" applyBorder="1" applyAlignment="1">
      <alignment vertical="center"/>
    </xf>
    <xf numFmtId="43" fontId="4" fillId="2" borderId="30" xfId="1" applyFont="1" applyFill="1" applyBorder="1" applyAlignment="1">
      <alignment vertical="center"/>
    </xf>
    <xf numFmtId="43" fontId="7" fillId="5" borderId="0" xfId="1" applyFont="1" applyFill="1" applyAlignment="1">
      <alignment vertical="center"/>
    </xf>
    <xf numFmtId="43" fontId="7" fillId="5" borderId="0" xfId="1" applyFont="1" applyFill="1" applyAlignment="1">
      <alignment horizontal="center" vertical="center"/>
    </xf>
    <xf numFmtId="43" fontId="16" fillId="5" borderId="0" xfId="1" applyFont="1" applyFill="1" applyAlignment="1">
      <alignment vertical="center"/>
    </xf>
    <xf numFmtId="164" fontId="3" fillId="3" borderId="0" xfId="0" applyNumberFormat="1" applyFont="1" applyFill="1" applyAlignment="1">
      <alignment horizontal="center" vertical="center"/>
    </xf>
    <xf numFmtId="164" fontId="4" fillId="3" borderId="0" xfId="1" applyNumberFormat="1" applyFont="1" applyFill="1" applyAlignment="1">
      <alignment horizontal="center" vertical="center" wrapText="1"/>
    </xf>
    <xf numFmtId="43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9" fontId="15" fillId="5" borderId="0" xfId="2" applyFont="1" applyFill="1" applyAlignment="1">
      <alignment vertical="center"/>
    </xf>
    <xf numFmtId="9" fontId="5" fillId="5" borderId="0" xfId="1" applyNumberFormat="1" applyFont="1" applyFill="1" applyAlignment="1">
      <alignment vertical="center"/>
    </xf>
    <xf numFmtId="10" fontId="15" fillId="5" borderId="0" xfId="0" applyNumberFormat="1" applyFont="1" applyFill="1" applyAlignment="1">
      <alignment vertical="center"/>
    </xf>
    <xf numFmtId="9" fontId="3" fillId="3" borderId="0" xfId="2" applyFont="1" applyFill="1" applyAlignment="1">
      <alignment vertical="center"/>
    </xf>
    <xf numFmtId="9" fontId="3" fillId="3" borderId="0" xfId="2" applyFont="1" applyFill="1" applyAlignment="1">
      <alignment horizontal="center" vertical="center"/>
    </xf>
    <xf numFmtId="10" fontId="6" fillId="3" borderId="0" xfId="2" applyNumberFormat="1" applyFont="1" applyFill="1" applyAlignment="1">
      <alignment vertical="center"/>
    </xf>
    <xf numFmtId="172" fontId="3" fillId="3" borderId="0" xfId="2" applyNumberFormat="1" applyFont="1" applyFill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18" fillId="3" borderId="0" xfId="0" applyFont="1" applyFill="1"/>
    <xf numFmtId="164" fontId="3" fillId="3" borderId="0" xfId="1" applyNumberFormat="1" applyFont="1" applyFill="1" applyBorder="1"/>
    <xf numFmtId="43" fontId="4" fillId="2" borderId="4" xfId="1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  <xf numFmtId="175" fontId="4" fillId="2" borderId="0" xfId="0" applyNumberFormat="1" applyFont="1" applyFill="1" applyAlignment="1">
      <alignment horizontal="center" vertical="center"/>
    </xf>
    <xf numFmtId="0" fontId="3" fillId="8" borderId="4" xfId="0" applyFont="1" applyFill="1" applyBorder="1"/>
    <xf numFmtId="43" fontId="9" fillId="8" borderId="4" xfId="1" applyFont="1" applyFill="1" applyBorder="1" applyAlignment="1">
      <alignment vertical="center"/>
    </xf>
    <xf numFmtId="164" fontId="4" fillId="2" borderId="12" xfId="1" applyNumberFormat="1" applyFont="1" applyFill="1" applyBorder="1"/>
    <xf numFmtId="43" fontId="4" fillId="2" borderId="12" xfId="0" applyNumberFormat="1" applyFont="1" applyFill="1" applyBorder="1"/>
    <xf numFmtId="165" fontId="3" fillId="2" borderId="12" xfId="1" applyNumberFormat="1" applyFont="1" applyFill="1" applyBorder="1"/>
    <xf numFmtId="165" fontId="4" fillId="2" borderId="12" xfId="1" applyNumberFormat="1" applyFont="1" applyFill="1" applyBorder="1"/>
    <xf numFmtId="165" fontId="4" fillId="3" borderId="0" xfId="1" applyNumberFormat="1" applyFont="1" applyFill="1" applyBorder="1"/>
    <xf numFmtId="10" fontId="3" fillId="3" borderId="0" xfId="0" applyNumberFormat="1" applyFont="1" applyFill="1"/>
    <xf numFmtId="165" fontId="3" fillId="10" borderId="3" xfId="1" applyNumberFormat="1" applyFont="1" applyFill="1" applyBorder="1"/>
    <xf numFmtId="0" fontId="3" fillId="3" borderId="12" xfId="0" applyFont="1" applyFill="1" applyBorder="1"/>
    <xf numFmtId="164" fontId="3" fillId="3" borderId="12" xfId="1" applyNumberFormat="1" applyFont="1" applyFill="1" applyBorder="1"/>
    <xf numFmtId="43" fontId="3" fillId="3" borderId="12" xfId="1" applyFont="1" applyFill="1" applyBorder="1"/>
    <xf numFmtId="165" fontId="3" fillId="0" borderId="5" xfId="1" applyNumberFormat="1" applyFont="1" applyFill="1" applyBorder="1"/>
    <xf numFmtId="0" fontId="4" fillId="2" borderId="36" xfId="0" applyFont="1" applyFill="1" applyBorder="1" applyAlignment="1">
      <alignment horizontal="center"/>
    </xf>
    <xf numFmtId="164" fontId="4" fillId="2" borderId="36" xfId="1" applyNumberFormat="1" applyFont="1" applyFill="1" applyBorder="1" applyAlignment="1">
      <alignment horizontal="center"/>
    </xf>
    <xf numFmtId="43" fontId="4" fillId="2" borderId="36" xfId="1" applyFont="1" applyFill="1" applyBorder="1" applyAlignment="1">
      <alignment horizontal="center"/>
    </xf>
    <xf numFmtId="165" fontId="4" fillId="2" borderId="36" xfId="1" applyNumberFormat="1" applyFont="1" applyFill="1" applyBorder="1" applyAlignment="1">
      <alignment horizontal="center"/>
    </xf>
    <xf numFmtId="165" fontId="3" fillId="3" borderId="7" xfId="1" applyNumberFormat="1" applyFont="1" applyFill="1" applyBorder="1" applyAlignment="1">
      <alignment horizontal="center"/>
    </xf>
    <xf numFmtId="165" fontId="3" fillId="3" borderId="35" xfId="1" applyNumberFormat="1" applyFont="1" applyFill="1" applyBorder="1" applyAlignment="1">
      <alignment horizontal="center"/>
    </xf>
    <xf numFmtId="165" fontId="3" fillId="3" borderId="8" xfId="1" applyNumberFormat="1" applyFont="1" applyFill="1" applyBorder="1" applyAlignment="1">
      <alignment horizontal="center"/>
    </xf>
    <xf numFmtId="9" fontId="19" fillId="3" borderId="0" xfId="2" applyFont="1" applyFill="1" applyBorder="1"/>
    <xf numFmtId="165" fontId="3" fillId="3" borderId="0" xfId="1" applyNumberFormat="1" applyFont="1" applyFill="1" applyBorder="1"/>
    <xf numFmtId="9" fontId="19" fillId="3" borderId="0" xfId="0" applyNumberFormat="1" applyFont="1" applyFill="1"/>
    <xf numFmtId="164" fontId="3" fillId="3" borderId="5" xfId="1" applyNumberFormat="1" applyFont="1" applyFill="1" applyBorder="1"/>
    <xf numFmtId="9" fontId="5" fillId="3" borderId="0" xfId="2" applyFont="1" applyFill="1"/>
    <xf numFmtId="43" fontId="9" fillId="3" borderId="0" xfId="0" applyNumberFormat="1" applyFont="1" applyFill="1" applyAlignment="1">
      <alignment vertical="center"/>
    </xf>
    <xf numFmtId="43" fontId="3" fillId="4" borderId="0" xfId="0" applyNumberFormat="1" applyFont="1" applyFill="1" applyAlignment="1">
      <alignment horizontal="center" vertical="center"/>
    </xf>
    <xf numFmtId="165" fontId="4" fillId="4" borderId="0" xfId="1" applyNumberFormat="1" applyFont="1" applyFill="1" applyAlignment="1">
      <alignment vertical="center"/>
    </xf>
    <xf numFmtId="10" fontId="15" fillId="5" borderId="0" xfId="0" applyNumberFormat="1" applyFont="1" applyFill="1"/>
    <xf numFmtId="0" fontId="2" fillId="3" borderId="0" xfId="0" applyFont="1" applyFill="1" applyAlignment="1">
      <alignment horizontal="center"/>
    </xf>
    <xf numFmtId="165" fontId="10" fillId="6" borderId="4" xfId="1" applyNumberFormat="1" applyFont="1" applyFill="1" applyBorder="1" applyAlignment="1">
      <alignment vertical="center"/>
    </xf>
    <xf numFmtId="10" fontId="7" fillId="4" borderId="0" xfId="2" applyNumberFormat="1" applyFont="1" applyFill="1" applyAlignment="1">
      <alignment horizontal="center" vertical="center"/>
    </xf>
    <xf numFmtId="0" fontId="3" fillId="6" borderId="4" xfId="0" applyFont="1" applyFill="1" applyBorder="1" applyAlignment="1">
      <alignment vertical="center"/>
    </xf>
    <xf numFmtId="0" fontId="3" fillId="12" borderId="4" xfId="0" applyFont="1" applyFill="1" applyBorder="1" applyAlignment="1">
      <alignment vertical="center"/>
    </xf>
    <xf numFmtId="43" fontId="9" fillId="3" borderId="0" xfId="1" applyFont="1" applyFill="1" applyAlignment="1">
      <alignment vertical="center"/>
    </xf>
    <xf numFmtId="164" fontId="2" fillId="3" borderId="0" xfId="1" applyNumberFormat="1" applyFont="1" applyFill="1" applyAlignment="1">
      <alignment vertical="center"/>
    </xf>
    <xf numFmtId="43" fontId="10" fillId="2" borderId="4" xfId="1" applyFont="1" applyFill="1" applyBorder="1" applyAlignment="1">
      <alignment vertical="center"/>
    </xf>
    <xf numFmtId="43" fontId="9" fillId="2" borderId="4" xfId="1" applyFont="1" applyFill="1" applyBorder="1" applyAlignment="1">
      <alignment vertical="center"/>
    </xf>
    <xf numFmtId="10" fontId="15" fillId="6" borderId="0" xfId="0" applyNumberFormat="1" applyFont="1" applyFill="1" applyAlignment="1">
      <alignment vertical="center"/>
    </xf>
    <xf numFmtId="0" fontId="3" fillId="2" borderId="4" xfId="0" applyFont="1" applyFill="1" applyBorder="1"/>
    <xf numFmtId="165" fontId="4" fillId="2" borderId="4" xfId="0" applyNumberFormat="1" applyFont="1" applyFill="1" applyBorder="1"/>
    <xf numFmtId="0" fontId="2" fillId="3" borderId="2" xfId="0" applyFont="1" applyFill="1" applyBorder="1"/>
    <xf numFmtId="165" fontId="4" fillId="2" borderId="2" xfId="1" applyNumberFormat="1" applyFont="1" applyFill="1" applyBorder="1" applyAlignment="1">
      <alignment horizontal="center" vertical="center" wrapText="1"/>
    </xf>
    <xf numFmtId="43" fontId="4" fillId="2" borderId="18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43" fontId="3" fillId="3" borderId="2" xfId="1" applyFont="1" applyFill="1" applyBorder="1"/>
    <xf numFmtId="43" fontId="4" fillId="2" borderId="18" xfId="1" applyFont="1" applyFill="1" applyBorder="1" applyAlignment="1">
      <alignment horizontal="center"/>
    </xf>
    <xf numFmtId="43" fontId="4" fillId="3" borderId="2" xfId="1" applyFont="1" applyFill="1" applyBorder="1" applyAlignment="1">
      <alignment horizontal="center"/>
    </xf>
    <xf numFmtId="165" fontId="4" fillId="3" borderId="2" xfId="1" applyNumberFormat="1" applyFont="1" applyFill="1" applyBorder="1" applyAlignment="1"/>
    <xf numFmtId="165" fontId="4" fillId="3" borderId="11" xfId="1" applyNumberFormat="1" applyFont="1" applyFill="1" applyBorder="1" applyAlignment="1"/>
    <xf numFmtId="10" fontId="4" fillId="3" borderId="2" xfId="2" applyNumberFormat="1" applyFont="1" applyFill="1" applyBorder="1" applyAlignment="1"/>
    <xf numFmtId="0" fontId="4" fillId="2" borderId="4" xfId="0" applyFont="1" applyFill="1" applyBorder="1"/>
    <xf numFmtId="0" fontId="3" fillId="11" borderId="4" xfId="0" applyFont="1" applyFill="1" applyBorder="1"/>
    <xf numFmtId="43" fontId="3" fillId="11" borderId="4" xfId="0" applyNumberFormat="1" applyFont="1" applyFill="1" applyBorder="1"/>
    <xf numFmtId="165" fontId="3" fillId="11" borderId="4" xfId="1" applyNumberFormat="1" applyFont="1" applyFill="1" applyBorder="1"/>
    <xf numFmtId="164" fontId="3" fillId="11" borderId="4" xfId="1" applyNumberFormat="1" applyFont="1" applyFill="1" applyBorder="1"/>
    <xf numFmtId="9" fontId="3" fillId="3" borderId="0" xfId="2" applyFont="1" applyFill="1" applyBorder="1"/>
    <xf numFmtId="9" fontId="3" fillId="3" borderId="0" xfId="0" applyNumberFormat="1" applyFont="1" applyFill="1"/>
    <xf numFmtId="166" fontId="4" fillId="2" borderId="4" xfId="0" applyNumberFormat="1" applyFont="1" applyFill="1" applyBorder="1" applyAlignment="1">
      <alignment horizontal="center" vertical="center" wrapText="1"/>
    </xf>
    <xf numFmtId="43" fontId="3" fillId="0" borderId="5" xfId="0" applyNumberFormat="1" applyFont="1" applyBorder="1"/>
    <xf numFmtId="166" fontId="3" fillId="3" borderId="0" xfId="0" applyNumberFormat="1" applyFont="1" applyFill="1" applyAlignment="1">
      <alignment horizontal="center" vertical="center" wrapText="1"/>
    </xf>
    <xf numFmtId="166" fontId="3" fillId="3" borderId="0" xfId="0" applyNumberFormat="1" applyFont="1" applyFill="1"/>
    <xf numFmtId="165" fontId="4" fillId="6" borderId="4" xfId="0" applyNumberFormat="1" applyFont="1" applyFill="1" applyBorder="1"/>
    <xf numFmtId="43" fontId="4" fillId="7" borderId="4" xfId="1" applyFont="1" applyFill="1" applyBorder="1" applyAlignment="1">
      <alignment horizontal="center" vertical="center" wrapText="1"/>
    </xf>
    <xf numFmtId="165" fontId="12" fillId="3" borderId="7" xfId="1" applyNumberFormat="1" applyFont="1" applyFill="1" applyBorder="1" applyAlignment="1">
      <alignment horizontal="left" vertical="center"/>
    </xf>
    <xf numFmtId="43" fontId="3" fillId="0" borderId="4" xfId="1" applyFont="1" applyBorder="1"/>
    <xf numFmtId="165" fontId="4" fillId="8" borderId="7" xfId="1" applyNumberFormat="1" applyFont="1" applyFill="1" applyBorder="1" applyAlignment="1">
      <alignment horizontal="center" vertical="center" wrapText="1"/>
    </xf>
    <xf numFmtId="43" fontId="4" fillId="2" borderId="18" xfId="0" applyNumberFormat="1" applyFont="1" applyFill="1" applyBorder="1"/>
    <xf numFmtId="43" fontId="4" fillId="6" borderId="4" xfId="1" applyFont="1" applyFill="1" applyBorder="1"/>
    <xf numFmtId="9" fontId="5" fillId="5" borderId="0" xfId="1" applyNumberFormat="1" applyFont="1" applyFill="1"/>
    <xf numFmtId="43" fontId="4" fillId="3" borderId="0" xfId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43" fontId="3" fillId="3" borderId="0" xfId="0" applyNumberFormat="1" applyFont="1" applyFill="1" applyAlignment="1">
      <alignment horizontal="center"/>
    </xf>
    <xf numFmtId="165" fontId="7" fillId="3" borderId="0" xfId="1" applyNumberFormat="1" applyFont="1" applyFill="1"/>
    <xf numFmtId="43" fontId="3" fillId="14" borderId="4" xfId="0" applyNumberFormat="1" applyFont="1" applyFill="1" applyBorder="1"/>
    <xf numFmtId="164" fontId="3" fillId="3" borderId="0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5" fontId="3" fillId="3" borderId="0" xfId="1" applyNumberFormat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3" fillId="14" borderId="3" xfId="1" applyFont="1" applyFill="1" applyBorder="1" applyAlignment="1">
      <alignment vertical="center"/>
    </xf>
    <xf numFmtId="43" fontId="3" fillId="13" borderId="3" xfId="1" applyFont="1" applyFill="1" applyBorder="1" applyAlignment="1">
      <alignment vertical="center"/>
    </xf>
    <xf numFmtId="43" fontId="3" fillId="5" borderId="3" xfId="1" applyFont="1" applyFill="1" applyBorder="1" applyAlignment="1">
      <alignment vertical="center"/>
    </xf>
    <xf numFmtId="10" fontId="15" fillId="3" borderId="0" xfId="2" applyNumberFormat="1" applyFont="1" applyFill="1" applyAlignment="1">
      <alignment horizontal="center"/>
    </xf>
    <xf numFmtId="43" fontId="12" fillId="3" borderId="4" xfId="12" applyFont="1" applyFill="1" applyBorder="1" applyAlignment="1">
      <alignment horizontal="left" vertical="center"/>
    </xf>
    <xf numFmtId="176" fontId="12" fillId="3" borderId="4" xfId="1" applyNumberFormat="1" applyFont="1" applyFill="1" applyBorder="1" applyAlignment="1">
      <alignment horizontal="left" vertical="center"/>
    </xf>
    <xf numFmtId="43" fontId="4" fillId="2" borderId="0" xfId="0" applyNumberFormat="1" applyFont="1" applyFill="1"/>
    <xf numFmtId="176" fontId="4" fillId="2" borderId="0" xfId="1" applyNumberFormat="1" applyFont="1" applyFill="1" applyBorder="1"/>
    <xf numFmtId="43" fontId="3" fillId="0" borderId="0" xfId="0" applyNumberFormat="1" applyFont="1"/>
    <xf numFmtId="167" fontId="3" fillId="3" borderId="0" xfId="1" applyNumberFormat="1" applyFont="1" applyFill="1" applyBorder="1"/>
    <xf numFmtId="167" fontId="3" fillId="0" borderId="4" xfId="1" applyNumberFormat="1" applyFont="1" applyFill="1" applyBorder="1"/>
    <xf numFmtId="43" fontId="9" fillId="15" borderId="4" xfId="0" applyNumberFormat="1" applyFont="1" applyFill="1" applyBorder="1" applyAlignment="1">
      <alignment vertical="center"/>
    </xf>
    <xf numFmtId="10" fontId="15" fillId="3" borderId="0" xfId="0" applyNumberFormat="1" applyFont="1" applyFill="1"/>
    <xf numFmtId="10" fontId="15" fillId="4" borderId="0" xfId="0" applyNumberFormat="1" applyFont="1" applyFill="1" applyAlignment="1">
      <alignment vertical="center"/>
    </xf>
    <xf numFmtId="43" fontId="9" fillId="6" borderId="4" xfId="0" applyNumberFormat="1" applyFont="1" applyFill="1" applyBorder="1" applyAlignment="1">
      <alignment vertical="center"/>
    </xf>
    <xf numFmtId="164" fontId="3" fillId="4" borderId="4" xfId="1" applyNumberFormat="1" applyFont="1" applyFill="1" applyBorder="1"/>
    <xf numFmtId="0" fontId="3" fillId="4" borderId="4" xfId="0" applyFont="1" applyFill="1" applyBorder="1"/>
    <xf numFmtId="164" fontId="12" fillId="5" borderId="4" xfId="1" applyNumberFormat="1" applyFont="1" applyFill="1" applyBorder="1" applyAlignment="1">
      <alignment vertical="center"/>
    </xf>
    <xf numFmtId="164" fontId="9" fillId="5" borderId="4" xfId="1" applyNumberFormat="1" applyFont="1" applyFill="1" applyBorder="1" applyAlignment="1">
      <alignment vertical="center"/>
    </xf>
    <xf numFmtId="43" fontId="7" fillId="4" borderId="0" xfId="1" applyFont="1" applyFill="1" applyAlignment="1">
      <alignment horizontal="center" vertical="center"/>
    </xf>
    <xf numFmtId="43" fontId="3" fillId="8" borderId="3" xfId="1" applyFont="1" applyFill="1" applyBorder="1"/>
    <xf numFmtId="43" fontId="10" fillId="15" borderId="4" xfId="1" applyFont="1" applyFill="1" applyBorder="1" applyAlignment="1">
      <alignment vertical="center"/>
    </xf>
    <xf numFmtId="172" fontId="7" fillId="5" borderId="0" xfId="2" applyNumberFormat="1" applyFont="1" applyFill="1" applyAlignment="1">
      <alignment horizontal="center" vertical="center"/>
    </xf>
    <xf numFmtId="9" fontId="5" fillId="3" borderId="0" xfId="2" applyFont="1" applyFill="1" applyAlignment="1">
      <alignment vertical="center"/>
    </xf>
    <xf numFmtId="172" fontId="16" fillId="8" borderId="0" xfId="2" applyNumberFormat="1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43" fontId="9" fillId="15" borderId="4" xfId="1" applyFont="1" applyFill="1" applyBorder="1" applyAlignment="1">
      <alignment vertical="center"/>
    </xf>
    <xf numFmtId="43" fontId="9" fillId="6" borderId="4" xfId="1" applyFont="1" applyFill="1" applyBorder="1" applyAlignment="1">
      <alignment vertical="center"/>
    </xf>
    <xf numFmtId="173" fontId="9" fillId="3" borderId="0" xfId="0" quotePrefix="1" applyNumberFormat="1" applyFont="1" applyFill="1" applyAlignment="1">
      <alignment vertical="center"/>
    </xf>
    <xf numFmtId="173" fontId="9" fillId="3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0" fillId="0" borderId="0" xfId="1" applyFont="1" applyAlignment="1">
      <alignment horizontal="center" vertical="center"/>
    </xf>
    <xf numFmtId="0" fontId="20" fillId="9" borderId="21" xfId="0" applyFont="1" applyFill="1" applyBorder="1" applyAlignment="1">
      <alignment horizontal="center" vertical="center"/>
    </xf>
    <xf numFmtId="0" fontId="24" fillId="9" borderId="21" xfId="0" applyFont="1" applyFill="1" applyBorder="1" applyAlignment="1">
      <alignment horizontal="center" vertical="center"/>
    </xf>
    <xf numFmtId="0" fontId="20" fillId="9" borderId="21" xfId="0" applyFont="1" applyFill="1" applyBorder="1" applyAlignment="1">
      <alignment horizontal="center" vertical="center" wrapText="1"/>
    </xf>
    <xf numFmtId="0" fontId="21" fillId="4" borderId="0" xfId="0" applyFont="1" applyFill="1"/>
    <xf numFmtId="0" fontId="21" fillId="4" borderId="0" xfId="0" applyFont="1" applyFill="1" applyAlignment="1">
      <alignment horizontal="center"/>
    </xf>
    <xf numFmtId="43" fontId="21" fillId="4" borderId="0" xfId="1" applyFont="1" applyFill="1" applyAlignment="1">
      <alignment horizontal="center"/>
    </xf>
    <xf numFmtId="43" fontId="0" fillId="0" borderId="0" xfId="1" applyFont="1" applyBorder="1" applyAlignment="1">
      <alignment horizontal="center" vertical="center"/>
    </xf>
    <xf numFmtId="43" fontId="20" fillId="9" borderId="37" xfId="0" applyNumberFormat="1" applyFont="1" applyFill="1" applyBorder="1" applyAlignment="1">
      <alignment horizontal="center"/>
    </xf>
    <xf numFmtId="43" fontId="20" fillId="9" borderId="37" xfId="0" applyNumberFormat="1" applyFont="1" applyFill="1" applyBorder="1"/>
    <xf numFmtId="0" fontId="20" fillId="17" borderId="21" xfId="0" applyFont="1" applyFill="1" applyBorder="1" applyAlignment="1">
      <alignment horizontal="center" vertical="center" wrapText="1"/>
    </xf>
    <xf numFmtId="43" fontId="20" fillId="17" borderId="37" xfId="0" applyNumberFormat="1" applyFont="1" applyFill="1" applyBorder="1" applyAlignment="1">
      <alignment horizontal="center"/>
    </xf>
    <xf numFmtId="43" fontId="20" fillId="17" borderId="37" xfId="1" applyFont="1" applyFill="1" applyBorder="1" applyAlignment="1">
      <alignment horizontal="center"/>
    </xf>
    <xf numFmtId="0" fontId="20" fillId="12" borderId="21" xfId="0" applyFont="1" applyFill="1" applyBorder="1" applyAlignment="1">
      <alignment horizontal="center" vertical="center" wrapText="1"/>
    </xf>
    <xf numFmtId="43" fontId="20" fillId="12" borderId="37" xfId="0" applyNumberFormat="1" applyFont="1" applyFill="1" applyBorder="1" applyAlignment="1">
      <alignment horizontal="center"/>
    </xf>
    <xf numFmtId="43" fontId="20" fillId="12" borderId="37" xfId="1" applyFont="1" applyFill="1" applyBorder="1" applyAlignment="1">
      <alignment horizontal="center"/>
    </xf>
    <xf numFmtId="0" fontId="20" fillId="18" borderId="21" xfId="0" applyFont="1" applyFill="1" applyBorder="1" applyAlignment="1">
      <alignment horizontal="center" vertical="center" wrapText="1"/>
    </xf>
    <xf numFmtId="43" fontId="20" fillId="18" borderId="37" xfId="0" applyNumberFormat="1" applyFont="1" applyFill="1" applyBorder="1" applyAlignment="1">
      <alignment horizontal="center"/>
    </xf>
    <xf numFmtId="43" fontId="20" fillId="18" borderId="37" xfId="1" applyFont="1" applyFill="1" applyBorder="1" applyAlignment="1">
      <alignment horizontal="center"/>
    </xf>
    <xf numFmtId="43" fontId="3" fillId="6" borderId="10" xfId="1" applyFont="1" applyFill="1" applyBorder="1" applyAlignment="1">
      <alignment vertical="center"/>
    </xf>
    <xf numFmtId="164" fontId="3" fillId="5" borderId="0" xfId="0" applyNumberFormat="1" applyFont="1" applyFill="1" applyAlignment="1">
      <alignment vertical="center"/>
    </xf>
    <xf numFmtId="0" fontId="5" fillId="4" borderId="0" xfId="0" applyFont="1" applyFill="1"/>
    <xf numFmtId="43" fontId="5" fillId="4" borderId="0" xfId="1" applyFont="1" applyFill="1" applyAlignment="1">
      <alignment horizontal="center" vertical="center" wrapText="1"/>
    </xf>
    <xf numFmtId="43" fontId="5" fillId="4" borderId="0" xfId="1" applyFont="1" applyFill="1"/>
    <xf numFmtId="43" fontId="12" fillId="3" borderId="4" xfId="1" applyFont="1" applyFill="1" applyBorder="1" applyAlignment="1">
      <alignment horizontal="left" vertical="center" wrapText="1"/>
    </xf>
    <xf numFmtId="43" fontId="3" fillId="0" borderId="4" xfId="0" applyNumberFormat="1" applyFont="1" applyBorder="1" applyAlignment="1">
      <alignment wrapText="1"/>
    </xf>
    <xf numFmtId="43" fontId="3" fillId="0" borderId="4" xfId="1" applyFont="1" applyFill="1" applyBorder="1" applyAlignment="1">
      <alignment wrapText="1"/>
    </xf>
    <xf numFmtId="165" fontId="12" fillId="3" borderId="4" xfId="1" applyNumberFormat="1" applyFont="1" applyFill="1" applyBorder="1" applyAlignment="1">
      <alignment horizontal="left" vertical="center" wrapText="1"/>
    </xf>
    <xf numFmtId="43" fontId="8" fillId="4" borderId="10" xfId="1" applyFont="1" applyFill="1" applyBorder="1" applyAlignment="1">
      <alignment wrapText="1"/>
    </xf>
    <xf numFmtId="43" fontId="3" fillId="0" borderId="4" xfId="0" applyNumberFormat="1" applyFont="1" applyBorder="1" applyAlignment="1">
      <alignment vertical="center" wrapText="1"/>
    </xf>
    <xf numFmtId="165" fontId="3" fillId="0" borderId="4" xfId="1" applyNumberFormat="1" applyFont="1" applyFill="1" applyBorder="1" applyAlignment="1">
      <alignment wrapText="1"/>
    </xf>
    <xf numFmtId="165" fontId="3" fillId="3" borderId="4" xfId="1" applyNumberFormat="1" applyFont="1" applyFill="1" applyBorder="1" applyAlignment="1">
      <alignment vertical="center" wrapText="1"/>
    </xf>
    <xf numFmtId="0" fontId="3" fillId="3" borderId="5" xfId="0" applyFont="1" applyFill="1" applyBorder="1" applyAlignment="1">
      <alignment wrapText="1"/>
    </xf>
    <xf numFmtId="43" fontId="3" fillId="3" borderId="5" xfId="1" applyFont="1" applyFill="1" applyBorder="1" applyAlignment="1">
      <alignment wrapText="1"/>
    </xf>
    <xf numFmtId="43" fontId="4" fillId="2" borderId="2" xfId="0" applyNumberFormat="1" applyFont="1" applyFill="1" applyBorder="1" applyAlignment="1">
      <alignment wrapText="1"/>
    </xf>
    <xf numFmtId="43" fontId="3" fillId="2" borderId="2" xfId="1" applyFont="1" applyFill="1" applyBorder="1" applyAlignment="1">
      <alignment wrapText="1"/>
    </xf>
    <xf numFmtId="43" fontId="4" fillId="3" borderId="0" xfId="0" applyNumberFormat="1" applyFont="1" applyFill="1" applyAlignment="1">
      <alignment wrapText="1"/>
    </xf>
    <xf numFmtId="43" fontId="3" fillId="3" borderId="0" xfId="1" applyFont="1" applyFill="1" applyAlignment="1">
      <alignment wrapText="1"/>
    </xf>
    <xf numFmtId="0" fontId="3" fillId="3" borderId="0" xfId="0" applyFont="1" applyFill="1" applyAlignment="1">
      <alignment wrapText="1"/>
    </xf>
    <xf numFmtId="43" fontId="3" fillId="3" borderId="3" xfId="1" applyFont="1" applyFill="1" applyBorder="1" applyAlignment="1">
      <alignment wrapText="1"/>
    </xf>
    <xf numFmtId="43" fontId="4" fillId="6" borderId="2" xfId="1" applyFont="1" applyFill="1" applyBorder="1" applyAlignment="1">
      <alignment horizontal="center" wrapText="1"/>
    </xf>
    <xf numFmtId="43" fontId="4" fillId="2" borderId="2" xfId="1" applyFont="1" applyFill="1" applyBorder="1" applyAlignment="1">
      <alignment horizontal="center" wrapText="1"/>
    </xf>
    <xf numFmtId="165" fontId="4" fillId="6" borderId="2" xfId="1" applyNumberFormat="1" applyFont="1" applyFill="1" applyBorder="1" applyAlignment="1">
      <alignment wrapText="1"/>
    </xf>
    <xf numFmtId="43" fontId="3" fillId="12" borderId="4" xfId="0" applyNumberFormat="1" applyFont="1" applyFill="1" applyBorder="1"/>
    <xf numFmtId="43" fontId="3" fillId="6" borderId="3" xfId="1" applyFont="1" applyFill="1" applyBorder="1"/>
    <xf numFmtId="43" fontId="3" fillId="14" borderId="3" xfId="0" applyNumberFormat="1" applyFont="1" applyFill="1" applyBorder="1" applyAlignment="1">
      <alignment vertical="center"/>
    </xf>
    <xf numFmtId="165" fontId="4" fillId="6" borderId="2" xfId="0" applyNumberFormat="1" applyFont="1" applyFill="1" applyBorder="1" applyAlignment="1">
      <alignment vertical="center"/>
    </xf>
    <xf numFmtId="43" fontId="4" fillId="15" borderId="2" xfId="0" applyNumberFormat="1" applyFont="1" applyFill="1" applyBorder="1" applyAlignment="1">
      <alignment vertical="center"/>
    </xf>
    <xf numFmtId="43" fontId="3" fillId="4" borderId="0" xfId="1" applyFont="1" applyFill="1" applyAlignment="1">
      <alignment vertical="center"/>
    </xf>
    <xf numFmtId="0" fontId="4" fillId="2" borderId="2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43" fontId="3" fillId="5" borderId="0" xfId="1" applyFont="1" applyFill="1" applyAlignment="1">
      <alignment horizontal="center" vertical="center" wrapText="1"/>
    </xf>
    <xf numFmtId="164" fontId="3" fillId="5" borderId="0" xfId="1" applyNumberFormat="1" applyFont="1" applyFill="1" applyAlignment="1">
      <alignment horizontal="center"/>
    </xf>
    <xf numFmtId="0" fontId="3" fillId="5" borderId="0" xfId="0" applyFont="1" applyFill="1" applyAlignment="1">
      <alignment horizontal="center" vertical="center" wrapText="1"/>
    </xf>
    <xf numFmtId="165" fontId="3" fillId="5" borderId="0" xfId="0" applyNumberFormat="1" applyFont="1" applyFill="1" applyAlignment="1">
      <alignment horizontal="center"/>
    </xf>
    <xf numFmtId="165" fontId="3" fillId="5" borderId="0" xfId="1" applyNumberFormat="1" applyFont="1" applyFill="1" applyAlignment="1">
      <alignment horizontal="center"/>
    </xf>
    <xf numFmtId="9" fontId="3" fillId="5" borderId="0" xfId="2" applyFont="1" applyFill="1" applyAlignment="1">
      <alignment horizontal="center"/>
    </xf>
    <xf numFmtId="9" fontId="5" fillId="5" borderId="0" xfId="0" applyNumberFormat="1" applyFont="1" applyFill="1" applyAlignment="1">
      <alignment horizontal="center"/>
    </xf>
    <xf numFmtId="43" fontId="3" fillId="15" borderId="3" xfId="1" applyFont="1" applyFill="1" applyBorder="1"/>
    <xf numFmtId="43" fontId="3" fillId="4" borderId="4" xfId="1" applyFont="1" applyFill="1" applyBorder="1"/>
    <xf numFmtId="43" fontId="3" fillId="4" borderId="4" xfId="0" applyNumberFormat="1" applyFont="1" applyFill="1" applyBorder="1"/>
    <xf numFmtId="0" fontId="9" fillId="5" borderId="0" xfId="0" applyFont="1" applyFill="1" applyAlignment="1">
      <alignment horizontal="center" vertical="center"/>
    </xf>
    <xf numFmtId="164" fontId="9" fillId="5" borderId="0" xfId="0" applyNumberFormat="1" applyFont="1" applyFill="1" applyAlignment="1">
      <alignment vertical="center"/>
    </xf>
    <xf numFmtId="0" fontId="9" fillId="5" borderId="0" xfId="0" applyFont="1" applyFill="1" applyAlignment="1">
      <alignment vertical="center"/>
    </xf>
    <xf numFmtId="43" fontId="9" fillId="5" borderId="0" xfId="0" applyNumberFormat="1" applyFont="1" applyFill="1" applyAlignment="1">
      <alignment vertical="center"/>
    </xf>
    <xf numFmtId="43" fontId="22" fillId="0" borderId="0" xfId="1" applyFont="1" applyAlignment="1">
      <alignment horizontal="center" vertical="center"/>
    </xf>
    <xf numFmtId="43" fontId="22" fillId="0" borderId="0" xfId="1" applyFont="1"/>
    <xf numFmtId="43" fontId="9" fillId="3" borderId="4" xfId="1" applyFont="1" applyFill="1" applyBorder="1" applyAlignment="1">
      <alignment vertical="center" wrapText="1"/>
    </xf>
    <xf numFmtId="165" fontId="9" fillId="3" borderId="7" xfId="1" applyNumberFormat="1" applyFont="1" applyFill="1" applyBorder="1" applyAlignment="1">
      <alignment vertical="center" wrapText="1"/>
    </xf>
    <xf numFmtId="164" fontId="9" fillId="3" borderId="3" xfId="1" applyNumberFormat="1" applyFont="1" applyFill="1" applyBorder="1" applyAlignment="1">
      <alignment vertical="center"/>
    </xf>
    <xf numFmtId="43" fontId="12" fillId="3" borderId="3" xfId="1" applyFont="1" applyFill="1" applyBorder="1" applyAlignment="1">
      <alignment horizontal="left" vertical="center"/>
    </xf>
    <xf numFmtId="165" fontId="3" fillId="3" borderId="10" xfId="1" applyNumberFormat="1" applyFont="1" applyFill="1" applyBorder="1" applyAlignment="1">
      <alignment vertical="center"/>
    </xf>
    <xf numFmtId="43" fontId="9" fillId="3" borderId="7" xfId="0" applyNumberFormat="1" applyFont="1" applyFill="1" applyBorder="1" applyAlignment="1">
      <alignment vertical="center"/>
    </xf>
    <xf numFmtId="43" fontId="9" fillId="3" borderId="3" xfId="0" applyNumberFormat="1" applyFont="1" applyFill="1" applyBorder="1" applyAlignment="1">
      <alignment vertical="center"/>
    </xf>
    <xf numFmtId="43" fontId="9" fillId="15" borderId="3" xfId="0" applyNumberFormat="1" applyFont="1" applyFill="1" applyBorder="1" applyAlignment="1">
      <alignment vertical="center"/>
    </xf>
    <xf numFmtId="164" fontId="12" fillId="3" borderId="4" xfId="1" applyNumberFormat="1" applyFont="1" applyFill="1" applyBorder="1" applyAlignment="1">
      <alignment horizontal="left" vertical="center" wrapText="1"/>
    </xf>
    <xf numFmtId="165" fontId="9" fillId="3" borderId="4" xfId="1" applyNumberFormat="1" applyFont="1" applyFill="1" applyBorder="1" applyAlignment="1">
      <alignment vertical="center" wrapText="1"/>
    </xf>
    <xf numFmtId="165" fontId="12" fillId="3" borderId="3" xfId="1" applyNumberFormat="1" applyFont="1" applyFill="1" applyBorder="1" applyAlignment="1">
      <alignment horizontal="left" vertical="center" wrapText="1"/>
    </xf>
    <xf numFmtId="43" fontId="12" fillId="3" borderId="3" xfId="1" applyFont="1" applyFill="1" applyBorder="1" applyAlignment="1">
      <alignment horizontal="left" vertical="center" wrapText="1"/>
    </xf>
    <xf numFmtId="164" fontId="12" fillId="3" borderId="3" xfId="1" applyNumberFormat="1" applyFont="1" applyFill="1" applyBorder="1" applyAlignment="1">
      <alignment horizontal="left" vertical="center" wrapText="1"/>
    </xf>
    <xf numFmtId="165" fontId="9" fillId="3" borderId="10" xfId="1" applyNumberFormat="1" applyFont="1" applyFill="1" applyBorder="1" applyAlignment="1">
      <alignment vertical="center" wrapText="1"/>
    </xf>
    <xf numFmtId="43" fontId="9" fillId="5" borderId="4" xfId="0" applyNumberFormat="1" applyFont="1" applyFill="1" applyBorder="1" applyAlignment="1">
      <alignment vertical="center"/>
    </xf>
    <xf numFmtId="43" fontId="9" fillId="3" borderId="3" xfId="1" applyFont="1" applyFill="1" applyBorder="1" applyAlignment="1">
      <alignment vertical="center"/>
    </xf>
    <xf numFmtId="165" fontId="9" fillId="3" borderId="3" xfId="1" applyNumberFormat="1" applyFont="1" applyFill="1" applyBorder="1" applyAlignment="1">
      <alignment vertical="center" wrapText="1"/>
    </xf>
    <xf numFmtId="164" fontId="9" fillId="6" borderId="4" xfId="0" applyNumberFormat="1" applyFont="1" applyFill="1" applyBorder="1" applyAlignment="1">
      <alignment vertical="center"/>
    </xf>
    <xf numFmtId="0" fontId="22" fillId="0" borderId="4" xfId="0" applyFont="1" applyBorder="1"/>
    <xf numFmtId="165" fontId="22" fillId="0" borderId="4" xfId="1" applyNumberFormat="1" applyFont="1" applyBorder="1" applyAlignment="1">
      <alignment wrapText="1"/>
    </xf>
    <xf numFmtId="0" fontId="22" fillId="0" borderId="3" xfId="0" applyFont="1" applyBorder="1" applyAlignment="1">
      <alignment wrapText="1"/>
    </xf>
    <xf numFmtId="164" fontId="22" fillId="0" borderId="0" xfId="1" applyNumberFormat="1" applyFont="1"/>
    <xf numFmtId="165" fontId="22" fillId="0" borderId="0" xfId="1" applyNumberFormat="1" applyFont="1" applyAlignment="1">
      <alignment wrapText="1"/>
    </xf>
    <xf numFmtId="0" fontId="22" fillId="0" borderId="0" xfId="0" applyFont="1" applyAlignment="1">
      <alignment wrapText="1"/>
    </xf>
    <xf numFmtId="43" fontId="10" fillId="2" borderId="4" xfId="1" applyFont="1" applyFill="1" applyBorder="1" applyAlignment="1">
      <alignment horizontal="center" vertical="center"/>
    </xf>
    <xf numFmtId="164" fontId="10" fillId="2" borderId="4" xfId="1" applyNumberFormat="1" applyFont="1" applyFill="1" applyBorder="1" applyAlignment="1">
      <alignment horizontal="center" vertical="center"/>
    </xf>
    <xf numFmtId="165" fontId="10" fillId="6" borderId="4" xfId="1" applyNumberFormat="1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165" fontId="10" fillId="7" borderId="4" xfId="1" applyNumberFormat="1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43" fontId="10" fillId="2" borderId="4" xfId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vertical="center"/>
    </xf>
    <xf numFmtId="43" fontId="9" fillId="3" borderId="4" xfId="0" applyNumberFormat="1" applyFont="1" applyFill="1" applyBorder="1" applyAlignment="1">
      <alignment vertical="center" wrapText="1"/>
    </xf>
    <xf numFmtId="164" fontId="9" fillId="3" borderId="0" xfId="1" applyNumberFormat="1" applyFont="1" applyFill="1"/>
    <xf numFmtId="43" fontId="9" fillId="3" borderId="0" xfId="0" applyNumberFormat="1" applyFont="1" applyFill="1"/>
    <xf numFmtId="0" fontId="9" fillId="3" borderId="0" xfId="0" applyFont="1" applyFill="1"/>
    <xf numFmtId="43" fontId="9" fillId="5" borderId="0" xfId="1" applyFont="1" applyFill="1"/>
    <xf numFmtId="165" fontId="9" fillId="3" borderId="4" xfId="1" applyNumberFormat="1" applyFont="1" applyFill="1" applyBorder="1" applyAlignment="1">
      <alignment wrapText="1"/>
    </xf>
    <xf numFmtId="164" fontId="9" fillId="5" borderId="0" xfId="1" applyNumberFormat="1" applyFont="1" applyFill="1" applyAlignment="1">
      <alignment vertical="center"/>
    </xf>
    <xf numFmtId="165" fontId="9" fillId="0" borderId="4" xfId="1" applyNumberFormat="1" applyFont="1" applyBorder="1" applyAlignment="1">
      <alignment wrapText="1"/>
    </xf>
    <xf numFmtId="164" fontId="9" fillId="3" borderId="4" xfId="1" applyNumberFormat="1" applyFont="1" applyFill="1" applyBorder="1"/>
    <xf numFmtId="43" fontId="9" fillId="3" borderId="4" xfId="1" applyFont="1" applyFill="1" applyBorder="1"/>
    <xf numFmtId="43" fontId="9" fillId="3" borderId="4" xfId="0" applyNumberFormat="1" applyFont="1" applyFill="1" applyBorder="1" applyAlignment="1">
      <alignment wrapText="1"/>
    </xf>
    <xf numFmtId="43" fontId="9" fillId="6" borderId="4" xfId="1" applyFont="1" applyFill="1" applyBorder="1"/>
    <xf numFmtId="43" fontId="9" fillId="0" borderId="4" xfId="0" applyNumberFormat="1" applyFont="1" applyBorder="1" applyAlignment="1">
      <alignment vertical="center"/>
    </xf>
    <xf numFmtId="165" fontId="9" fillId="0" borderId="4" xfId="1" applyNumberFormat="1" applyFont="1" applyFill="1" applyBorder="1" applyAlignment="1">
      <alignment vertical="center" wrapText="1"/>
    </xf>
    <xf numFmtId="43" fontId="9" fillId="0" borderId="4" xfId="0" applyNumberFormat="1" applyFont="1" applyBorder="1" applyAlignment="1">
      <alignment vertical="center" wrapText="1"/>
    </xf>
    <xf numFmtId="165" fontId="9" fillId="0" borderId="4" xfId="1" applyNumberFormat="1" applyFont="1" applyFill="1" applyBorder="1" applyAlignment="1">
      <alignment vertical="center"/>
    </xf>
    <xf numFmtId="43" fontId="9" fillId="12" borderId="4" xfId="0" applyNumberFormat="1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9" fillId="0" borderId="4" xfId="0" applyFont="1" applyBorder="1" applyAlignment="1">
      <alignment vertical="center"/>
    </xf>
    <xf numFmtId="164" fontId="9" fillId="0" borderId="4" xfId="1" applyNumberFormat="1" applyFont="1" applyFill="1" applyBorder="1" applyAlignment="1">
      <alignment vertical="center"/>
    </xf>
    <xf numFmtId="165" fontId="9" fillId="0" borderId="4" xfId="1" applyNumberFormat="1" applyFont="1" applyFill="1" applyBorder="1" applyAlignment="1">
      <alignment wrapText="1"/>
    </xf>
    <xf numFmtId="0" fontId="9" fillId="0" borderId="4" xfId="0" applyFont="1" applyBorder="1" applyAlignment="1">
      <alignment horizontal="left"/>
    </xf>
    <xf numFmtId="164" fontId="9" fillId="0" borderId="4" xfId="1" applyNumberFormat="1" applyFont="1" applyFill="1" applyBorder="1" applyAlignment="1">
      <alignment horizontal="left"/>
    </xf>
    <xf numFmtId="43" fontId="9" fillId="0" borderId="4" xfId="0" applyNumberFormat="1" applyFont="1" applyBorder="1" applyAlignment="1">
      <alignment horizontal="left"/>
    </xf>
    <xf numFmtId="165" fontId="9" fillId="0" borderId="4" xfId="1" applyNumberFormat="1" applyFont="1" applyFill="1" applyBorder="1" applyAlignment="1">
      <alignment horizontal="left" wrapText="1"/>
    </xf>
    <xf numFmtId="43" fontId="9" fillId="0" borderId="4" xfId="0" applyNumberFormat="1" applyFont="1" applyBorder="1" applyAlignment="1">
      <alignment horizontal="left" wrapText="1"/>
    </xf>
    <xf numFmtId="165" fontId="9" fillId="0" borderId="4" xfId="1" applyNumberFormat="1" applyFont="1" applyFill="1" applyBorder="1" applyAlignment="1">
      <alignment horizontal="left"/>
    </xf>
    <xf numFmtId="43" fontId="9" fillId="12" borderId="4" xfId="0" applyNumberFormat="1" applyFont="1" applyFill="1" applyBorder="1" applyAlignment="1">
      <alignment horizontal="left"/>
    </xf>
    <xf numFmtId="43" fontId="9" fillId="0" borderId="4" xfId="1" applyFont="1" applyFill="1" applyBorder="1" applyAlignment="1">
      <alignment vertical="center" wrapText="1"/>
    </xf>
    <xf numFmtId="0" fontId="9" fillId="0" borderId="4" xfId="0" applyFont="1" applyBorder="1"/>
    <xf numFmtId="164" fontId="9" fillId="0" borderId="4" xfId="1" applyNumberFormat="1" applyFont="1" applyFill="1" applyBorder="1"/>
    <xf numFmtId="43" fontId="9" fillId="0" borderId="4" xfId="1" applyFont="1" applyBorder="1"/>
    <xf numFmtId="43" fontId="9" fillId="0" borderId="4" xfId="0" applyNumberFormat="1" applyFont="1" applyBorder="1" applyAlignment="1">
      <alignment wrapText="1"/>
    </xf>
    <xf numFmtId="165" fontId="9" fillId="0" borderId="4" xfId="1" applyNumberFormat="1" applyFont="1" applyBorder="1" applyAlignment="1">
      <alignment vertical="center" wrapText="1"/>
    </xf>
    <xf numFmtId="43" fontId="27" fillId="4" borderId="0" xfId="1" applyFont="1" applyFill="1"/>
    <xf numFmtId="165" fontId="9" fillId="0" borderId="10" xfId="1" applyNumberFormat="1" applyFont="1" applyFill="1" applyBorder="1" applyAlignment="1">
      <alignment vertical="center" wrapText="1"/>
    </xf>
    <xf numFmtId="43" fontId="9" fillId="0" borderId="4" xfId="1" applyFont="1" applyFill="1" applyBorder="1" applyAlignment="1">
      <alignment vertical="center"/>
    </xf>
    <xf numFmtId="43" fontId="9" fillId="0" borderId="4" xfId="0" applyNumberFormat="1" applyFont="1" applyBorder="1"/>
    <xf numFmtId="43" fontId="9" fillId="0" borderId="4" xfId="1" applyFont="1" applyFill="1" applyBorder="1"/>
    <xf numFmtId="0" fontId="9" fillId="3" borderId="3" xfId="0" applyFont="1" applyFill="1" applyBorder="1"/>
    <xf numFmtId="43" fontId="9" fillId="0" borderId="3" xfId="1" applyFont="1" applyFill="1" applyBorder="1" applyAlignment="1">
      <alignment vertical="center" wrapText="1"/>
    </xf>
    <xf numFmtId="164" fontId="9" fillId="0" borderId="3" xfId="1" applyNumberFormat="1" applyFont="1" applyFill="1" applyBorder="1" applyAlignment="1">
      <alignment vertical="center"/>
    </xf>
    <xf numFmtId="43" fontId="9" fillId="0" borderId="3" xfId="1" applyFont="1" applyFill="1" applyBorder="1" applyAlignment="1">
      <alignment vertical="center"/>
    </xf>
    <xf numFmtId="43" fontId="9" fillId="3" borderId="3" xfId="0" applyNumberFormat="1" applyFont="1" applyFill="1" applyBorder="1" applyAlignment="1">
      <alignment vertical="center" wrapText="1"/>
    </xf>
    <xf numFmtId="43" fontId="9" fillId="0" borderId="3" xfId="0" applyNumberFormat="1" applyFont="1" applyBorder="1"/>
    <xf numFmtId="165" fontId="9" fillId="0" borderId="3" xfId="1" applyNumberFormat="1" applyFont="1" applyFill="1" applyBorder="1" applyAlignment="1">
      <alignment wrapText="1"/>
    </xf>
    <xf numFmtId="43" fontId="9" fillId="0" borderId="3" xfId="0" applyNumberFormat="1" applyFont="1" applyBorder="1" applyAlignment="1">
      <alignment wrapText="1"/>
    </xf>
    <xf numFmtId="43" fontId="9" fillId="0" borderId="3" xfId="1" applyFont="1" applyFill="1" applyBorder="1"/>
    <xf numFmtId="43" fontId="9" fillId="3" borderId="7" xfId="1" applyFont="1" applyFill="1" applyBorder="1" applyAlignment="1">
      <alignment vertical="center"/>
    </xf>
    <xf numFmtId="43" fontId="9" fillId="3" borderId="7" xfId="0" applyNumberFormat="1" applyFont="1" applyFill="1" applyBorder="1" applyAlignment="1">
      <alignment vertical="center" wrapText="1"/>
    </xf>
    <xf numFmtId="43" fontId="9" fillId="3" borderId="7" xfId="1" applyFont="1" applyFill="1" applyBorder="1"/>
    <xf numFmtId="165" fontId="9" fillId="3" borderId="7" xfId="1" applyNumberFormat="1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3" borderId="0" xfId="0" applyFont="1" applyFill="1" applyAlignment="1">
      <alignment horizontal="left"/>
    </xf>
    <xf numFmtId="43" fontId="9" fillId="0" borderId="3" xfId="0" applyNumberFormat="1" applyFont="1" applyBorder="1" applyAlignment="1">
      <alignment horizontal="left"/>
    </xf>
    <xf numFmtId="43" fontId="9" fillId="0" borderId="3" xfId="0" applyNumberFormat="1" applyFont="1" applyBorder="1" applyAlignment="1">
      <alignment horizontal="left" wrapText="1"/>
    </xf>
    <xf numFmtId="165" fontId="9" fillId="0" borderId="3" xfId="1" applyNumberFormat="1" applyFont="1" applyFill="1" applyBorder="1" applyAlignment="1">
      <alignment horizontal="left"/>
    </xf>
    <xf numFmtId="43" fontId="9" fillId="14" borderId="3" xfId="0" applyNumberFormat="1" applyFont="1" applyFill="1" applyBorder="1" applyAlignment="1">
      <alignment horizontal="left"/>
    </xf>
    <xf numFmtId="43" fontId="9" fillId="3" borderId="3" xfId="1" applyFont="1" applyFill="1" applyBorder="1"/>
    <xf numFmtId="43" fontId="9" fillId="3" borderId="3" xfId="0" applyNumberFormat="1" applyFont="1" applyFill="1" applyBorder="1" applyAlignment="1">
      <alignment wrapText="1"/>
    </xf>
    <xf numFmtId="43" fontId="9" fillId="15" borderId="3" xfId="1" applyFont="1" applyFill="1" applyBorder="1"/>
    <xf numFmtId="165" fontId="9" fillId="3" borderId="3" xfId="1" applyNumberFormat="1" applyFont="1" applyFill="1" applyBorder="1" applyAlignment="1">
      <alignment vertical="center"/>
    </xf>
    <xf numFmtId="43" fontId="9" fillId="15" borderId="3" xfId="1" applyFont="1" applyFill="1" applyBorder="1" applyAlignment="1">
      <alignment vertical="center"/>
    </xf>
    <xf numFmtId="164" fontId="22" fillId="0" borderId="3" xfId="1" applyNumberFormat="1" applyFont="1" applyBorder="1"/>
    <xf numFmtId="43" fontId="22" fillId="0" borderId="3" xfId="1" applyFont="1" applyBorder="1"/>
    <xf numFmtId="165" fontId="22" fillId="0" borderId="3" xfId="1" applyNumberFormat="1" applyFont="1" applyBorder="1" applyAlignment="1">
      <alignment wrapText="1"/>
    </xf>
    <xf numFmtId="0" fontId="22" fillId="0" borderId="3" xfId="0" applyFont="1" applyBorder="1"/>
    <xf numFmtId="43" fontId="9" fillId="14" borderId="4" xfId="1" applyFont="1" applyFill="1" applyBorder="1" applyAlignment="1">
      <alignment vertical="center"/>
    </xf>
    <xf numFmtId="0" fontId="23" fillId="9" borderId="21" xfId="0" applyFont="1" applyFill="1" applyBorder="1" applyAlignment="1">
      <alignment horizontal="center" vertical="center"/>
    </xf>
    <xf numFmtId="43" fontId="23" fillId="9" borderId="21" xfId="1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43" fontId="8" fillId="0" borderId="0" xfId="1" applyFont="1" applyAlignment="1">
      <alignment horizontal="center"/>
    </xf>
    <xf numFmtId="43" fontId="8" fillId="18" borderId="0" xfId="1" applyFont="1" applyFill="1" applyAlignment="1">
      <alignment horizontal="center"/>
    </xf>
    <xf numFmtId="43" fontId="8" fillId="12" borderId="0" xfId="1" applyFont="1" applyFill="1" applyAlignment="1">
      <alignment horizontal="center"/>
    </xf>
    <xf numFmtId="43" fontId="23" fillId="9" borderId="21" xfId="1" applyFont="1" applyFill="1" applyBorder="1" applyAlignment="1">
      <alignment horizontal="center" vertical="center" wrapText="1"/>
    </xf>
    <xf numFmtId="43" fontId="8" fillId="14" borderId="0" xfId="1" applyFont="1" applyFill="1" applyAlignment="1">
      <alignment horizontal="center"/>
    </xf>
    <xf numFmtId="43" fontId="23" fillId="9" borderId="29" xfId="1" applyFont="1" applyFill="1" applyBorder="1" applyAlignment="1">
      <alignment horizontal="center" vertical="center"/>
    </xf>
    <xf numFmtId="43" fontId="8" fillId="0" borderId="10" xfId="1" applyFont="1" applyBorder="1" applyAlignment="1">
      <alignment horizontal="center"/>
    </xf>
    <xf numFmtId="43" fontId="8" fillId="4" borderId="10" xfId="1" applyFont="1" applyFill="1" applyBorder="1" applyAlignment="1">
      <alignment horizontal="center"/>
    </xf>
    <xf numFmtId="0" fontId="8" fillId="9" borderId="21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/>
    </xf>
    <xf numFmtId="43" fontId="8" fillId="19" borderId="0" xfId="1" applyFont="1" applyFill="1" applyAlignment="1">
      <alignment horizontal="center"/>
    </xf>
    <xf numFmtId="43" fontId="23" fillId="9" borderId="29" xfId="1" applyFont="1" applyFill="1" applyBorder="1" applyAlignment="1">
      <alignment horizontal="center" vertical="center" wrapText="1"/>
    </xf>
    <xf numFmtId="43" fontId="8" fillId="4" borderId="10" xfId="0" applyNumberFormat="1" applyFont="1" applyFill="1" applyBorder="1" applyAlignment="1">
      <alignment horizontal="center"/>
    </xf>
    <xf numFmtId="10" fontId="6" fillId="3" borderId="0" xfId="0" applyNumberFormat="1" applyFont="1" applyFill="1"/>
    <xf numFmtId="0" fontId="3" fillId="3" borderId="10" xfId="0" applyFont="1" applyFill="1" applyBorder="1"/>
    <xf numFmtId="164" fontId="3" fillId="3" borderId="10" xfId="1" applyNumberFormat="1" applyFont="1" applyFill="1" applyBorder="1"/>
    <xf numFmtId="43" fontId="3" fillId="5" borderId="10" xfId="1" applyFont="1" applyFill="1" applyBorder="1" applyAlignment="1">
      <alignment vertical="center"/>
    </xf>
    <xf numFmtId="165" fontId="3" fillId="3" borderId="10" xfId="1" applyNumberFormat="1" applyFont="1" applyFill="1" applyBorder="1"/>
    <xf numFmtId="43" fontId="4" fillId="6" borderId="29" xfId="1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  <xf numFmtId="43" fontId="4" fillId="7" borderId="29" xfId="1" applyFont="1" applyFill="1" applyBorder="1" applyAlignment="1">
      <alignment horizontal="center" vertical="center"/>
    </xf>
    <xf numFmtId="43" fontId="3" fillId="3" borderId="10" xfId="1" applyFont="1" applyFill="1" applyBorder="1" applyAlignment="1">
      <alignment wrapText="1"/>
    </xf>
    <xf numFmtId="49" fontId="7" fillId="0" borderId="10" xfId="3" applyNumberFormat="1" applyFont="1" applyBorder="1"/>
    <xf numFmtId="0" fontId="7" fillId="0" borderId="10" xfId="3" applyFont="1" applyBorder="1"/>
    <xf numFmtId="0" fontId="4" fillId="2" borderId="4" xfId="0" applyFont="1" applyFill="1" applyBorder="1" applyAlignment="1">
      <alignment horizontal="center"/>
    </xf>
    <xf numFmtId="167" fontId="12" fillId="3" borderId="4" xfId="1" applyNumberFormat="1" applyFont="1" applyFill="1" applyBorder="1" applyAlignment="1">
      <alignment vertical="center"/>
    </xf>
    <xf numFmtId="167" fontId="12" fillId="3" borderId="11" xfId="1" applyNumberFormat="1" applyFont="1" applyFill="1" applyBorder="1" applyAlignment="1">
      <alignment horizontal="center" vertical="center" wrapText="1"/>
    </xf>
    <xf numFmtId="177" fontId="9" fillId="3" borderId="0" xfId="2" applyNumberFormat="1" applyFont="1" applyFill="1" applyBorder="1" applyAlignment="1">
      <alignment vertical="center"/>
    </xf>
    <xf numFmtId="0" fontId="12" fillId="3" borderId="4" xfId="1" applyNumberFormat="1" applyFont="1" applyFill="1" applyBorder="1" applyAlignment="1">
      <alignment vertical="center"/>
    </xf>
    <xf numFmtId="178" fontId="11" fillId="2" borderId="4" xfId="1" applyNumberFormat="1" applyFont="1" applyFill="1" applyBorder="1" applyAlignment="1">
      <alignment horizontal="left" vertical="center"/>
    </xf>
    <xf numFmtId="0" fontId="22" fillId="4" borderId="10" xfId="0" applyFont="1" applyFill="1" applyBorder="1"/>
    <xf numFmtId="167" fontId="10" fillId="7" borderId="10" xfId="0" applyNumberFormat="1" applyFont="1" applyFill="1" applyBorder="1" applyAlignment="1">
      <alignment vertical="center"/>
    </xf>
    <xf numFmtId="0" fontId="9" fillId="7" borderId="10" xfId="0" applyFont="1" applyFill="1" applyBorder="1" applyAlignment="1">
      <alignment vertical="center"/>
    </xf>
    <xf numFmtId="43" fontId="9" fillId="7" borderId="10" xfId="0" applyNumberFormat="1" applyFont="1" applyFill="1" applyBorder="1" applyAlignment="1">
      <alignment vertical="center"/>
    </xf>
    <xf numFmtId="0" fontId="12" fillId="3" borderId="3" xfId="0" applyFont="1" applyFill="1" applyBorder="1" applyAlignment="1">
      <alignment vertical="center"/>
    </xf>
    <xf numFmtId="43" fontId="3" fillId="5" borderId="4" xfId="0" applyNumberFormat="1" applyFont="1" applyFill="1" applyBorder="1" applyAlignment="1">
      <alignment vertical="center"/>
    </xf>
    <xf numFmtId="43" fontId="3" fillId="5" borderId="4" xfId="1" applyFont="1" applyFill="1" applyBorder="1" applyAlignment="1">
      <alignment vertical="center"/>
    </xf>
    <xf numFmtId="43" fontId="4" fillId="7" borderId="30" xfId="1" applyFont="1" applyFill="1" applyBorder="1" applyAlignment="1">
      <alignment vertical="center"/>
    </xf>
    <xf numFmtId="43" fontId="3" fillId="0" borderId="10" xfId="1" applyFont="1" applyFill="1" applyBorder="1" applyAlignment="1">
      <alignment vertical="center"/>
    </xf>
    <xf numFmtId="43" fontId="10" fillId="9" borderId="4" xfId="1" applyFont="1" applyFill="1" applyBorder="1" applyAlignment="1">
      <alignment vertical="center"/>
    </xf>
    <xf numFmtId="172" fontId="16" fillId="6" borderId="0" xfId="2" applyNumberFormat="1" applyFont="1" applyFill="1"/>
    <xf numFmtId="0" fontId="4" fillId="16" borderId="0" xfId="0" applyFont="1" applyFill="1" applyAlignment="1">
      <alignment horizontal="center"/>
    </xf>
    <xf numFmtId="10" fontId="3" fillId="3" borderId="0" xfId="2" applyNumberFormat="1" applyFont="1" applyFill="1"/>
    <xf numFmtId="43" fontId="0" fillId="0" borderId="0" xfId="1" applyFont="1"/>
    <xf numFmtId="43" fontId="10" fillId="7" borderId="4" xfId="1" applyFont="1" applyFill="1" applyBorder="1" applyAlignment="1">
      <alignment vertical="center"/>
    </xf>
    <xf numFmtId="43" fontId="9" fillId="14" borderId="4" xfId="0" applyNumberFormat="1" applyFont="1" applyFill="1" applyBorder="1" applyAlignment="1">
      <alignment vertical="center"/>
    </xf>
    <xf numFmtId="10" fontId="4" fillId="3" borderId="0" xfId="2" applyNumberFormat="1" applyFont="1" applyFill="1" applyBorder="1" applyAlignment="1">
      <alignment horizontal="center"/>
    </xf>
    <xf numFmtId="43" fontId="3" fillId="0" borderId="3" xfId="1" applyFont="1" applyFill="1" applyBorder="1"/>
    <xf numFmtId="43" fontId="3" fillId="12" borderId="3" xfId="1" applyFont="1" applyFill="1" applyBorder="1"/>
    <xf numFmtId="43" fontId="3" fillId="12" borderId="3" xfId="1" applyFont="1" applyFill="1" applyBorder="1" applyAlignment="1">
      <alignment vertical="center"/>
    </xf>
    <xf numFmtId="10" fontId="3" fillId="3" borderId="0" xfId="2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43" fontId="3" fillId="12" borderId="10" xfId="1" applyFont="1" applyFill="1" applyBorder="1" applyAlignment="1">
      <alignment vertical="center"/>
    </xf>
    <xf numFmtId="43" fontId="3" fillId="14" borderId="10" xfId="1" applyFont="1" applyFill="1" applyBorder="1" applyAlignment="1">
      <alignment vertical="center"/>
    </xf>
    <xf numFmtId="43" fontId="3" fillId="15" borderId="10" xfId="1" applyFont="1" applyFill="1" applyBorder="1" applyAlignment="1">
      <alignment vertical="center"/>
    </xf>
    <xf numFmtId="43" fontId="4" fillId="7" borderId="2" xfId="1" applyFont="1" applyFill="1" applyBorder="1" applyAlignment="1">
      <alignment horizontal="center"/>
    </xf>
    <xf numFmtId="43" fontId="3" fillId="14" borderId="3" xfId="1" applyFont="1" applyFill="1" applyBorder="1"/>
    <xf numFmtId="43" fontId="3" fillId="12" borderId="3" xfId="0" applyNumberFormat="1" applyFont="1" applyFill="1" applyBorder="1" applyAlignment="1">
      <alignment vertical="center"/>
    </xf>
    <xf numFmtId="10" fontId="6" fillId="3" borderId="0" xfId="0" applyNumberFormat="1" applyFont="1" applyFill="1" applyAlignment="1">
      <alignment vertical="center"/>
    </xf>
    <xf numFmtId="165" fontId="7" fillId="0" borderId="3" xfId="1" applyNumberFormat="1" applyFont="1" applyFill="1" applyBorder="1" applyAlignment="1">
      <alignment horizontal="left"/>
    </xf>
    <xf numFmtId="43" fontId="3" fillId="7" borderId="3" xfId="1" applyFont="1" applyFill="1" applyBorder="1"/>
    <xf numFmtId="43" fontId="4" fillId="7" borderId="3" xfId="1" applyFont="1" applyFill="1" applyBorder="1"/>
    <xf numFmtId="43" fontId="4" fillId="6" borderId="3" xfId="1" applyFont="1" applyFill="1" applyBorder="1"/>
    <xf numFmtId="0" fontId="3" fillId="3" borderId="7" xfId="0" applyFont="1" applyFill="1" applyBorder="1"/>
    <xf numFmtId="43" fontId="4" fillId="2" borderId="39" xfId="1" applyFont="1" applyFill="1" applyBorder="1" applyAlignment="1">
      <alignment horizontal="center" vertical="center" wrapText="1"/>
    </xf>
    <xf numFmtId="43" fontId="4" fillId="8" borderId="12" xfId="1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164" fontId="3" fillId="0" borderId="10" xfId="1" applyNumberFormat="1" applyFont="1" applyFill="1" applyBorder="1" applyAlignment="1">
      <alignment vertical="center"/>
    </xf>
    <xf numFmtId="43" fontId="12" fillId="3" borderId="10" xfId="1" applyFont="1" applyFill="1" applyBorder="1" applyAlignment="1">
      <alignment horizontal="left" vertical="center"/>
    </xf>
    <xf numFmtId="43" fontId="3" fillId="0" borderId="10" xfId="1" applyFont="1" applyBorder="1" applyAlignment="1">
      <alignment vertical="center"/>
    </xf>
    <xf numFmtId="165" fontId="3" fillId="0" borderId="10" xfId="1" applyNumberFormat="1" applyFont="1" applyFill="1" applyBorder="1" applyAlignment="1">
      <alignment vertical="center"/>
    </xf>
    <xf numFmtId="164" fontId="4" fillId="2" borderId="10" xfId="1" applyNumberFormat="1" applyFont="1" applyFill="1" applyBorder="1" applyAlignment="1">
      <alignment vertical="center"/>
    </xf>
    <xf numFmtId="43" fontId="4" fillId="2" borderId="10" xfId="1" applyFont="1" applyFill="1" applyBorder="1" applyAlignment="1">
      <alignment vertical="center"/>
    </xf>
    <xf numFmtId="43" fontId="4" fillId="6" borderId="10" xfId="1" applyFont="1" applyFill="1" applyBorder="1" applyAlignment="1">
      <alignment vertical="center"/>
    </xf>
    <xf numFmtId="43" fontId="3" fillId="9" borderId="10" xfId="1" applyFont="1" applyFill="1" applyBorder="1" applyAlignment="1">
      <alignment vertical="center"/>
    </xf>
    <xf numFmtId="43" fontId="4" fillId="9" borderId="10" xfId="1" applyFont="1" applyFill="1" applyBorder="1" applyAlignment="1">
      <alignment vertical="center"/>
    </xf>
    <xf numFmtId="43" fontId="3" fillId="3" borderId="0" xfId="1" applyFont="1" applyFill="1" applyBorder="1" applyAlignment="1">
      <alignment vertical="center"/>
    </xf>
    <xf numFmtId="43" fontId="4" fillId="8" borderId="40" xfId="1" applyFont="1" applyFill="1" applyBorder="1" applyAlignment="1">
      <alignment horizontal="center" vertical="center" wrapText="1"/>
    </xf>
    <xf numFmtId="43" fontId="3" fillId="0" borderId="10" xfId="1" applyFont="1" applyFill="1" applyBorder="1"/>
    <xf numFmtId="0" fontId="3" fillId="0" borderId="7" xfId="0" applyFont="1" applyBorder="1"/>
    <xf numFmtId="43" fontId="4" fillId="12" borderId="10" xfId="1" applyFont="1" applyFill="1" applyBorder="1" applyAlignment="1">
      <alignment vertical="center"/>
    </xf>
    <xf numFmtId="43" fontId="9" fillId="3" borderId="10" xfId="1" applyFont="1" applyFill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left" vertical="center"/>
    </xf>
    <xf numFmtId="43" fontId="22" fillId="4" borderId="0" xfId="1" applyFont="1" applyFill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43" fontId="22" fillId="0" borderId="10" xfId="1" applyFont="1" applyBorder="1" applyAlignment="1">
      <alignment horizontal="center" vertical="center"/>
    </xf>
    <xf numFmtId="43" fontId="22" fillId="18" borderId="10" xfId="1" applyFont="1" applyFill="1" applyBorder="1" applyAlignment="1">
      <alignment horizontal="center" vertical="center"/>
    </xf>
    <xf numFmtId="43" fontId="22" fillId="12" borderId="10" xfId="1" applyFont="1" applyFill="1" applyBorder="1" applyAlignment="1">
      <alignment horizontal="center" vertical="center"/>
    </xf>
    <xf numFmtId="43" fontId="22" fillId="14" borderId="10" xfId="1" applyFont="1" applyFill="1" applyBorder="1" applyAlignment="1">
      <alignment horizontal="center" vertical="center"/>
    </xf>
    <xf numFmtId="0" fontId="22" fillId="4" borderId="0" xfId="0" applyFont="1" applyFill="1"/>
    <xf numFmtId="43" fontId="10" fillId="5" borderId="0" xfId="1" applyFont="1" applyFill="1" applyBorder="1" applyAlignment="1">
      <alignment horizontal="center" vertical="center"/>
    </xf>
    <xf numFmtId="43" fontId="9" fillId="3" borderId="0" xfId="1" applyFont="1" applyFill="1" applyBorder="1"/>
    <xf numFmtId="43" fontId="9" fillId="3" borderId="10" xfId="1" applyFont="1" applyFill="1" applyBorder="1"/>
    <xf numFmtId="43" fontId="9" fillId="3" borderId="0" xfId="1" applyFont="1" applyFill="1"/>
    <xf numFmtId="0" fontId="9" fillId="3" borderId="10" xfId="0" applyFont="1" applyFill="1" applyBorder="1" applyAlignment="1">
      <alignment vertical="center"/>
    </xf>
    <xf numFmtId="0" fontId="27" fillId="4" borderId="0" xfId="0" applyFont="1" applyFill="1"/>
    <xf numFmtId="0" fontId="9" fillId="4" borderId="0" xfId="0" applyFont="1" applyFill="1" applyAlignment="1">
      <alignment vertical="center"/>
    </xf>
    <xf numFmtId="173" fontId="9" fillId="3" borderId="0" xfId="0" applyNumberFormat="1" applyFont="1" applyFill="1"/>
    <xf numFmtId="0" fontId="9" fillId="5" borderId="0" xfId="0" applyFont="1" applyFill="1" applyAlignment="1">
      <alignment horizontal="center"/>
    </xf>
    <xf numFmtId="0" fontId="9" fillId="5" borderId="0" xfId="0" applyFont="1" applyFill="1"/>
    <xf numFmtId="0" fontId="9" fillId="3" borderId="10" xfId="0" applyFont="1" applyFill="1" applyBorder="1"/>
    <xf numFmtId="164" fontId="9" fillId="3" borderId="10" xfId="1" applyNumberFormat="1" applyFont="1" applyFill="1" applyBorder="1"/>
    <xf numFmtId="49" fontId="12" fillId="0" borderId="10" xfId="3" applyNumberFormat="1" applyFont="1" applyBorder="1"/>
    <xf numFmtId="0" fontId="12" fillId="0" borderId="10" xfId="3" applyFont="1" applyBorder="1"/>
    <xf numFmtId="43" fontId="9" fillId="3" borderId="10" xfId="1" applyFont="1" applyFill="1" applyBorder="1" applyAlignment="1">
      <alignment wrapText="1"/>
    </xf>
    <xf numFmtId="43" fontId="9" fillId="5" borderId="10" xfId="1" applyFont="1" applyFill="1" applyBorder="1" applyAlignment="1">
      <alignment vertical="center"/>
    </xf>
    <xf numFmtId="0" fontId="22" fillId="4" borderId="10" xfId="0" applyFont="1" applyFill="1" applyBorder="1" applyAlignment="1">
      <alignment horizontal="center" vertical="center"/>
    </xf>
    <xf numFmtId="0" fontId="26" fillId="9" borderId="10" xfId="0" applyFont="1" applyFill="1" applyBorder="1" applyAlignment="1">
      <alignment horizontal="center" vertical="center"/>
    </xf>
    <xf numFmtId="43" fontId="4" fillId="7" borderId="10" xfId="1" applyFont="1" applyFill="1" applyBorder="1" applyAlignment="1">
      <alignment horizontal="center" vertical="center" wrapText="1"/>
    </xf>
    <xf numFmtId="43" fontId="26" fillId="9" borderId="10" xfId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43" fontId="10" fillId="7" borderId="10" xfId="1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43" fontId="10" fillId="7" borderId="10" xfId="1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/>
    </xf>
    <xf numFmtId="43" fontId="9" fillId="12" borderId="10" xfId="1" applyFont="1" applyFill="1" applyBorder="1" applyAlignment="1">
      <alignment horizontal="center"/>
    </xf>
    <xf numFmtId="43" fontId="9" fillId="18" borderId="10" xfId="1" applyFont="1" applyFill="1" applyBorder="1" applyAlignment="1">
      <alignment horizontal="center"/>
    </xf>
    <xf numFmtId="43" fontId="9" fillId="14" borderId="10" xfId="1" applyFont="1" applyFill="1" applyBorder="1" applyAlignment="1">
      <alignment horizontal="center"/>
    </xf>
    <xf numFmtId="164" fontId="3" fillId="5" borderId="0" xfId="1" applyNumberFormat="1" applyFont="1" applyFill="1" applyAlignment="1">
      <alignment horizontal="center" vertical="center" wrapText="1"/>
    </xf>
    <xf numFmtId="164" fontId="5" fillId="5" borderId="0" xfId="1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3" fillId="12" borderId="4" xfId="0" applyFont="1" applyFill="1" applyBorder="1"/>
    <xf numFmtId="0" fontId="22" fillId="9" borderId="0" xfId="0" applyFont="1" applyFill="1"/>
    <xf numFmtId="0" fontId="26" fillId="9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 applyAlignment="1">
      <alignment horizontal="center"/>
    </xf>
    <xf numFmtId="164" fontId="0" fillId="0" borderId="0" xfId="1" applyNumberFormat="1" applyFont="1"/>
    <xf numFmtId="179" fontId="3" fillId="3" borderId="0" xfId="0" applyNumberFormat="1" applyFont="1" applyFill="1"/>
    <xf numFmtId="43" fontId="3" fillId="3" borderId="0" xfId="1" applyFont="1" applyFill="1" applyAlignment="1">
      <alignment vertical="center" wrapText="1"/>
    </xf>
    <xf numFmtId="43" fontId="2" fillId="3" borderId="0" xfId="1" applyFont="1" applyFill="1" applyAlignment="1">
      <alignment vertical="center"/>
    </xf>
    <xf numFmtId="43" fontId="8" fillId="0" borderId="0" xfId="1" applyFont="1"/>
    <xf numFmtId="43" fontId="8" fillId="0" borderId="0" xfId="1" applyFont="1" applyAlignment="1">
      <alignment horizontal="center" vertical="center"/>
    </xf>
    <xf numFmtId="43" fontId="23" fillId="9" borderId="0" xfId="1" applyFont="1" applyFill="1" applyAlignment="1">
      <alignment horizontal="center" vertical="center" wrapText="1"/>
    </xf>
    <xf numFmtId="43" fontId="8" fillId="0" borderId="10" xfId="1" applyFont="1" applyBorder="1"/>
    <xf numFmtId="43" fontId="3" fillId="6" borderId="10" xfId="1" applyFont="1" applyFill="1" applyBorder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6" fillId="9" borderId="21" xfId="0" applyFont="1" applyFill="1" applyBorder="1" applyAlignment="1">
      <alignment horizontal="center" vertical="center" wrapText="1"/>
    </xf>
    <xf numFmtId="178" fontId="26" fillId="9" borderId="21" xfId="1" applyNumberFormat="1" applyFont="1" applyFill="1" applyBorder="1" applyAlignment="1">
      <alignment horizontal="center" vertical="center" wrapText="1"/>
    </xf>
    <xf numFmtId="178" fontId="26" fillId="9" borderId="21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65" fontId="22" fillId="0" borderId="0" xfId="1" applyNumberFormat="1" applyFont="1" applyAlignment="1"/>
    <xf numFmtId="178" fontId="22" fillId="0" borderId="0" xfId="1" applyNumberFormat="1" applyFont="1" applyAlignment="1"/>
    <xf numFmtId="165" fontId="26" fillId="9" borderId="0" xfId="1" applyNumberFormat="1" applyFont="1" applyFill="1" applyAlignment="1"/>
    <xf numFmtId="178" fontId="26" fillId="9" borderId="0" xfId="0" applyNumberFormat="1" applyFont="1" applyFill="1"/>
    <xf numFmtId="178" fontId="22" fillId="0" borderId="0" xfId="0" applyNumberFormat="1" applyFont="1"/>
    <xf numFmtId="0" fontId="26" fillId="9" borderId="0" xfId="0" applyFont="1" applyFill="1" applyAlignment="1">
      <alignment horizontal="center" vertical="center" wrapText="1"/>
    </xf>
    <xf numFmtId="0" fontId="8" fillId="4" borderId="0" xfId="0" applyFont="1" applyFill="1"/>
    <xf numFmtId="0" fontId="8" fillId="4" borderId="0" xfId="0" applyFont="1" applyFill="1" applyAlignment="1">
      <alignment horizontal="left"/>
    </xf>
    <xf numFmtId="43" fontId="8" fillId="4" borderId="10" xfId="1" applyFont="1" applyFill="1" applyBorder="1" applyAlignment="1">
      <alignment horizontal="left"/>
    </xf>
    <xf numFmtId="0" fontId="7" fillId="5" borderId="10" xfId="0" applyFont="1" applyFill="1" applyBorder="1" applyAlignment="1">
      <alignment vertical="center"/>
    </xf>
    <xf numFmtId="0" fontId="3" fillId="5" borderId="10" xfId="0" applyFont="1" applyFill="1" applyBorder="1"/>
    <xf numFmtId="43" fontId="23" fillId="9" borderId="10" xfId="1" applyFont="1" applyFill="1" applyBorder="1" applyAlignment="1">
      <alignment horizontal="center"/>
    </xf>
    <xf numFmtId="43" fontId="23" fillId="9" borderId="10" xfId="1" applyFont="1" applyFill="1" applyBorder="1" applyAlignment="1">
      <alignment horizontal="left"/>
    </xf>
    <xf numFmtId="43" fontId="8" fillId="4" borderId="0" xfId="0" applyNumberFormat="1" applyFont="1" applyFill="1"/>
    <xf numFmtId="164" fontId="8" fillId="4" borderId="10" xfId="1" applyNumberFormat="1" applyFont="1" applyFill="1" applyBorder="1" applyAlignment="1">
      <alignment horizontal="center"/>
    </xf>
    <xf numFmtId="0" fontId="8" fillId="4" borderId="0" xfId="0" applyFont="1" applyFill="1" applyAlignment="1">
      <alignment vertical="center"/>
    </xf>
    <xf numFmtId="43" fontId="23" fillId="9" borderId="10" xfId="1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65" fontId="7" fillId="3" borderId="4" xfId="1" applyNumberFormat="1" applyFont="1" applyFill="1" applyBorder="1" applyAlignment="1">
      <alignment horizontal="left" vertical="center"/>
    </xf>
    <xf numFmtId="165" fontId="3" fillId="7" borderId="4" xfId="1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165" fontId="4" fillId="7" borderId="4" xfId="1" applyNumberFormat="1" applyFont="1" applyFill="1" applyBorder="1" applyAlignment="1">
      <alignment vertical="center"/>
    </xf>
    <xf numFmtId="164" fontId="23" fillId="9" borderId="10" xfId="1" applyNumberFormat="1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 vertical="center"/>
    </xf>
    <xf numFmtId="164" fontId="4" fillId="2" borderId="39" xfId="1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164" fontId="4" fillId="2" borderId="10" xfId="1" applyNumberFormat="1" applyFont="1" applyFill="1" applyBorder="1" applyAlignment="1">
      <alignment horizontal="center"/>
    </xf>
    <xf numFmtId="43" fontId="4" fillId="2" borderId="10" xfId="1" applyFont="1" applyFill="1" applyBorder="1" applyAlignment="1">
      <alignment horizontal="center"/>
    </xf>
    <xf numFmtId="165" fontId="4" fillId="2" borderId="10" xfId="1" applyNumberFormat="1" applyFont="1" applyFill="1" applyBorder="1" applyAlignment="1">
      <alignment horizontal="center"/>
    </xf>
    <xf numFmtId="43" fontId="4" fillId="7" borderId="39" xfId="1" applyFont="1" applyFill="1" applyBorder="1" applyAlignment="1">
      <alignment horizontal="center" vertical="center" wrapText="1"/>
    </xf>
    <xf numFmtId="165" fontId="4" fillId="7" borderId="10" xfId="1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164" fontId="3" fillId="4" borderId="0" xfId="1" applyNumberFormat="1" applyFont="1" applyFill="1" applyAlignment="1">
      <alignment vertical="center"/>
    </xf>
    <xf numFmtId="0" fontId="3" fillId="0" borderId="3" xfId="0" applyFont="1" applyBorder="1"/>
    <xf numFmtId="43" fontId="4" fillId="7" borderId="21" xfId="1" applyFont="1" applyFill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43" fontId="3" fillId="0" borderId="33" xfId="1" applyFont="1" applyFill="1" applyBorder="1" applyAlignment="1">
      <alignment vertical="center"/>
    </xf>
    <xf numFmtId="164" fontId="3" fillId="3" borderId="50" xfId="1" applyNumberFormat="1" applyFont="1" applyFill="1" applyBorder="1" applyAlignment="1">
      <alignment vertical="center"/>
    </xf>
    <xf numFmtId="43" fontId="3" fillId="3" borderId="50" xfId="1" applyFont="1" applyFill="1" applyBorder="1" applyAlignment="1">
      <alignment vertical="center"/>
    </xf>
    <xf numFmtId="0" fontId="3" fillId="3" borderId="51" xfId="0" applyFont="1" applyFill="1" applyBorder="1" applyAlignment="1">
      <alignment vertical="center"/>
    </xf>
    <xf numFmtId="164" fontId="3" fillId="3" borderId="51" xfId="1" applyNumberFormat="1" applyFont="1" applyFill="1" applyBorder="1" applyAlignment="1">
      <alignment vertical="center"/>
    </xf>
    <xf numFmtId="43" fontId="3" fillId="3" borderId="51" xfId="1" applyFont="1" applyFill="1" applyBorder="1" applyAlignment="1">
      <alignment vertical="center"/>
    </xf>
    <xf numFmtId="10" fontId="5" fillId="3" borderId="0" xfId="0" applyNumberFormat="1" applyFont="1" applyFill="1"/>
    <xf numFmtId="0" fontId="5" fillId="5" borderId="0" xfId="0" applyFont="1" applyFill="1"/>
    <xf numFmtId="165" fontId="5" fillId="5" borderId="0" xfId="1" applyNumberFormat="1" applyFont="1" applyFill="1"/>
    <xf numFmtId="0" fontId="2" fillId="0" borderId="21" xfId="0" applyFont="1" applyBorder="1" applyAlignment="1">
      <alignment vertical="center"/>
    </xf>
    <xf numFmtId="43" fontId="4" fillId="0" borderId="21" xfId="1" applyFont="1" applyFill="1" applyBorder="1" applyAlignment="1">
      <alignment horizontal="center" vertical="center" wrapText="1"/>
    </xf>
    <xf numFmtId="43" fontId="4" fillId="0" borderId="21" xfId="1" applyFont="1" applyFill="1" applyBorder="1" applyAlignment="1">
      <alignment horizontal="center" vertical="center"/>
    </xf>
    <xf numFmtId="43" fontId="4" fillId="7" borderId="29" xfId="1" applyFont="1" applyFill="1" applyBorder="1" applyAlignment="1">
      <alignment horizontal="center" vertical="center" wrapText="1"/>
    </xf>
    <xf numFmtId="43" fontId="4" fillId="7" borderId="30" xfId="1" applyFont="1" applyFill="1" applyBorder="1" applyAlignment="1">
      <alignment horizontal="center" vertical="center"/>
    </xf>
    <xf numFmtId="164" fontId="12" fillId="3" borderId="3" xfId="1" applyNumberFormat="1" applyFont="1" applyFill="1" applyBorder="1" applyAlignment="1">
      <alignment vertical="center"/>
    </xf>
    <xf numFmtId="172" fontId="16" fillId="4" borderId="0" xfId="2" applyNumberFormat="1" applyFont="1" applyFill="1" applyAlignment="1">
      <alignment horizontal="center" vertical="center"/>
    </xf>
    <xf numFmtId="172" fontId="16" fillId="5" borderId="0" xfId="2" applyNumberFormat="1" applyFont="1" applyFill="1" applyAlignment="1">
      <alignment horizontal="center" vertical="center"/>
    </xf>
    <xf numFmtId="43" fontId="3" fillId="3" borderId="3" xfId="0" applyNumberFormat="1" applyFont="1" applyFill="1" applyBorder="1"/>
    <xf numFmtId="164" fontId="3" fillId="3" borderId="12" xfId="0" applyNumberFormat="1" applyFont="1" applyFill="1" applyBorder="1"/>
    <xf numFmtId="165" fontId="3" fillId="3" borderId="12" xfId="1" applyNumberFormat="1" applyFont="1" applyFill="1" applyBorder="1" applyAlignment="1">
      <alignment vertical="center"/>
    </xf>
    <xf numFmtId="0" fontId="3" fillId="3" borderId="52" xfId="0" applyFont="1" applyFill="1" applyBorder="1" applyAlignment="1">
      <alignment horizontal="center"/>
    </xf>
    <xf numFmtId="0" fontId="3" fillId="3" borderId="53" xfId="0" applyFont="1" applyFill="1" applyBorder="1" applyAlignment="1">
      <alignment horizontal="center"/>
    </xf>
    <xf numFmtId="43" fontId="4" fillId="0" borderId="2" xfId="1" applyFont="1" applyFill="1" applyBorder="1" applyAlignment="1">
      <alignment horizontal="center"/>
    </xf>
    <xf numFmtId="43" fontId="4" fillId="14" borderId="2" xfId="1" applyFont="1" applyFill="1" applyBorder="1" applyAlignment="1">
      <alignment horizontal="center"/>
    </xf>
    <xf numFmtId="10" fontId="3" fillId="4" borderId="0" xfId="2" applyNumberFormat="1" applyFont="1" applyFill="1" applyAlignment="1">
      <alignment vertical="center"/>
    </xf>
    <xf numFmtId="43" fontId="3" fillId="3" borderId="3" xfId="0" applyNumberFormat="1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164" fontId="3" fillId="3" borderId="12" xfId="0" applyNumberFormat="1" applyFont="1" applyFill="1" applyBorder="1" applyAlignment="1">
      <alignment vertical="center"/>
    </xf>
    <xf numFmtId="43" fontId="3" fillId="3" borderId="12" xfId="0" applyNumberFormat="1" applyFont="1" applyFill="1" applyBorder="1" applyAlignment="1">
      <alignment vertical="center"/>
    </xf>
    <xf numFmtId="0" fontId="4" fillId="5" borderId="9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164" fontId="4" fillId="5" borderId="0" xfId="1" applyNumberFormat="1" applyFont="1" applyFill="1" applyBorder="1"/>
    <xf numFmtId="43" fontId="4" fillId="5" borderId="0" xfId="0" applyNumberFormat="1" applyFont="1" applyFill="1"/>
    <xf numFmtId="43" fontId="3" fillId="5" borderId="0" xfId="1" applyFont="1" applyFill="1" applyBorder="1"/>
    <xf numFmtId="165" fontId="4" fillId="5" borderId="0" xfId="1" applyNumberFormat="1" applyFont="1" applyFill="1" applyBorder="1"/>
    <xf numFmtId="165" fontId="4" fillId="5" borderId="0" xfId="0" applyNumberFormat="1" applyFont="1" applyFill="1"/>
    <xf numFmtId="174" fontId="3" fillId="3" borderId="0" xfId="1" applyNumberFormat="1" applyFont="1" applyFill="1"/>
    <xf numFmtId="164" fontId="9" fillId="7" borderId="0" xfId="0" applyNumberFormat="1" applyFont="1" applyFill="1" applyAlignment="1">
      <alignment vertical="center"/>
    </xf>
    <xf numFmtId="43" fontId="8" fillId="17" borderId="10" xfId="1" applyFont="1" applyFill="1" applyBorder="1"/>
    <xf numFmtId="0" fontId="3" fillId="20" borderId="10" xfId="0" applyFont="1" applyFill="1" applyBorder="1" applyAlignment="1">
      <alignment vertical="center"/>
    </xf>
    <xf numFmtId="43" fontId="3" fillId="20" borderId="10" xfId="1" applyFont="1" applyFill="1" applyBorder="1" applyAlignment="1">
      <alignment vertical="center"/>
    </xf>
    <xf numFmtId="0" fontId="7" fillId="17" borderId="10" xfId="3" applyFont="1" applyFill="1" applyBorder="1"/>
    <xf numFmtId="43" fontId="8" fillId="0" borderId="0" xfId="1" applyFont="1" applyBorder="1"/>
    <xf numFmtId="165" fontId="3" fillId="0" borderId="21" xfId="1" applyNumberFormat="1" applyFont="1" applyFill="1" applyBorder="1" applyAlignment="1">
      <alignment horizontal="left"/>
    </xf>
    <xf numFmtId="0" fontId="3" fillId="0" borderId="21" xfId="0" applyFont="1" applyBorder="1"/>
    <xf numFmtId="165" fontId="4" fillId="0" borderId="21" xfId="0" applyNumberFormat="1" applyFont="1" applyBorder="1"/>
    <xf numFmtId="0" fontId="3" fillId="0" borderId="33" xfId="0" applyFont="1" applyBorder="1"/>
    <xf numFmtId="0" fontId="2" fillId="0" borderId="2" xfId="0" applyFont="1" applyBorder="1"/>
    <xf numFmtId="0" fontId="4" fillId="0" borderId="2" xfId="0" applyFont="1" applyBorder="1" applyAlignment="1">
      <alignment horizontal="center" vertical="center" wrapText="1"/>
    </xf>
    <xf numFmtId="43" fontId="3" fillId="0" borderId="2" xfId="1" applyFont="1" applyFill="1" applyBorder="1"/>
    <xf numFmtId="165" fontId="3" fillId="0" borderId="2" xfId="1" applyNumberFormat="1" applyFont="1" applyFill="1" applyBorder="1"/>
    <xf numFmtId="0" fontId="3" fillId="3" borderId="21" xfId="0" applyFont="1" applyFill="1" applyBorder="1" applyAlignment="1">
      <alignment horizontal="center"/>
    </xf>
    <xf numFmtId="164" fontId="3" fillId="3" borderId="21" xfId="1" applyNumberFormat="1" applyFont="1" applyFill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3" borderId="21" xfId="0" applyFont="1" applyFill="1" applyBorder="1"/>
    <xf numFmtId="0" fontId="29" fillId="0" borderId="21" xfId="0" applyFont="1" applyBorder="1" applyAlignment="1">
      <alignment horizontal="left"/>
    </xf>
    <xf numFmtId="0" fontId="4" fillId="0" borderId="11" xfId="0" applyFont="1" applyBorder="1"/>
    <xf numFmtId="43" fontId="10" fillId="12" borderId="4" xfId="1" applyFont="1" applyFill="1" applyBorder="1" applyAlignment="1">
      <alignment vertical="center"/>
    </xf>
    <xf numFmtId="43" fontId="2" fillId="5" borderId="0" xfId="1" applyFont="1" applyFill="1"/>
    <xf numFmtId="43" fontId="7" fillId="5" borderId="0" xfId="1" applyFont="1" applyFill="1"/>
    <xf numFmtId="43" fontId="16" fillId="5" borderId="0" xfId="1" applyFont="1" applyFill="1"/>
    <xf numFmtId="43" fontId="15" fillId="5" borderId="0" xfId="1" applyFont="1" applyFill="1"/>
    <xf numFmtId="43" fontId="5" fillId="5" borderId="0" xfId="1" applyFont="1" applyFill="1"/>
    <xf numFmtId="43" fontId="3" fillId="4" borderId="0" xfId="1" applyFont="1" applyFill="1"/>
    <xf numFmtId="43" fontId="9" fillId="4" borderId="0" xfId="1" applyFont="1" applyFill="1" applyAlignment="1">
      <alignment vertical="center"/>
    </xf>
    <xf numFmtId="164" fontId="9" fillId="4" borderId="0" xfId="1" applyNumberFormat="1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64" fontId="3" fillId="3" borderId="0" xfId="1" applyNumberFormat="1" applyFont="1" applyFill="1" applyAlignment="1">
      <alignment horizontal="center" vertical="center"/>
    </xf>
    <xf numFmtId="165" fontId="3" fillId="0" borderId="21" xfId="1" applyNumberFormat="1" applyFont="1" applyBorder="1" applyAlignment="1">
      <alignment horizontal="left"/>
    </xf>
    <xf numFmtId="165" fontId="3" fillId="3" borderId="21" xfId="1" applyNumberFormat="1" applyFont="1" applyFill="1" applyBorder="1"/>
    <xf numFmtId="165" fontId="4" fillId="6" borderId="2" xfId="1" applyNumberFormat="1" applyFont="1" applyFill="1" applyBorder="1" applyAlignment="1">
      <alignment vertical="center"/>
    </xf>
    <xf numFmtId="178" fontId="3" fillId="3" borderId="3" xfId="1" applyNumberFormat="1" applyFont="1" applyFill="1" applyBorder="1" applyAlignment="1">
      <alignment vertical="center"/>
    </xf>
    <xf numFmtId="164" fontId="3" fillId="3" borderId="0" xfId="0" applyNumberFormat="1" applyFont="1" applyFill="1"/>
    <xf numFmtId="174" fontId="3" fillId="3" borderId="0" xfId="0" applyNumberFormat="1" applyFont="1" applyFill="1"/>
    <xf numFmtId="164" fontId="4" fillId="5" borderId="0" xfId="0" applyNumberFormat="1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43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43" fontId="4" fillId="0" borderId="0" xfId="1" applyFont="1" applyFill="1" applyBorder="1" applyAlignment="1">
      <alignment horizontal="center" vertical="center"/>
    </xf>
    <xf numFmtId="165" fontId="4" fillId="3" borderId="0" xfId="1" applyNumberFormat="1" applyFont="1" applyFill="1" applyBorder="1" applyAlignment="1">
      <alignment horizontal="center" vertical="center"/>
    </xf>
    <xf numFmtId="164" fontId="3" fillId="3" borderId="58" xfId="1" applyNumberFormat="1" applyFont="1" applyFill="1" applyBorder="1" applyAlignment="1">
      <alignment vertical="center"/>
    </xf>
    <xf numFmtId="43" fontId="4" fillId="0" borderId="0" xfId="1" applyFont="1" applyFill="1" applyBorder="1" applyAlignment="1">
      <alignment horizontal="center"/>
    </xf>
    <xf numFmtId="43" fontId="3" fillId="0" borderId="0" xfId="1" applyFont="1" applyFill="1" applyAlignment="1">
      <alignment vertical="center"/>
    </xf>
    <xf numFmtId="0" fontId="2" fillId="5" borderId="0" xfId="2" applyNumberFormat="1" applyFont="1" applyFill="1" applyAlignment="1">
      <alignment vertical="center"/>
    </xf>
    <xf numFmtId="167" fontId="10" fillId="7" borderId="4" xfId="0" applyNumberFormat="1" applyFont="1" applyFill="1" applyBorder="1" applyAlignment="1">
      <alignment vertical="center"/>
    </xf>
    <xf numFmtId="180" fontId="0" fillId="21" borderId="0" xfId="0" applyNumberFormat="1" applyFill="1" applyAlignment="1">
      <alignment horizontal="right" vertical="center"/>
    </xf>
    <xf numFmtId="164" fontId="12" fillId="0" borderId="4" xfId="1" applyNumberFormat="1" applyFont="1" applyFill="1" applyBorder="1" applyAlignment="1">
      <alignment vertical="center"/>
    </xf>
    <xf numFmtId="165" fontId="4" fillId="7" borderId="2" xfId="1" applyNumberFormat="1" applyFont="1" applyFill="1" applyBorder="1" applyAlignment="1">
      <alignment horizontal="center"/>
    </xf>
    <xf numFmtId="164" fontId="12" fillId="0" borderId="3" xfId="1" applyNumberFormat="1" applyFont="1" applyFill="1" applyBorder="1" applyAlignment="1">
      <alignment vertical="center"/>
    </xf>
    <xf numFmtId="43" fontId="4" fillId="0" borderId="0" xfId="1" applyFont="1" applyFill="1" applyBorder="1" applyAlignment="1">
      <alignment horizontal="center" vertical="center" wrapText="1"/>
    </xf>
    <xf numFmtId="43" fontId="3" fillId="3" borderId="10" xfId="192" applyFont="1" applyFill="1" applyBorder="1"/>
    <xf numFmtId="43" fontId="10" fillId="0" borderId="4" xfId="1" applyFont="1" applyFill="1" applyBorder="1" applyAlignment="1">
      <alignment vertical="center"/>
    </xf>
    <xf numFmtId="0" fontId="3" fillId="0" borderId="0" xfId="0" applyFont="1"/>
    <xf numFmtId="43" fontId="12" fillId="0" borderId="4" xfId="1" applyFont="1" applyFill="1" applyBorder="1" applyAlignment="1">
      <alignment horizontal="left" vertical="center"/>
    </xf>
    <xf numFmtId="43" fontId="4" fillId="0" borderId="2" xfId="1" applyFont="1" applyFill="1" applyBorder="1" applyAlignment="1">
      <alignment horizontal="center" vertical="center"/>
    </xf>
    <xf numFmtId="43" fontId="4" fillId="7" borderId="2" xfId="0" applyNumberFormat="1" applyFont="1" applyFill="1" applyBorder="1"/>
    <xf numFmtId="43" fontId="9" fillId="0" borderId="0" xfId="1" applyFont="1" applyFill="1" applyBorder="1" applyAlignment="1">
      <alignment vertical="center"/>
    </xf>
    <xf numFmtId="164" fontId="3" fillId="0" borderId="0" xfId="0" applyNumberFormat="1" applyFont="1"/>
    <xf numFmtId="165" fontId="30" fillId="4" borderId="10" xfId="1" applyNumberFormat="1" applyFont="1" applyFill="1" applyBorder="1" applyAlignment="1">
      <alignment vertical="center"/>
    </xf>
    <xf numFmtId="165" fontId="30" fillId="4" borderId="10" xfId="1" applyNumberFormat="1" applyFont="1" applyFill="1" applyBorder="1"/>
    <xf numFmtId="165" fontId="4" fillId="3" borderId="4" xfId="1" applyNumberFormat="1" applyFont="1" applyFill="1" applyBorder="1" applyAlignment="1"/>
    <xf numFmtId="165" fontId="4" fillId="3" borderId="35" xfId="1" applyNumberFormat="1" applyFont="1" applyFill="1" applyBorder="1" applyAlignment="1"/>
    <xf numFmtId="43" fontId="30" fillId="4" borderId="0" xfId="1" applyFont="1" applyFill="1" applyAlignment="1">
      <alignment vertical="center"/>
    </xf>
    <xf numFmtId="165" fontId="4" fillId="3" borderId="4" xfId="1" applyNumberFormat="1" applyFont="1" applyFill="1" applyBorder="1" applyAlignment="1">
      <alignment vertical="center"/>
    </xf>
    <xf numFmtId="43" fontId="30" fillId="4" borderId="10" xfId="1" applyFont="1" applyFill="1" applyBorder="1"/>
    <xf numFmtId="43" fontId="3" fillId="0" borderId="0" xfId="1" applyFont="1" applyFill="1" applyBorder="1"/>
    <xf numFmtId="165" fontId="16" fillId="3" borderId="4" xfId="1" applyNumberFormat="1" applyFont="1" applyFill="1" applyBorder="1" applyAlignment="1">
      <alignment vertical="center"/>
    </xf>
    <xf numFmtId="165" fontId="16" fillId="3" borderId="0" xfId="1" applyNumberFormat="1" applyFont="1" applyFill="1" applyBorder="1" applyAlignment="1">
      <alignment horizontal="center" vertical="center"/>
    </xf>
    <xf numFmtId="10" fontId="7" fillId="4" borderId="0" xfId="2" applyNumberFormat="1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9" fontId="5" fillId="0" borderId="0" xfId="2" applyFont="1" applyFill="1" applyAlignment="1">
      <alignment vertical="center"/>
    </xf>
    <xf numFmtId="0" fontId="5" fillId="0" borderId="0" xfId="0" applyFont="1" applyAlignment="1">
      <alignment vertical="center"/>
    </xf>
    <xf numFmtId="10" fontId="7" fillId="3" borderId="0" xfId="2" applyNumberFormat="1" applyFont="1" applyFill="1" applyAlignment="1">
      <alignment vertical="center"/>
    </xf>
    <xf numFmtId="165" fontId="30" fillId="0" borderId="10" xfId="1" applyNumberFormat="1" applyFont="1" applyFill="1" applyBorder="1" applyAlignment="1">
      <alignment vertical="center"/>
    </xf>
    <xf numFmtId="164" fontId="3" fillId="0" borderId="0" xfId="1" applyNumberFormat="1" applyFont="1" applyFill="1" applyAlignment="1">
      <alignment vertical="center"/>
    </xf>
    <xf numFmtId="165" fontId="4" fillId="3" borderId="7" xfId="1" applyNumberFormat="1" applyFont="1" applyFill="1" applyBorder="1" applyAlignment="1">
      <alignment vertical="center"/>
    </xf>
    <xf numFmtId="165" fontId="4" fillId="3" borderId="35" xfId="1" applyNumberFormat="1" applyFont="1" applyFill="1" applyBorder="1" applyAlignment="1">
      <alignment vertical="center"/>
    </xf>
    <xf numFmtId="165" fontId="4" fillId="3" borderId="8" xfId="1" applyNumberFormat="1" applyFont="1" applyFill="1" applyBorder="1" applyAlignment="1">
      <alignment vertical="center"/>
    </xf>
    <xf numFmtId="43" fontId="3" fillId="0" borderId="22" xfId="1" applyFont="1" applyFill="1" applyBorder="1"/>
    <xf numFmtId="43" fontId="4" fillId="0" borderId="21" xfId="1" applyFont="1" applyFill="1" applyBorder="1" applyAlignment="1"/>
    <xf numFmtId="43" fontId="3" fillId="0" borderId="5" xfId="1" applyFont="1" applyFill="1" applyBorder="1"/>
    <xf numFmtId="43" fontId="11" fillId="0" borderId="4" xfId="1" applyFont="1" applyFill="1" applyBorder="1" applyAlignment="1">
      <alignment vertical="center"/>
    </xf>
    <xf numFmtId="43" fontId="9" fillId="0" borderId="3" xfId="0" applyNumberFormat="1" applyFont="1" applyBorder="1" applyAlignment="1">
      <alignment vertical="center"/>
    </xf>
    <xf numFmtId="43" fontId="12" fillId="0" borderId="3" xfId="0" applyNumberFormat="1" applyFont="1" applyBorder="1" applyAlignment="1">
      <alignment vertical="center"/>
    </xf>
    <xf numFmtId="43" fontId="3" fillId="0" borderId="12" xfId="0" applyNumberFormat="1" applyFont="1" applyBorder="1" applyAlignment="1">
      <alignment vertical="center"/>
    </xf>
    <xf numFmtId="43" fontId="4" fillId="0" borderId="21" xfId="1" applyFont="1" applyFill="1" applyBorder="1" applyAlignment="1">
      <alignment vertical="center"/>
    </xf>
    <xf numFmtId="43" fontId="4" fillId="0" borderId="30" xfId="1" applyFont="1" applyFill="1" applyBorder="1" applyAlignment="1">
      <alignment vertical="center"/>
    </xf>
    <xf numFmtId="164" fontId="4" fillId="0" borderId="0" xfId="1" applyNumberFormat="1" applyFont="1" applyFill="1" applyBorder="1" applyAlignment="1">
      <alignment vertical="center"/>
    </xf>
    <xf numFmtId="43" fontId="4" fillId="0" borderId="2" xfId="0" applyNumberFormat="1" applyFont="1" applyBorder="1"/>
    <xf numFmtId="0" fontId="3" fillId="0" borderId="5" xfId="0" applyFont="1" applyBorder="1"/>
    <xf numFmtId="0" fontId="3" fillId="0" borderId="0" xfId="0" applyFont="1" applyAlignment="1">
      <alignment horizontal="center"/>
    </xf>
    <xf numFmtId="165" fontId="30" fillId="0" borderId="10" xfId="1" applyNumberFormat="1" applyFont="1" applyFill="1" applyBorder="1"/>
    <xf numFmtId="165" fontId="3" fillId="3" borderId="0" xfId="0" applyNumberFormat="1" applyFont="1" applyFill="1" applyAlignment="1">
      <alignment vertical="center"/>
    </xf>
    <xf numFmtId="43" fontId="4" fillId="0" borderId="0" xfId="0" applyNumberFormat="1" applyFont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4" fillId="0" borderId="0" xfId="0" applyFont="1" applyAlignment="1">
      <alignment vertical="center"/>
    </xf>
    <xf numFmtId="174" fontId="3" fillId="3" borderId="3" xfId="1" applyNumberFormat="1" applyFont="1" applyFill="1" applyBorder="1" applyAlignment="1">
      <alignment vertical="center"/>
    </xf>
    <xf numFmtId="2" fontId="3" fillId="3" borderId="4" xfId="0" applyNumberFormat="1" applyFont="1" applyFill="1" applyBorder="1"/>
    <xf numFmtId="181" fontId="30" fillId="0" borderId="10" xfId="1" applyNumberFormat="1" applyFont="1" applyFill="1" applyBorder="1"/>
    <xf numFmtId="43" fontId="3" fillId="3" borderId="5" xfId="0" applyNumberFormat="1" applyFont="1" applyFill="1" applyBorder="1"/>
    <xf numFmtId="2" fontId="3" fillId="3" borderId="12" xfId="0" applyNumberFormat="1" applyFont="1" applyFill="1" applyBorder="1"/>
    <xf numFmtId="181" fontId="30" fillId="0" borderId="10" xfId="268" applyNumberFormat="1" applyFont="1" applyFill="1" applyBorder="1"/>
    <xf numFmtId="181" fontId="30" fillId="0" borderId="10" xfId="267" applyNumberFormat="1" applyFont="1" applyFill="1" applyBorder="1" applyAlignment="1">
      <alignment vertical="center"/>
    </xf>
    <xf numFmtId="10" fontId="4" fillId="3" borderId="4" xfId="2" applyNumberFormat="1" applyFont="1" applyFill="1" applyBorder="1" applyAlignment="1"/>
    <xf numFmtId="177" fontId="4" fillId="3" borderId="4" xfId="2" applyNumberFormat="1" applyFont="1" applyFill="1" applyBorder="1" applyAlignment="1"/>
    <xf numFmtId="165" fontId="16" fillId="3" borderId="4" xfId="1" applyNumberFormat="1" applyFont="1" applyFill="1" applyBorder="1" applyAlignment="1"/>
    <xf numFmtId="10" fontId="16" fillId="3" borderId="4" xfId="2" applyNumberFormat="1" applyFont="1" applyFill="1" applyBorder="1" applyAlignment="1"/>
    <xf numFmtId="9" fontId="7" fillId="5" borderId="0" xfId="0" applyNumberFormat="1" applyFont="1" applyFill="1"/>
    <xf numFmtId="43" fontId="7" fillId="3" borderId="0" xfId="1" applyFont="1" applyFill="1"/>
    <xf numFmtId="43" fontId="7" fillId="3" borderId="0" xfId="1" applyFont="1" applyFill="1" applyAlignment="1">
      <alignment vertical="center"/>
    </xf>
    <xf numFmtId="9" fontId="7" fillId="3" borderId="0" xfId="0" applyNumberFormat="1" applyFont="1" applyFill="1" applyAlignment="1">
      <alignment vertical="center"/>
    </xf>
    <xf numFmtId="177" fontId="3" fillId="5" borderId="0" xfId="2" applyNumberFormat="1" applyFont="1" applyFill="1" applyAlignment="1">
      <alignment horizontal="center" vertical="center"/>
    </xf>
    <xf numFmtId="183" fontId="36" fillId="0" borderId="38" xfId="269" applyNumberFormat="1" applyFont="1" applyFill="1" applyBorder="1" applyAlignment="1">
      <alignment horizontal="center" vertical="center"/>
    </xf>
    <xf numFmtId="0" fontId="34" fillId="23" borderId="38" xfId="270" applyFont="1" applyFill="1" applyBorder="1" applyAlignment="1">
      <alignment horizontal="center" vertical="center" wrapText="1"/>
    </xf>
    <xf numFmtId="182" fontId="35" fillId="25" borderId="38" xfId="269" applyNumberFormat="1" applyFont="1" applyFill="1" applyBorder="1" applyAlignment="1">
      <alignment horizontal="center" vertical="center" wrapText="1"/>
    </xf>
    <xf numFmtId="0" fontId="36" fillId="0" borderId="38" xfId="0" applyFont="1" applyBorder="1" applyAlignment="1">
      <alignment horizontal="center"/>
    </xf>
    <xf numFmtId="0" fontId="37" fillId="24" borderId="38" xfId="0" applyFont="1" applyFill="1" applyBorder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38" fillId="26" borderId="0" xfId="0" applyFont="1" applyFill="1"/>
    <xf numFmtId="0" fontId="33" fillId="26" borderId="0" xfId="0" applyFont="1" applyFill="1"/>
    <xf numFmtId="10" fontId="4" fillId="3" borderId="40" xfId="2" applyNumberFormat="1" applyFont="1" applyFill="1" applyBorder="1" applyAlignment="1"/>
    <xf numFmtId="10" fontId="4" fillId="3" borderId="60" xfId="2" applyNumberFormat="1" applyFont="1" applyFill="1" applyBorder="1" applyAlignment="1"/>
    <xf numFmtId="178" fontId="3" fillId="3" borderId="0" xfId="1" applyNumberFormat="1" applyFont="1" applyFill="1"/>
    <xf numFmtId="0" fontId="36" fillId="0" borderId="38" xfId="0" applyFont="1" applyBorder="1" applyAlignment="1">
      <alignment horizontal="left" vertical="center"/>
    </xf>
    <xf numFmtId="184" fontId="0" fillId="0" borderId="0" xfId="0" applyNumberFormat="1" applyAlignment="1">
      <alignment horizontal="right" vertical="center"/>
    </xf>
    <xf numFmtId="165" fontId="30" fillId="0" borderId="0" xfId="1" applyNumberFormat="1" applyFont="1" applyFill="1" applyBorder="1"/>
    <xf numFmtId="0" fontId="40" fillId="0" borderId="0" xfId="32" applyFont="1" applyAlignment="1">
      <alignment vertical="center"/>
    </xf>
    <xf numFmtId="0" fontId="39" fillId="0" borderId="0" xfId="32" applyFont="1" applyAlignment="1">
      <alignment vertical="center"/>
    </xf>
    <xf numFmtId="43" fontId="40" fillId="4" borderId="42" xfId="1" applyFont="1" applyFill="1" applyBorder="1" applyAlignment="1">
      <alignment horizontal="center" vertical="center"/>
    </xf>
    <xf numFmtId="43" fontId="40" fillId="0" borderId="42" xfId="1" applyFont="1" applyFill="1" applyBorder="1" applyAlignment="1">
      <alignment horizontal="center" vertical="center"/>
    </xf>
    <xf numFmtId="43" fontId="40" fillId="0" borderId="38" xfId="1" applyFont="1" applyFill="1" applyBorder="1" applyAlignment="1">
      <alignment horizontal="center" vertical="center"/>
    </xf>
    <xf numFmtId="0" fontId="40" fillId="4" borderId="0" xfId="32" applyFont="1" applyFill="1" applyAlignment="1">
      <alignment vertical="center"/>
    </xf>
    <xf numFmtId="0" fontId="40" fillId="4" borderId="0" xfId="32" applyFont="1" applyFill="1" applyAlignment="1">
      <alignment horizontal="center" vertical="center"/>
    </xf>
    <xf numFmtId="43" fontId="40" fillId="4" borderId="0" xfId="1" applyFont="1" applyFill="1" applyAlignment="1">
      <alignment horizontal="center" vertical="center"/>
    </xf>
    <xf numFmtId="0" fontId="40" fillId="0" borderId="0" xfId="32" applyFont="1"/>
    <xf numFmtId="0" fontId="40" fillId="4" borderId="0" xfId="32" applyFont="1" applyFill="1" applyAlignment="1">
      <alignment horizontal="center"/>
    </xf>
    <xf numFmtId="164" fontId="10" fillId="2" borderId="21" xfId="1" applyNumberFormat="1" applyFont="1" applyFill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65" fontId="41" fillId="4" borderId="10" xfId="1" applyNumberFormat="1" applyFont="1" applyFill="1" applyBorder="1"/>
    <xf numFmtId="165" fontId="41" fillId="0" borderId="10" xfId="1" applyNumberFormat="1" applyFont="1" applyFill="1" applyBorder="1"/>
    <xf numFmtId="0" fontId="10" fillId="5" borderId="0" xfId="0" applyFont="1" applyFill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43" fontId="10" fillId="2" borderId="21" xfId="1" applyFont="1" applyFill="1" applyBorder="1" applyAlignment="1">
      <alignment horizontal="center" vertical="center" wrapText="1"/>
    </xf>
    <xf numFmtId="43" fontId="9" fillId="3" borderId="10" xfId="192" applyFont="1" applyFill="1" applyBorder="1"/>
    <xf numFmtId="0" fontId="9" fillId="0" borderId="0" xfId="0" applyFont="1" applyAlignment="1">
      <alignment vertical="center"/>
    </xf>
    <xf numFmtId="165" fontId="10" fillId="3" borderId="4" xfId="1" applyNumberFormat="1" applyFont="1" applyFill="1" applyBorder="1" applyAlignment="1">
      <alignment vertical="center"/>
    </xf>
    <xf numFmtId="0" fontId="9" fillId="4" borderId="0" xfId="0" applyFont="1" applyFill="1" applyAlignment="1">
      <alignment horizontal="center" vertical="center"/>
    </xf>
    <xf numFmtId="172" fontId="10" fillId="4" borderId="0" xfId="2" applyNumberFormat="1" applyFont="1" applyFill="1" applyAlignment="1">
      <alignment vertical="center"/>
    </xf>
    <xf numFmtId="10" fontId="42" fillId="4" borderId="0" xfId="0" applyNumberFormat="1" applyFont="1" applyFill="1" applyAlignment="1">
      <alignment vertical="center"/>
    </xf>
    <xf numFmtId="10" fontId="10" fillId="3" borderId="4" xfId="2" applyNumberFormat="1" applyFont="1" applyFill="1" applyBorder="1" applyAlignment="1"/>
    <xf numFmtId="9" fontId="27" fillId="4" borderId="0" xfId="0" applyNumberFormat="1" applyFont="1" applyFill="1" applyAlignment="1">
      <alignment vertical="center"/>
    </xf>
    <xf numFmtId="0" fontId="0" fillId="0" borderId="38" xfId="0" applyBorder="1" applyAlignment="1">
      <alignment horizontal="left" vertical="center"/>
    </xf>
    <xf numFmtId="0" fontId="9" fillId="3" borderId="0" xfId="0" applyFont="1" applyFill="1" applyAlignment="1">
      <alignment horizontal="center" vertical="center" wrapText="1"/>
    </xf>
    <xf numFmtId="0" fontId="9" fillId="0" borderId="3" xfId="0" applyFont="1" applyBorder="1"/>
    <xf numFmtId="164" fontId="9" fillId="0" borderId="3" xfId="1" applyNumberFormat="1" applyFont="1" applyFill="1" applyBorder="1"/>
    <xf numFmtId="165" fontId="41" fillId="0" borderId="10" xfId="1" applyNumberFormat="1" applyFont="1" applyFill="1" applyBorder="1" applyAlignment="1">
      <alignment vertical="center"/>
    </xf>
    <xf numFmtId="165" fontId="41" fillId="4" borderId="10" xfId="1" applyNumberFormat="1" applyFont="1" applyFill="1" applyBorder="1" applyAlignment="1">
      <alignment vertical="center"/>
    </xf>
    <xf numFmtId="43" fontId="9" fillId="3" borderId="5" xfId="1" applyFont="1" applyFill="1" applyBorder="1" applyAlignment="1">
      <alignment vertical="center"/>
    </xf>
    <xf numFmtId="0" fontId="9" fillId="3" borderId="5" xfId="0" applyFont="1" applyFill="1" applyBorder="1"/>
    <xf numFmtId="164" fontId="9" fillId="3" borderId="5" xfId="1" applyNumberFormat="1" applyFont="1" applyFill="1" applyBorder="1"/>
    <xf numFmtId="164" fontId="10" fillId="2" borderId="2" xfId="1" applyNumberFormat="1" applyFont="1" applyFill="1" applyBorder="1"/>
    <xf numFmtId="43" fontId="10" fillId="2" borderId="2" xfId="0" applyNumberFormat="1" applyFont="1" applyFill="1" applyBorder="1"/>
    <xf numFmtId="43" fontId="9" fillId="2" borderId="2" xfId="1" applyFont="1" applyFill="1" applyBorder="1"/>
    <xf numFmtId="165" fontId="10" fillId="2" borderId="2" xfId="0" applyNumberFormat="1" applyFont="1" applyFill="1" applyBorder="1"/>
    <xf numFmtId="0" fontId="10" fillId="3" borderId="0" xfId="0" applyFont="1" applyFill="1" applyAlignment="1">
      <alignment horizontal="left"/>
    </xf>
    <xf numFmtId="43" fontId="10" fillId="3" borderId="0" xfId="1" applyFont="1" applyFill="1"/>
    <xf numFmtId="43" fontId="10" fillId="3" borderId="0" xfId="0" applyNumberFormat="1" applyFont="1" applyFill="1"/>
    <xf numFmtId="165" fontId="10" fillId="3" borderId="0" xfId="0" applyNumberFormat="1" applyFont="1" applyFill="1"/>
    <xf numFmtId="0" fontId="10" fillId="5" borderId="0" xfId="0" applyFont="1" applyFill="1"/>
    <xf numFmtId="0" fontId="10" fillId="2" borderId="6" xfId="0" applyFont="1" applyFill="1" applyBorder="1"/>
    <xf numFmtId="0" fontId="9" fillId="3" borderId="6" xfId="0" applyFont="1" applyFill="1" applyBorder="1" applyAlignment="1">
      <alignment horizontal="center"/>
    </xf>
    <xf numFmtId="2" fontId="9" fillId="3" borderId="6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43" fontId="10" fillId="2" borderId="2" xfId="1" applyFont="1" applyFill="1" applyBorder="1" applyAlignment="1">
      <alignment horizontal="center"/>
    </xf>
    <xf numFmtId="164" fontId="9" fillId="3" borderId="3" xfId="1" applyNumberFormat="1" applyFont="1" applyFill="1" applyBorder="1"/>
    <xf numFmtId="43" fontId="10" fillId="7" borderId="2" xfId="1" applyFont="1" applyFill="1" applyBorder="1" applyAlignment="1">
      <alignment horizontal="center"/>
    </xf>
    <xf numFmtId="43" fontId="10" fillId="0" borderId="2" xfId="1" applyFont="1" applyFill="1" applyBorder="1" applyAlignment="1">
      <alignment horizontal="center"/>
    </xf>
    <xf numFmtId="165" fontId="9" fillId="3" borderId="0" xfId="0" applyNumberFormat="1" applyFont="1" applyFill="1"/>
    <xf numFmtId="165" fontId="10" fillId="3" borderId="4" xfId="1" applyNumberFormat="1" applyFont="1" applyFill="1" applyBorder="1" applyAlignment="1"/>
    <xf numFmtId="165" fontId="12" fillId="3" borderId="0" xfId="1" applyNumberFormat="1" applyFont="1" applyFill="1" applyAlignment="1">
      <alignment horizontal="center" vertical="center"/>
    </xf>
    <xf numFmtId="0" fontId="12" fillId="3" borderId="0" xfId="0" applyFont="1" applyFill="1"/>
    <xf numFmtId="165" fontId="12" fillId="3" borderId="0" xfId="0" applyNumberFormat="1" applyFont="1" applyFill="1"/>
    <xf numFmtId="10" fontId="12" fillId="5" borderId="0" xfId="2" applyNumberFormat="1" applyFont="1" applyFill="1"/>
    <xf numFmtId="9" fontId="27" fillId="3" borderId="0" xfId="0" applyNumberFormat="1" applyFont="1" applyFill="1"/>
    <xf numFmtId="43" fontId="10" fillId="2" borderId="2" xfId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/>
    </xf>
    <xf numFmtId="165" fontId="10" fillId="2" borderId="2" xfId="0" applyNumberFormat="1" applyFont="1" applyFill="1" applyBorder="1" applyAlignment="1">
      <alignment vertical="center"/>
    </xf>
    <xf numFmtId="0" fontId="10" fillId="3" borderId="0" xfId="0" applyFont="1" applyFill="1" applyAlignment="1">
      <alignment horizontal="left" vertical="center"/>
    </xf>
    <xf numFmtId="164" fontId="10" fillId="3" borderId="0" xfId="0" applyNumberFormat="1" applyFont="1" applyFill="1" applyAlignment="1">
      <alignment vertical="center"/>
    </xf>
    <xf numFmtId="43" fontId="10" fillId="3" borderId="0" xfId="0" applyNumberFormat="1" applyFont="1" applyFill="1" applyAlignment="1">
      <alignment vertical="center"/>
    </xf>
    <xf numFmtId="165" fontId="10" fillId="3" borderId="0" xfId="0" applyNumberFormat="1" applyFont="1" applyFill="1" applyAlignment="1">
      <alignment vertical="center"/>
    </xf>
    <xf numFmtId="165" fontId="9" fillId="3" borderId="0" xfId="1" applyNumberFormat="1" applyFont="1" applyFill="1" applyAlignment="1">
      <alignment horizontal="center" vertical="center"/>
    </xf>
    <xf numFmtId="10" fontId="43" fillId="3" borderId="0" xfId="0" applyNumberFormat="1" applyFont="1" applyFill="1" applyAlignment="1">
      <alignment vertical="center"/>
    </xf>
    <xf numFmtId="9" fontId="27" fillId="3" borderId="0" xfId="0" applyNumberFormat="1" applyFont="1" applyFill="1" applyAlignment="1">
      <alignment vertical="center"/>
    </xf>
    <xf numFmtId="0" fontId="9" fillId="27" borderId="0" xfId="0" applyFont="1" applyFill="1" applyAlignment="1">
      <alignment vertical="center"/>
    </xf>
    <xf numFmtId="0" fontId="12" fillId="0" borderId="4" xfId="0" applyFont="1" applyBorder="1"/>
    <xf numFmtId="43" fontId="9" fillId="0" borderId="7" xfId="0" applyNumberFormat="1" applyFont="1" applyBorder="1"/>
    <xf numFmtId="0" fontId="10" fillId="5" borderId="9" xfId="0" applyFont="1" applyFill="1" applyBorder="1" applyAlignment="1">
      <alignment horizontal="left"/>
    </xf>
    <xf numFmtId="0" fontId="10" fillId="5" borderId="0" xfId="0" applyFont="1" applyFill="1" applyAlignment="1">
      <alignment horizontal="left"/>
    </xf>
    <xf numFmtId="164" fontId="10" fillId="5" borderId="0" xfId="1" applyNumberFormat="1" applyFont="1" applyFill="1" applyBorder="1"/>
    <xf numFmtId="43" fontId="10" fillId="5" borderId="0" xfId="1" applyFont="1" applyFill="1" applyBorder="1"/>
    <xf numFmtId="43" fontId="10" fillId="5" borderId="0" xfId="0" applyNumberFormat="1" applyFont="1" applyFill="1"/>
    <xf numFmtId="43" fontId="9" fillId="5" borderId="0" xfId="1" applyFont="1" applyFill="1" applyBorder="1"/>
    <xf numFmtId="43" fontId="10" fillId="4" borderId="0" xfId="1" applyFont="1" applyFill="1" applyBorder="1"/>
    <xf numFmtId="165" fontId="9" fillId="3" borderId="3" xfId="1" applyNumberFormat="1" applyFont="1" applyFill="1" applyBorder="1"/>
    <xf numFmtId="165" fontId="9" fillId="3" borderId="0" xfId="0" applyNumberFormat="1" applyFont="1" applyFill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43" fontId="3" fillId="3" borderId="38" xfId="1" applyFont="1" applyFill="1" applyBorder="1" applyAlignment="1">
      <alignment horizontal="center" vertical="center"/>
    </xf>
    <xf numFmtId="174" fontId="2" fillId="3" borderId="0" xfId="0" applyNumberFormat="1" applyFont="1" applyFill="1" applyAlignment="1">
      <alignment vertical="center"/>
    </xf>
    <xf numFmtId="174" fontId="9" fillId="3" borderId="0" xfId="0" applyNumberFormat="1" applyFont="1" applyFill="1" applyAlignment="1">
      <alignment vertical="center"/>
    </xf>
    <xf numFmtId="174" fontId="3" fillId="3" borderId="0" xfId="0" applyNumberFormat="1" applyFont="1" applyFill="1" applyAlignment="1">
      <alignment vertical="center"/>
    </xf>
    <xf numFmtId="174" fontId="3" fillId="3" borderId="0" xfId="0" applyNumberFormat="1" applyFont="1" applyFill="1" applyAlignment="1">
      <alignment horizontal="center"/>
    </xf>
    <xf numFmtId="174" fontId="3" fillId="0" borderId="0" xfId="0" applyNumberFormat="1" applyFont="1"/>
    <xf numFmtId="174" fontId="7" fillId="5" borderId="0" xfId="0" applyNumberFormat="1" applyFont="1" applyFill="1" applyAlignment="1">
      <alignment horizontal="center" vertical="center"/>
    </xf>
    <xf numFmtId="174" fontId="7" fillId="5" borderId="0" xfId="0" applyNumberFormat="1" applyFont="1" applyFill="1"/>
    <xf numFmtId="174" fontId="16" fillId="5" borderId="0" xfId="2" applyNumberFormat="1" applyFont="1" applyFill="1"/>
    <xf numFmtId="174" fontId="15" fillId="5" borderId="0" xfId="0" applyNumberFormat="1" applyFont="1" applyFill="1"/>
    <xf numFmtId="174" fontId="5" fillId="5" borderId="0" xfId="0" applyNumberFormat="1" applyFont="1" applyFill="1"/>
    <xf numFmtId="43" fontId="9" fillId="3" borderId="5" xfId="1" applyFont="1" applyFill="1" applyBorder="1"/>
    <xf numFmtId="43" fontId="9" fillId="3" borderId="5" xfId="0" applyNumberFormat="1" applyFont="1" applyFill="1" applyBorder="1"/>
    <xf numFmtId="43" fontId="9" fillId="0" borderId="0" xfId="1" applyFont="1" applyFill="1"/>
    <xf numFmtId="164" fontId="10" fillId="3" borderId="0" xfId="1" applyNumberFormat="1" applyFont="1" applyFill="1"/>
    <xf numFmtId="164" fontId="10" fillId="3" borderId="0" xfId="0" applyNumberFormat="1" applyFont="1" applyFill="1"/>
    <xf numFmtId="0" fontId="10" fillId="2" borderId="21" xfId="0" applyFont="1" applyFill="1" applyBorder="1" applyAlignment="1">
      <alignment horizontal="center" vertical="center"/>
    </xf>
    <xf numFmtId="0" fontId="9" fillId="0" borderId="0" xfId="0" applyFont="1"/>
    <xf numFmtId="0" fontId="9" fillId="3" borderId="0" xfId="0" applyFont="1" applyFill="1" applyAlignment="1">
      <alignment horizontal="center"/>
    </xf>
    <xf numFmtId="165" fontId="10" fillId="3" borderId="35" xfId="1" applyNumberFormat="1" applyFont="1" applyFill="1" applyBorder="1" applyAlignment="1"/>
    <xf numFmtId="165" fontId="10" fillId="3" borderId="7" xfId="1" applyNumberFormat="1" applyFont="1" applyFill="1" applyBorder="1" applyAlignment="1"/>
    <xf numFmtId="10" fontId="43" fillId="3" borderId="0" xfId="2" applyNumberFormat="1" applyFont="1" applyFill="1"/>
    <xf numFmtId="43" fontId="40" fillId="27" borderId="41" xfId="1" applyFont="1" applyFill="1" applyBorder="1" applyAlignment="1">
      <alignment horizontal="center" vertical="center"/>
    </xf>
    <xf numFmtId="43" fontId="10" fillId="27" borderId="0" xfId="0" applyNumberFormat="1" applyFont="1" applyFill="1"/>
    <xf numFmtId="43" fontId="9" fillId="0" borderId="7" xfId="1" applyFont="1" applyFill="1" applyBorder="1"/>
    <xf numFmtId="165" fontId="9" fillId="3" borderId="4" xfId="1" applyNumberFormat="1" applyFont="1" applyFill="1" applyBorder="1" applyAlignment="1"/>
    <xf numFmtId="9" fontId="27" fillId="3" borderId="0" xfId="1" applyNumberFormat="1" applyFont="1" applyFill="1"/>
    <xf numFmtId="164" fontId="10" fillId="2" borderId="2" xfId="1" applyNumberFormat="1" applyFont="1" applyFill="1" applyBorder="1" applyAlignment="1">
      <alignment horizontal="center"/>
    </xf>
    <xf numFmtId="164" fontId="9" fillId="3" borderId="0" xfId="1" applyNumberFormat="1" applyFont="1" applyFill="1" applyAlignment="1"/>
    <xf numFmtId="172" fontId="43" fillId="3" borderId="0" xfId="2" applyNumberFormat="1" applyFont="1" applyFill="1"/>
    <xf numFmtId="174" fontId="9" fillId="3" borderId="0" xfId="1" applyNumberFormat="1" applyFont="1" applyFill="1" applyAlignment="1">
      <alignment horizontal="center"/>
    </xf>
    <xf numFmtId="174" fontId="9" fillId="3" borderId="0" xfId="1" applyNumberFormat="1" applyFont="1" applyFill="1" applyBorder="1" applyAlignment="1">
      <alignment horizontal="center" vertical="center" wrapText="1"/>
    </xf>
    <xf numFmtId="174" fontId="9" fillId="3" borderId="0" xfId="1" applyNumberFormat="1" applyFont="1" applyFill="1" applyBorder="1" applyAlignment="1">
      <alignment horizontal="center"/>
    </xf>
    <xf numFmtId="43" fontId="10" fillId="3" borderId="0" xfId="1" applyFont="1" applyFill="1" applyBorder="1"/>
    <xf numFmtId="165" fontId="10" fillId="8" borderId="4" xfId="1" applyNumberFormat="1" applyFont="1" applyFill="1" applyBorder="1" applyAlignment="1">
      <alignment horizontal="center" vertical="center" wrapText="1"/>
    </xf>
    <xf numFmtId="43" fontId="10" fillId="8" borderId="4" xfId="1" applyFont="1" applyFill="1" applyBorder="1" applyAlignment="1">
      <alignment horizontal="center" vertical="center" wrapText="1"/>
    </xf>
    <xf numFmtId="43" fontId="9" fillId="14" borderId="4" xfId="1" applyFont="1" applyFill="1" applyBorder="1"/>
    <xf numFmtId="43" fontId="9" fillId="19" borderId="4" xfId="1" applyFont="1" applyFill="1" applyBorder="1"/>
    <xf numFmtId="165" fontId="9" fillId="0" borderId="4" xfId="1" applyNumberFormat="1" applyFont="1" applyFill="1" applyBorder="1"/>
    <xf numFmtId="43" fontId="10" fillId="8" borderId="2" xfId="1" applyFont="1" applyFill="1" applyBorder="1"/>
    <xf numFmtId="43" fontId="10" fillId="8" borderId="2" xfId="0" applyNumberFormat="1" applyFont="1" applyFill="1" applyBorder="1"/>
    <xf numFmtId="0" fontId="10" fillId="3" borderId="0" xfId="0" applyFont="1" applyFill="1"/>
    <xf numFmtId="165" fontId="9" fillId="3" borderId="0" xfId="1" applyNumberFormat="1" applyFont="1" applyFill="1"/>
    <xf numFmtId="0" fontId="10" fillId="3" borderId="0" xfId="0" applyFont="1" applyFill="1" applyAlignment="1">
      <alignment horizontal="center"/>
    </xf>
    <xf numFmtId="43" fontId="10" fillId="3" borderId="0" xfId="1" applyFont="1" applyFill="1" applyBorder="1" applyAlignment="1">
      <alignment horizontal="center"/>
    </xf>
    <xf numFmtId="165" fontId="12" fillId="3" borderId="0" xfId="1" applyNumberFormat="1" applyFont="1" applyFill="1" applyBorder="1" applyAlignment="1">
      <alignment horizontal="center" vertical="center"/>
    </xf>
    <xf numFmtId="10" fontId="42" fillId="3" borderId="0" xfId="2" applyNumberFormat="1" applyFont="1" applyFill="1" applyBorder="1" applyAlignment="1">
      <alignment horizontal="center"/>
    </xf>
    <xf numFmtId="9" fontId="44" fillId="3" borderId="0" xfId="1" applyNumberFormat="1" applyFont="1" applyFill="1" applyBorder="1"/>
    <xf numFmtId="43" fontId="9" fillId="0" borderId="7" xfId="1" applyFont="1" applyBorder="1"/>
    <xf numFmtId="165" fontId="10" fillId="3" borderId="8" xfId="1" applyNumberFormat="1" applyFont="1" applyFill="1" applyBorder="1" applyAlignment="1"/>
    <xf numFmtId="9" fontId="9" fillId="3" borderId="0" xfId="2" applyFont="1" applyFill="1"/>
    <xf numFmtId="43" fontId="9" fillId="13" borderId="3" xfId="1" applyFont="1" applyFill="1" applyBorder="1" applyAlignment="1">
      <alignment vertical="center"/>
    </xf>
    <xf numFmtId="43" fontId="9" fillId="14" borderId="3" xfId="1" applyFont="1" applyFill="1" applyBorder="1" applyAlignment="1">
      <alignment vertical="center"/>
    </xf>
    <xf numFmtId="43" fontId="9" fillId="0" borderId="4" xfId="1" applyFont="1" applyBorder="1" applyAlignment="1">
      <alignment vertical="center"/>
    </xf>
    <xf numFmtId="164" fontId="9" fillId="3" borderId="5" xfId="1" applyNumberFormat="1" applyFont="1" applyFill="1" applyBorder="1" applyAlignment="1">
      <alignment vertical="center"/>
    </xf>
    <xf numFmtId="164" fontId="9" fillId="3" borderId="0" xfId="1" applyNumberFormat="1" applyFont="1" applyFill="1" applyBorder="1" applyAlignment="1">
      <alignment vertical="center"/>
    </xf>
    <xf numFmtId="164" fontId="9" fillId="0" borderId="0" xfId="1" applyNumberFormat="1" applyFont="1" applyFill="1" applyBorder="1" applyAlignment="1">
      <alignment vertical="center"/>
    </xf>
    <xf numFmtId="43" fontId="9" fillId="3" borderId="0" xfId="1" applyFont="1" applyFill="1" applyBorder="1" applyAlignment="1">
      <alignment vertical="center"/>
    </xf>
    <xf numFmtId="165" fontId="9" fillId="3" borderId="0" xfId="1" applyNumberFormat="1" applyFont="1" applyFill="1" applyBorder="1" applyAlignment="1">
      <alignment vertical="center"/>
    </xf>
    <xf numFmtId="164" fontId="10" fillId="2" borderId="2" xfId="1" applyNumberFormat="1" applyFont="1" applyFill="1" applyBorder="1" applyAlignment="1">
      <alignment vertical="center"/>
    </xf>
    <xf numFmtId="43" fontId="10" fillId="2" borderId="2" xfId="1" applyFont="1" applyFill="1" applyBorder="1" applyAlignment="1">
      <alignment vertical="center"/>
    </xf>
    <xf numFmtId="43" fontId="10" fillId="6" borderId="2" xfId="1" applyFont="1" applyFill="1" applyBorder="1" applyAlignment="1">
      <alignment vertical="center"/>
    </xf>
    <xf numFmtId="43" fontId="9" fillId="2" borderId="2" xfId="1" applyFont="1" applyFill="1" applyBorder="1" applyAlignment="1">
      <alignment vertical="center"/>
    </xf>
    <xf numFmtId="43" fontId="10" fillId="3" borderId="0" xfId="1" applyFont="1" applyFill="1" applyAlignment="1">
      <alignment vertical="center"/>
    </xf>
    <xf numFmtId="43" fontId="9" fillId="0" borderId="0" xfId="1" applyFont="1" applyFill="1" applyAlignment="1">
      <alignment vertical="center"/>
    </xf>
    <xf numFmtId="43" fontId="10" fillId="5" borderId="0" xfId="1" applyFont="1" applyFill="1" applyBorder="1" applyAlignment="1">
      <alignment vertical="center"/>
    </xf>
    <xf numFmtId="172" fontId="43" fillId="3" borderId="0" xfId="2" applyNumberFormat="1" applyFont="1" applyFill="1" applyAlignment="1">
      <alignment vertical="center"/>
    </xf>
    <xf numFmtId="9" fontId="9" fillId="3" borderId="0" xfId="2" applyFont="1" applyFill="1" applyAlignment="1">
      <alignment vertical="center"/>
    </xf>
    <xf numFmtId="9" fontId="27" fillId="3" borderId="0" xfId="1" applyNumberFormat="1" applyFont="1" applyFill="1" applyAlignment="1">
      <alignment vertical="center"/>
    </xf>
    <xf numFmtId="43" fontId="12" fillId="27" borderId="4" xfId="12" applyFont="1" applyFill="1" applyBorder="1" applyAlignment="1">
      <alignment horizontal="left" vertical="center"/>
    </xf>
    <xf numFmtId="43" fontId="10" fillId="7" borderId="4" xfId="1" applyFont="1" applyFill="1" applyBorder="1" applyAlignment="1">
      <alignment horizontal="center" vertical="center"/>
    </xf>
    <xf numFmtId="43" fontId="9" fillId="3" borderId="4" xfId="0" applyNumberFormat="1" applyFont="1" applyFill="1" applyBorder="1"/>
    <xf numFmtId="165" fontId="41" fillId="0" borderId="0" xfId="1" applyNumberFormat="1" applyFont="1" applyFill="1" applyBorder="1"/>
    <xf numFmtId="2" fontId="9" fillId="3" borderId="4" xfId="0" applyNumberFormat="1" applyFont="1" applyFill="1" applyBorder="1"/>
    <xf numFmtId="164" fontId="10" fillId="2" borderId="4" xfId="1" applyNumberFormat="1" applyFont="1" applyFill="1" applyBorder="1"/>
    <xf numFmtId="43" fontId="10" fillId="2" borderId="4" xfId="1" applyFont="1" applyFill="1" applyBorder="1"/>
    <xf numFmtId="165" fontId="10" fillId="7" borderId="4" xfId="1" applyNumberFormat="1" applyFont="1" applyFill="1" applyBorder="1"/>
    <xf numFmtId="43" fontId="10" fillId="0" borderId="4" xfId="1" applyFont="1" applyFill="1" applyBorder="1"/>
    <xf numFmtId="165" fontId="10" fillId="5" borderId="0" xfId="1" applyNumberFormat="1" applyFont="1" applyFill="1" applyBorder="1" applyAlignment="1"/>
    <xf numFmtId="43" fontId="10" fillId="5" borderId="0" xfId="1" applyFont="1" applyFill="1" applyBorder="1" applyAlignment="1"/>
    <xf numFmtId="0" fontId="10" fillId="2" borderId="13" xfId="0" applyFont="1" applyFill="1" applyBorder="1"/>
    <xf numFmtId="0" fontId="9" fillId="3" borderId="13" xfId="0" applyFont="1" applyFill="1" applyBorder="1" applyAlignment="1">
      <alignment horizontal="center"/>
    </xf>
    <xf numFmtId="172" fontId="10" fillId="5" borderId="0" xfId="2" applyNumberFormat="1" applyFont="1" applyFill="1"/>
    <xf numFmtId="165" fontId="11" fillId="3" borderId="4" xfId="1" applyNumberFormat="1" applyFont="1" applyFill="1" applyBorder="1" applyAlignment="1"/>
    <xf numFmtId="10" fontId="11" fillId="3" borderId="4" xfId="2" applyNumberFormat="1" applyFont="1" applyFill="1" applyBorder="1" applyAlignment="1"/>
    <xf numFmtId="10" fontId="42" fillId="5" borderId="0" xfId="0" applyNumberFormat="1" applyFont="1" applyFill="1"/>
    <xf numFmtId="9" fontId="12" fillId="5" borderId="0" xfId="0" applyNumberFormat="1" applyFont="1" applyFill="1"/>
    <xf numFmtId="165" fontId="12" fillId="3" borderId="0" xfId="1" applyNumberFormat="1" applyFont="1" applyFill="1"/>
    <xf numFmtId="43" fontId="12" fillId="3" borderId="0" xfId="1" applyFont="1" applyFill="1"/>
    <xf numFmtId="0" fontId="3" fillId="27" borderId="0" xfId="0" applyFont="1" applyFill="1"/>
    <xf numFmtId="0" fontId="3" fillId="13" borderId="6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 vertical="center"/>
    </xf>
    <xf numFmtId="0" fontId="3" fillId="13" borderId="3" xfId="0" applyFont="1" applyFill="1" applyBorder="1"/>
    <xf numFmtId="183" fontId="36" fillId="13" borderId="38" xfId="269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9" fontId="44" fillId="3" borderId="0" xfId="0" applyNumberFormat="1" applyFont="1" applyFill="1" applyAlignment="1">
      <alignment vertical="center"/>
    </xf>
    <xf numFmtId="9" fontId="9" fillId="3" borderId="0" xfId="2" applyFont="1" applyFill="1" applyBorder="1" applyAlignment="1">
      <alignment vertical="center"/>
    </xf>
    <xf numFmtId="165" fontId="9" fillId="3" borderId="8" xfId="0" applyNumberFormat="1" applyFont="1" applyFill="1" applyBorder="1" applyAlignment="1">
      <alignment vertical="center"/>
    </xf>
    <xf numFmtId="165" fontId="9" fillId="3" borderId="5" xfId="1" applyNumberFormat="1" applyFont="1" applyFill="1" applyBorder="1"/>
    <xf numFmtId="43" fontId="9" fillId="3" borderId="12" xfId="1" applyFont="1" applyFill="1" applyBorder="1"/>
    <xf numFmtId="0" fontId="9" fillId="3" borderId="12" xfId="0" applyFont="1" applyFill="1" applyBorder="1"/>
    <xf numFmtId="43" fontId="10" fillId="2" borderId="4" xfId="0" applyNumberFormat="1" applyFont="1" applyFill="1" applyBorder="1" applyAlignment="1">
      <alignment vertical="center"/>
    </xf>
    <xf numFmtId="43" fontId="12" fillId="3" borderId="3" xfId="1" applyFont="1" applyFill="1" applyBorder="1" applyAlignment="1">
      <alignment vertical="center"/>
    </xf>
    <xf numFmtId="43" fontId="12" fillId="3" borderId="4" xfId="1" applyFont="1" applyFill="1" applyBorder="1" applyAlignment="1">
      <alignment horizontal="center" vertical="center"/>
    </xf>
    <xf numFmtId="176" fontId="9" fillId="3" borderId="0" xfId="1" applyNumberFormat="1" applyFont="1" applyFill="1" applyBorder="1" applyAlignment="1">
      <alignment vertical="center" wrapText="1"/>
    </xf>
    <xf numFmtId="165" fontId="9" fillId="3" borderId="0" xfId="0" applyNumberFormat="1" applyFont="1" applyFill="1" applyAlignment="1">
      <alignment vertical="center"/>
    </xf>
    <xf numFmtId="43" fontId="3" fillId="3" borderId="7" xfId="0" applyNumberFormat="1" applyFont="1" applyFill="1" applyBorder="1" applyAlignment="1">
      <alignment vertical="center"/>
    </xf>
    <xf numFmtId="43" fontId="3" fillId="3" borderId="19" xfId="0" applyNumberFormat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36" fillId="0" borderId="42" xfId="0" applyFont="1" applyBorder="1" applyAlignment="1">
      <alignment horizontal="left" vertical="center"/>
    </xf>
    <xf numFmtId="183" fontId="36" fillId="0" borderId="42" xfId="269" applyNumberFormat="1" applyFont="1" applyFill="1" applyBorder="1" applyAlignment="1">
      <alignment horizontal="center" vertical="center"/>
    </xf>
    <xf numFmtId="0" fontId="3" fillId="11" borderId="0" xfId="0" applyFont="1" applyFill="1" applyAlignment="1">
      <alignment vertical="center"/>
    </xf>
    <xf numFmtId="164" fontId="3" fillId="10" borderId="0" xfId="1" applyNumberFormat="1" applyFont="1" applyFill="1" applyAlignment="1">
      <alignment vertical="center"/>
    </xf>
    <xf numFmtId="0" fontId="2" fillId="2" borderId="0" xfId="0" applyFont="1" applyFill="1" applyAlignment="1">
      <alignment horizontal="center"/>
    </xf>
    <xf numFmtId="43" fontId="10" fillId="2" borderId="0" xfId="0" applyNumberFormat="1" applyFont="1" applyFill="1" applyAlignment="1">
      <alignment vertical="center"/>
    </xf>
    <xf numFmtId="43" fontId="10" fillId="2" borderId="0" xfId="1" applyFont="1" applyFill="1" applyBorder="1" applyAlignment="1">
      <alignment horizontal="center"/>
    </xf>
    <xf numFmtId="165" fontId="9" fillId="3" borderId="0" xfId="1" applyNumberFormat="1" applyFont="1" applyFill="1" applyBorder="1"/>
    <xf numFmtId="165" fontId="10" fillId="2" borderId="0" xfId="0" applyNumberFormat="1" applyFont="1" applyFill="1" applyAlignment="1">
      <alignment vertical="center"/>
    </xf>
    <xf numFmtId="43" fontId="45" fillId="2" borderId="2" xfId="1" applyFont="1" applyFill="1" applyBorder="1" applyAlignment="1">
      <alignment horizontal="right"/>
    </xf>
    <xf numFmtId="43" fontId="45" fillId="2" borderId="2" xfId="1" applyFont="1" applyFill="1" applyBorder="1" applyAlignment="1">
      <alignment horizontal="center"/>
    </xf>
    <xf numFmtId="0" fontId="45" fillId="2" borderId="2" xfId="0" applyFont="1" applyFill="1" applyBorder="1" applyAlignment="1">
      <alignment horizontal="center" wrapText="1"/>
    </xf>
    <xf numFmtId="43" fontId="40" fillId="4" borderId="38" xfId="1" applyFont="1" applyFill="1" applyBorder="1" applyAlignment="1">
      <alignment horizontal="center" vertical="center"/>
    </xf>
    <xf numFmtId="0" fontId="45" fillId="2" borderId="0" xfId="0" applyFont="1" applyFill="1" applyAlignment="1">
      <alignment horizontal="center" vertical="center" wrapText="1"/>
    </xf>
    <xf numFmtId="164" fontId="3" fillId="13" borderId="4" xfId="1" applyNumberFormat="1" applyFont="1" applyFill="1" applyBorder="1"/>
    <xf numFmtId="185" fontId="3" fillId="4" borderId="0" xfId="1" applyNumberFormat="1" applyFont="1" applyFill="1" applyAlignment="1">
      <alignment vertical="center"/>
    </xf>
    <xf numFmtId="186" fontId="3" fillId="4" borderId="0" xfId="1" applyNumberFormat="1" applyFont="1" applyFill="1" applyAlignment="1">
      <alignment vertical="center"/>
    </xf>
    <xf numFmtId="179" fontId="3" fillId="3" borderId="0" xfId="0" applyNumberFormat="1" applyFont="1" applyFill="1" applyAlignment="1">
      <alignment vertical="center"/>
    </xf>
    <xf numFmtId="187" fontId="3" fillId="3" borderId="4" xfId="1" applyNumberFormat="1" applyFont="1" applyFill="1" applyBorder="1" applyAlignment="1">
      <alignment vertical="center"/>
    </xf>
    <xf numFmtId="187" fontId="3" fillId="0" borderId="0" xfId="1" applyNumberFormat="1" applyFont="1" applyFill="1" applyAlignment="1">
      <alignment vertical="center"/>
    </xf>
    <xf numFmtId="10" fontId="9" fillId="3" borderId="4" xfId="2" applyNumberFormat="1" applyFont="1" applyFill="1" applyBorder="1" applyAlignment="1"/>
    <xf numFmtId="174" fontId="3" fillId="13" borderId="4" xfId="1" applyNumberFormat="1" applyFont="1" applyFill="1" applyBorder="1"/>
    <xf numFmtId="0" fontId="3" fillId="11" borderId="10" xfId="0" applyFont="1" applyFill="1" applyBorder="1" applyAlignment="1">
      <alignment vertical="center"/>
    </xf>
    <xf numFmtId="164" fontId="3" fillId="3" borderId="61" xfId="0" applyNumberFormat="1" applyFont="1" applyFill="1" applyBorder="1" applyAlignment="1">
      <alignment vertical="center"/>
    </xf>
    <xf numFmtId="43" fontId="3" fillId="0" borderId="7" xfId="0" applyNumberFormat="1" applyFont="1" applyBorder="1" applyAlignment="1">
      <alignment vertical="center"/>
    </xf>
    <xf numFmtId="0" fontId="46" fillId="0" borderId="38" xfId="0" applyFont="1" applyBorder="1" applyAlignment="1">
      <alignment horizontal="left" vertical="center"/>
    </xf>
    <xf numFmtId="164" fontId="12" fillId="3" borderId="3" xfId="1" applyNumberFormat="1" applyFont="1" applyFill="1" applyBorder="1" applyAlignment="1">
      <alignment horizontal="left" vertical="center"/>
    </xf>
    <xf numFmtId="178" fontId="3" fillId="3" borderId="10" xfId="1" applyNumberFormat="1" applyFont="1" applyFill="1" applyBorder="1"/>
    <xf numFmtId="164" fontId="3" fillId="11" borderId="3" xfId="1" applyNumberFormat="1" applyFont="1" applyFill="1" applyBorder="1" applyAlignment="1">
      <alignment vertical="center"/>
    </xf>
    <xf numFmtId="0" fontId="3" fillId="11" borderId="3" xfId="0" applyFont="1" applyFill="1" applyBorder="1" applyAlignment="1">
      <alignment vertical="center"/>
    </xf>
    <xf numFmtId="4" fontId="9" fillId="3" borderId="0" xfId="0" applyNumberFormat="1" applyFont="1" applyFill="1"/>
    <xf numFmtId="175" fontId="9" fillId="3" borderId="0" xfId="0" applyNumberFormat="1" applyFont="1" applyFill="1"/>
    <xf numFmtId="179" fontId="9" fillId="3" borderId="0" xfId="0" applyNumberFormat="1" applyFont="1" applyFill="1"/>
    <xf numFmtId="183" fontId="10" fillId="3" borderId="4" xfId="269" applyNumberFormat="1" applyFont="1" applyFill="1" applyBorder="1" applyAlignment="1"/>
    <xf numFmtId="183" fontId="11" fillId="3" borderId="4" xfId="269" applyNumberFormat="1" applyFont="1" applyFill="1" applyBorder="1" applyAlignment="1"/>
    <xf numFmtId="10" fontId="11" fillId="5" borderId="0" xfId="0" applyNumberFormat="1" applyFont="1" applyFill="1"/>
    <xf numFmtId="1" fontId="49" fillId="3" borderId="4" xfId="0" applyNumberFormat="1" applyFont="1" applyFill="1" applyBorder="1"/>
    <xf numFmtId="0" fontId="49" fillId="0" borderId="62" xfId="0" applyFont="1" applyBorder="1" applyAlignment="1">
      <alignment vertical="center"/>
    </xf>
    <xf numFmtId="0" fontId="41" fillId="0" borderId="38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0" fillId="13" borderId="38" xfId="0" applyFill="1" applyBorder="1" applyAlignment="1">
      <alignment horizontal="left" vertical="center"/>
    </xf>
    <xf numFmtId="181" fontId="41" fillId="0" borderId="10" xfId="1" applyNumberFormat="1" applyFont="1" applyFill="1" applyBorder="1" applyAlignment="1">
      <alignment vertical="center"/>
    </xf>
    <xf numFmtId="43" fontId="9" fillId="3" borderId="3" xfId="0" applyNumberFormat="1" applyFont="1" applyFill="1" applyBorder="1"/>
    <xf numFmtId="178" fontId="9" fillId="3" borderId="3" xfId="1" applyNumberFormat="1" applyFont="1" applyFill="1" applyBorder="1" applyAlignment="1">
      <alignment vertical="center"/>
    </xf>
    <xf numFmtId="164" fontId="9" fillId="3" borderId="0" xfId="1" applyNumberFormat="1" applyFont="1" applyFill="1" applyBorder="1" applyAlignment="1">
      <alignment horizontal="center"/>
    </xf>
    <xf numFmtId="170" fontId="3" fillId="3" borderId="0" xfId="0" applyNumberFormat="1" applyFont="1" applyFill="1"/>
    <xf numFmtId="0" fontId="3" fillId="11" borderId="3" xfId="0" applyFont="1" applyFill="1" applyBorder="1"/>
    <xf numFmtId="165" fontId="3" fillId="3" borderId="3" xfId="0" applyNumberFormat="1" applyFont="1" applyFill="1" applyBorder="1" applyAlignment="1">
      <alignment vertical="center"/>
    </xf>
    <xf numFmtId="164" fontId="9" fillId="3" borderId="0" xfId="1" applyNumberFormat="1" applyFont="1" applyFill="1" applyBorder="1"/>
    <xf numFmtId="43" fontId="9" fillId="0" borderId="0" xfId="1" applyFont="1" applyFill="1" applyBorder="1"/>
    <xf numFmtId="0" fontId="9" fillId="3" borderId="3" xfId="0" applyFont="1" applyFill="1" applyBorder="1" applyAlignment="1">
      <alignment horizontal="center" vertical="center"/>
    </xf>
    <xf numFmtId="43" fontId="40" fillId="0" borderId="38" xfId="1" applyFont="1" applyFill="1" applyBorder="1" applyAlignment="1">
      <alignment horizontal="right" vertical="center"/>
    </xf>
    <xf numFmtId="43" fontId="40" fillId="0" borderId="38" xfId="1" applyFont="1" applyFill="1" applyBorder="1" applyAlignment="1">
      <alignment horizontal="right"/>
    </xf>
    <xf numFmtId="43" fontId="30" fillId="4" borderId="0" xfId="1" applyFont="1" applyFill="1" applyBorder="1"/>
    <xf numFmtId="0" fontId="3" fillId="8" borderId="3" xfId="0" applyFont="1" applyFill="1" applyBorder="1" applyAlignment="1">
      <alignment vertical="center"/>
    </xf>
    <xf numFmtId="164" fontId="3" fillId="8" borderId="3" xfId="1" applyNumberFormat="1" applyFont="1" applyFill="1" applyBorder="1" applyAlignment="1">
      <alignment vertical="center"/>
    </xf>
    <xf numFmtId="0" fontId="3" fillId="8" borderId="10" xfId="0" applyFont="1" applyFill="1" applyBorder="1" applyAlignment="1">
      <alignment vertical="center"/>
    </xf>
    <xf numFmtId="164" fontId="3" fillId="8" borderId="10" xfId="1" applyNumberFormat="1" applyFont="1" applyFill="1" applyBorder="1" applyAlignment="1">
      <alignment vertical="center"/>
    </xf>
    <xf numFmtId="3" fontId="9" fillId="3" borderId="0" xfId="0" applyNumberFormat="1" applyFont="1" applyFill="1" applyAlignment="1">
      <alignment vertical="center"/>
    </xf>
    <xf numFmtId="174" fontId="3" fillId="3" borderId="4" xfId="1" applyNumberFormat="1" applyFont="1" applyFill="1" applyBorder="1" applyAlignment="1">
      <alignment vertical="center"/>
    </xf>
    <xf numFmtId="165" fontId="30" fillId="4" borderId="0" xfId="1" applyNumberFormat="1" applyFont="1" applyFill="1" applyBorder="1"/>
    <xf numFmtId="170" fontId="3" fillId="3" borderId="0" xfId="0" applyNumberFormat="1" applyFont="1" applyFill="1" applyAlignment="1">
      <alignment vertical="center"/>
    </xf>
    <xf numFmtId="178" fontId="9" fillId="3" borderId="3" xfId="1" applyNumberFormat="1" applyFont="1" applyFill="1" applyBorder="1"/>
    <xf numFmtId="178" fontId="10" fillId="2" borderId="4" xfId="1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176" fontId="9" fillId="0" borderId="0" xfId="1" applyNumberFormat="1" applyFont="1" applyFill="1" applyBorder="1" applyAlignment="1">
      <alignment vertical="center" wrapText="1"/>
    </xf>
    <xf numFmtId="43" fontId="9" fillId="0" borderId="0" xfId="0" applyNumberFormat="1" applyFont="1"/>
    <xf numFmtId="164" fontId="9" fillId="3" borderId="0" xfId="0" applyNumberFormat="1" applyFont="1" applyFill="1"/>
    <xf numFmtId="174" fontId="9" fillId="3" borderId="0" xfId="0" applyNumberFormat="1" applyFont="1" applyFill="1"/>
    <xf numFmtId="174" fontId="9" fillId="0" borderId="4" xfId="1" applyNumberFormat="1" applyFont="1" applyFill="1" applyBorder="1"/>
    <xf numFmtId="10" fontId="3" fillId="3" borderId="0" xfId="2" applyNumberFormat="1" applyFont="1" applyFill="1" applyAlignment="1">
      <alignment vertical="center"/>
    </xf>
    <xf numFmtId="0" fontId="9" fillId="0" borderId="4" xfId="0" applyFont="1" applyBorder="1" applyAlignment="1">
      <alignment horizontal="center" vertical="center"/>
    </xf>
    <xf numFmtId="165" fontId="4" fillId="11" borderId="4" xfId="1" applyNumberFormat="1" applyFont="1" applyFill="1" applyBorder="1" applyAlignment="1"/>
    <xf numFmtId="3" fontId="3" fillId="3" borderId="0" xfId="0" applyNumberFormat="1" applyFont="1" applyFill="1" applyAlignment="1">
      <alignment vertical="center"/>
    </xf>
    <xf numFmtId="44" fontId="3" fillId="3" borderId="0" xfId="269" applyFont="1" applyFill="1" applyAlignment="1">
      <alignment vertical="center"/>
    </xf>
    <xf numFmtId="44" fontId="29" fillId="3" borderId="0" xfId="269" applyFont="1" applyFill="1" applyAlignment="1">
      <alignment vertical="center"/>
    </xf>
    <xf numFmtId="166" fontId="9" fillId="3" borderId="0" xfId="0" applyNumberFormat="1" applyFont="1" applyFill="1"/>
    <xf numFmtId="44" fontId="9" fillId="3" borderId="0" xfId="269" applyFont="1" applyFill="1"/>
    <xf numFmtId="179" fontId="9" fillId="11" borderId="0" xfId="0" applyNumberFormat="1" applyFont="1" applyFill="1"/>
    <xf numFmtId="10" fontId="40" fillId="0" borderId="38" xfId="1" applyNumberFormat="1" applyFont="1" applyFill="1" applyBorder="1" applyAlignment="1">
      <alignment horizontal="center" vertical="center"/>
    </xf>
    <xf numFmtId="10" fontId="40" fillId="0" borderId="38" xfId="2" applyNumberFormat="1" applyFont="1" applyFill="1" applyBorder="1" applyAlignment="1">
      <alignment horizontal="center" vertical="center"/>
    </xf>
    <xf numFmtId="10" fontId="40" fillId="4" borderId="38" xfId="1" applyNumberFormat="1" applyFont="1" applyFill="1" applyBorder="1" applyAlignment="1">
      <alignment horizontal="center" vertical="center"/>
    </xf>
    <xf numFmtId="173" fontId="10" fillId="3" borderId="0" xfId="0" applyNumberFormat="1" applyFont="1" applyFill="1" applyAlignment="1">
      <alignment horizontal="center" vertical="center"/>
    </xf>
    <xf numFmtId="165" fontId="9" fillId="3" borderId="35" xfId="0" applyNumberFormat="1" applyFont="1" applyFill="1" applyBorder="1" applyAlignment="1">
      <alignment vertical="center"/>
    </xf>
    <xf numFmtId="0" fontId="10" fillId="3" borderId="38" xfId="0" applyFont="1" applyFill="1" applyBorder="1" applyAlignment="1">
      <alignment horizontal="center" vertical="center"/>
    </xf>
    <xf numFmtId="9" fontId="9" fillId="3" borderId="38" xfId="2" applyFont="1" applyFill="1" applyBorder="1" applyAlignment="1">
      <alignment vertical="center"/>
    </xf>
    <xf numFmtId="10" fontId="16" fillId="5" borderId="0" xfId="0" applyNumberFormat="1" applyFont="1" applyFill="1"/>
    <xf numFmtId="10" fontId="28" fillId="5" borderId="0" xfId="0" applyNumberFormat="1" applyFont="1" applyFill="1"/>
    <xf numFmtId="183" fontId="3" fillId="3" borderId="0" xfId="269" applyNumberFormat="1" applyFont="1" applyFill="1" applyAlignment="1">
      <alignment vertical="center"/>
    </xf>
    <xf numFmtId="165" fontId="54" fillId="3" borderId="4" xfId="1" applyNumberFormat="1" applyFont="1" applyFill="1" applyBorder="1" applyAlignment="1">
      <alignment vertical="center"/>
    </xf>
    <xf numFmtId="44" fontId="9" fillId="3" borderId="0" xfId="269" applyFont="1" applyFill="1" applyAlignment="1">
      <alignment vertical="center"/>
    </xf>
    <xf numFmtId="184" fontId="1" fillId="0" borderId="0" xfId="0" applyNumberFormat="1" applyFont="1" applyAlignment="1">
      <alignment horizontal="right" vertical="center"/>
    </xf>
    <xf numFmtId="181" fontId="41" fillId="0" borderId="10" xfId="268" applyNumberFormat="1" applyFont="1" applyFill="1" applyBorder="1"/>
    <xf numFmtId="191" fontId="30" fillId="0" borderId="10" xfId="267" applyNumberFormat="1" applyFont="1" applyFill="1" applyBorder="1" applyAlignment="1">
      <alignment vertical="center"/>
    </xf>
    <xf numFmtId="178" fontId="3" fillId="3" borderId="3" xfId="1" applyNumberFormat="1" applyFont="1" applyFill="1" applyBorder="1"/>
    <xf numFmtId="181" fontId="41" fillId="0" borderId="10" xfId="1" applyNumberFormat="1" applyFont="1" applyFill="1" applyBorder="1"/>
    <xf numFmtId="0" fontId="39" fillId="28" borderId="38" xfId="32" applyFont="1" applyFill="1" applyBorder="1" applyAlignment="1">
      <alignment horizontal="center" vertical="center"/>
    </xf>
    <xf numFmtId="43" fontId="39" fillId="28" borderId="38" xfId="1" applyFont="1" applyFill="1" applyBorder="1" applyAlignment="1">
      <alignment horizontal="center" vertical="center"/>
    </xf>
    <xf numFmtId="43" fontId="39" fillId="28" borderId="41" xfId="1" applyFont="1" applyFill="1" applyBorder="1" applyAlignment="1">
      <alignment horizontal="center" vertical="center"/>
    </xf>
    <xf numFmtId="43" fontId="4" fillId="29" borderId="21" xfId="1" applyFont="1" applyFill="1" applyBorder="1" applyAlignment="1">
      <alignment horizontal="center" vertical="center"/>
    </xf>
    <xf numFmtId="0" fontId="4" fillId="29" borderId="21" xfId="0" applyFont="1" applyFill="1" applyBorder="1" applyAlignment="1">
      <alignment horizontal="center" vertical="center" wrapText="1"/>
    </xf>
    <xf numFmtId="43" fontId="4" fillId="29" borderId="21" xfId="1" applyFont="1" applyFill="1" applyBorder="1" applyAlignment="1">
      <alignment horizontal="center" vertical="center" wrapText="1"/>
    </xf>
    <xf numFmtId="164" fontId="4" fillId="29" borderId="21" xfId="1" applyNumberFormat="1" applyFont="1" applyFill="1" applyBorder="1"/>
    <xf numFmtId="43" fontId="4" fillId="29" borderId="21" xfId="1" applyFont="1" applyFill="1" applyBorder="1"/>
    <xf numFmtId="165" fontId="16" fillId="28" borderId="21" xfId="1" applyNumberFormat="1" applyFont="1" applyFill="1" applyBorder="1"/>
    <xf numFmtId="43" fontId="16" fillId="28" borderId="21" xfId="1" applyFont="1" applyFill="1" applyBorder="1"/>
    <xf numFmtId="164" fontId="3" fillId="29" borderId="0" xfId="1" applyNumberFormat="1" applyFont="1" applyFill="1" applyAlignment="1">
      <alignment vertical="center"/>
    </xf>
    <xf numFmtId="43" fontId="3" fillId="29" borderId="0" xfId="1" applyFont="1" applyFill="1"/>
    <xf numFmtId="164" fontId="3" fillId="29" borderId="0" xfId="1" applyNumberFormat="1" applyFont="1" applyFill="1"/>
    <xf numFmtId="43" fontId="4" fillId="29" borderId="0" xfId="1" applyFont="1" applyFill="1"/>
    <xf numFmtId="164" fontId="4" fillId="29" borderId="0" xfId="1" applyNumberFormat="1" applyFont="1" applyFill="1"/>
    <xf numFmtId="0" fontId="4" fillId="29" borderId="21" xfId="0" applyFont="1" applyFill="1" applyBorder="1"/>
    <xf numFmtId="0" fontId="4" fillId="29" borderId="21" xfId="0" applyFont="1" applyFill="1" applyBorder="1" applyAlignment="1">
      <alignment horizontal="center" vertical="center"/>
    </xf>
    <xf numFmtId="0" fontId="4" fillId="29" borderId="2" xfId="0" applyFont="1" applyFill="1" applyBorder="1" applyAlignment="1">
      <alignment horizontal="center"/>
    </xf>
    <xf numFmtId="43" fontId="4" fillId="29" borderId="2" xfId="1" applyFont="1" applyFill="1" applyBorder="1" applyAlignment="1">
      <alignment horizontal="center"/>
    </xf>
    <xf numFmtId="165" fontId="4" fillId="29" borderId="18" xfId="1" applyNumberFormat="1" applyFont="1" applyFill="1" applyBorder="1" applyAlignment="1">
      <alignment horizontal="center"/>
    </xf>
    <xf numFmtId="165" fontId="4" fillId="29" borderId="10" xfId="1" applyNumberFormat="1" applyFont="1" applyFill="1" applyBorder="1" applyAlignment="1"/>
    <xf numFmtId="165" fontId="4" fillId="29" borderId="14" xfId="1" applyNumberFormat="1" applyFont="1" applyFill="1" applyBorder="1" applyAlignment="1"/>
    <xf numFmtId="164" fontId="4" fillId="29" borderId="0" xfId="1" applyNumberFormat="1" applyFont="1" applyFill="1" applyAlignment="1">
      <alignment vertical="center"/>
    </xf>
    <xf numFmtId="165" fontId="4" fillId="29" borderId="0" xfId="1" applyNumberFormat="1" applyFont="1" applyFill="1"/>
    <xf numFmtId="1" fontId="3" fillId="3" borderId="0" xfId="0" applyNumberFormat="1" applyFont="1" applyFill="1"/>
    <xf numFmtId="0" fontId="4" fillId="29" borderId="13" xfId="0" applyFont="1" applyFill="1" applyBorder="1"/>
    <xf numFmtId="0" fontId="4" fillId="29" borderId="6" xfId="0" applyFont="1" applyFill="1" applyBorder="1"/>
    <xf numFmtId="0" fontId="4" fillId="29" borderId="2" xfId="0" applyFont="1" applyFill="1" applyBorder="1" applyAlignment="1">
      <alignment horizontal="center" vertical="center"/>
    </xf>
    <xf numFmtId="43" fontId="4" fillId="29" borderId="2" xfId="1" applyFont="1" applyFill="1" applyBorder="1" applyAlignment="1">
      <alignment horizontal="center" vertical="center"/>
    </xf>
    <xf numFmtId="43" fontId="4" fillId="28" borderId="2" xfId="1" applyFont="1" applyFill="1" applyBorder="1" applyAlignment="1">
      <alignment horizontal="center"/>
    </xf>
    <xf numFmtId="165" fontId="3" fillId="3" borderId="4" xfId="1" applyNumberFormat="1" applyFont="1" applyFill="1" applyBorder="1" applyAlignment="1"/>
    <xf numFmtId="165" fontId="3" fillId="3" borderId="7" xfId="1" applyNumberFormat="1" applyFont="1" applyFill="1" applyBorder="1" applyAlignment="1"/>
    <xf numFmtId="43" fontId="4" fillId="29" borderId="4" xfId="1" applyFont="1" applyFill="1" applyBorder="1" applyAlignment="1">
      <alignment horizontal="center" vertical="center"/>
    </xf>
    <xf numFmtId="0" fontId="3" fillId="29" borderId="0" xfId="0" applyFont="1" applyFill="1" applyAlignment="1">
      <alignment vertical="center"/>
    </xf>
    <xf numFmtId="164" fontId="4" fillId="29" borderId="4" xfId="1" applyNumberFormat="1" applyFont="1" applyFill="1" applyBorder="1"/>
    <xf numFmtId="43" fontId="4" fillId="29" borderId="4" xfId="1" applyFont="1" applyFill="1" applyBorder="1"/>
    <xf numFmtId="164" fontId="4" fillId="29" borderId="21" xfId="1" applyNumberFormat="1" applyFont="1" applyFill="1" applyBorder="1" applyAlignment="1">
      <alignment horizontal="center" vertical="center"/>
    </xf>
    <xf numFmtId="0" fontId="4" fillId="29" borderId="29" xfId="0" applyFont="1" applyFill="1" applyBorder="1" applyAlignment="1">
      <alignment horizontal="center" vertical="center" wrapText="1"/>
    </xf>
    <xf numFmtId="166" fontId="3" fillId="29" borderId="0" xfId="0" applyNumberFormat="1" applyFont="1" applyFill="1" applyAlignment="1">
      <alignment vertical="center"/>
    </xf>
    <xf numFmtId="164" fontId="4" fillId="29" borderId="4" xfId="1" applyNumberFormat="1" applyFont="1" applyFill="1" applyBorder="1" applyAlignment="1">
      <alignment vertical="center"/>
    </xf>
    <xf numFmtId="178" fontId="4" fillId="29" borderId="4" xfId="1" applyNumberFormat="1" applyFont="1" applyFill="1" applyBorder="1" applyAlignment="1">
      <alignment vertical="center"/>
    </xf>
    <xf numFmtId="165" fontId="4" fillId="29" borderId="4" xfId="1" applyNumberFormat="1" applyFont="1" applyFill="1" applyBorder="1" applyAlignment="1">
      <alignment vertical="center"/>
    </xf>
    <xf numFmtId="43" fontId="4" fillId="29" borderId="4" xfId="1" applyFont="1" applyFill="1" applyBorder="1" applyAlignment="1">
      <alignment vertical="center"/>
    </xf>
    <xf numFmtId="43" fontId="4" fillId="28" borderId="4" xfId="1" applyFont="1" applyFill="1" applyBorder="1" applyAlignment="1">
      <alignment vertical="center"/>
    </xf>
    <xf numFmtId="43" fontId="3" fillId="29" borderId="0" xfId="1" applyFont="1" applyFill="1" applyAlignment="1">
      <alignment vertical="center"/>
    </xf>
    <xf numFmtId="0" fontId="4" fillId="29" borderId="13" xfId="0" applyFont="1" applyFill="1" applyBorder="1" applyAlignment="1">
      <alignment vertical="center"/>
    </xf>
    <xf numFmtId="0" fontId="4" fillId="29" borderId="6" xfId="0" applyFont="1" applyFill="1" applyBorder="1" applyAlignment="1">
      <alignment vertical="center"/>
    </xf>
    <xf numFmtId="164" fontId="4" fillId="29" borderId="2" xfId="1" applyNumberFormat="1" applyFont="1" applyFill="1" applyBorder="1" applyAlignment="1">
      <alignment horizontal="center" vertical="center"/>
    </xf>
    <xf numFmtId="43" fontId="4" fillId="28" borderId="2" xfId="1" applyFont="1" applyFill="1" applyBorder="1" applyAlignment="1">
      <alignment horizontal="center" vertical="center"/>
    </xf>
    <xf numFmtId="165" fontId="4" fillId="29" borderId="21" xfId="1" applyNumberFormat="1" applyFont="1" applyFill="1" applyBorder="1"/>
    <xf numFmtId="43" fontId="3" fillId="28" borderId="4" xfId="0" applyNumberFormat="1" applyFont="1" applyFill="1" applyBorder="1" applyAlignment="1">
      <alignment vertical="center"/>
    </xf>
    <xf numFmtId="0" fontId="4" fillId="29" borderId="21" xfId="0" applyFont="1" applyFill="1" applyBorder="1" applyAlignment="1">
      <alignment horizontal="center"/>
    </xf>
    <xf numFmtId="164" fontId="4" fillId="29" borderId="21" xfId="0" applyNumberFormat="1" applyFont="1" applyFill="1" applyBorder="1" applyAlignment="1">
      <alignment horizontal="center"/>
    </xf>
    <xf numFmtId="43" fontId="4" fillId="29" borderId="21" xfId="1" applyFont="1" applyFill="1" applyBorder="1" applyAlignment="1">
      <alignment horizontal="center"/>
    </xf>
    <xf numFmtId="164" fontId="4" fillId="29" borderId="2" xfId="0" applyNumberFormat="1" applyFont="1" applyFill="1" applyBorder="1" applyAlignment="1">
      <alignment vertical="center"/>
    </xf>
    <xf numFmtId="178" fontId="4" fillId="29" borderId="2" xfId="0" applyNumberFormat="1" applyFont="1" applyFill="1" applyBorder="1" applyAlignment="1">
      <alignment vertical="center"/>
    </xf>
    <xf numFmtId="43" fontId="4" fillId="29" borderId="2" xfId="0" applyNumberFormat="1" applyFont="1" applyFill="1" applyBorder="1" applyAlignment="1">
      <alignment vertical="center"/>
    </xf>
    <xf numFmtId="165" fontId="4" fillId="29" borderId="2" xfId="0" applyNumberFormat="1" applyFont="1" applyFill="1" applyBorder="1" applyAlignment="1">
      <alignment vertical="center"/>
    </xf>
    <xf numFmtId="165" fontId="4" fillId="29" borderId="0" xfId="0" applyNumberFormat="1" applyFont="1" applyFill="1" applyAlignment="1">
      <alignment vertical="center"/>
    </xf>
    <xf numFmtId="0" fontId="4" fillId="29" borderId="50" xfId="0" applyFont="1" applyFill="1" applyBorder="1" applyAlignment="1">
      <alignment horizontal="center" vertical="center"/>
    </xf>
    <xf numFmtId="164" fontId="4" fillId="29" borderId="50" xfId="0" applyNumberFormat="1" applyFont="1" applyFill="1" applyBorder="1" applyAlignment="1">
      <alignment horizontal="center" vertical="center"/>
    </xf>
    <xf numFmtId="43" fontId="4" fillId="29" borderId="0" xfId="1" applyFont="1" applyFill="1" applyBorder="1" applyAlignment="1">
      <alignment horizontal="center" vertical="center"/>
    </xf>
    <xf numFmtId="43" fontId="4" fillId="28" borderId="0" xfId="1" applyFont="1" applyFill="1" applyBorder="1" applyAlignment="1">
      <alignment horizontal="center" vertical="center"/>
    </xf>
    <xf numFmtId="43" fontId="3" fillId="28" borderId="0" xfId="1" applyFont="1" applyFill="1" applyBorder="1"/>
    <xf numFmtId="164" fontId="3" fillId="28" borderId="0" xfId="1" applyNumberFormat="1" applyFont="1" applyFill="1" applyAlignment="1">
      <alignment horizontal="center" vertical="center" wrapText="1"/>
    </xf>
    <xf numFmtId="43" fontId="3" fillId="29" borderId="0" xfId="0" applyNumberFormat="1" applyFont="1" applyFill="1" applyAlignment="1">
      <alignment horizontal="center" vertical="center" wrapText="1"/>
    </xf>
    <xf numFmtId="0" fontId="3" fillId="29" borderId="0" xfId="0" applyFont="1" applyFill="1" applyAlignment="1">
      <alignment horizontal="center" vertical="center" wrapText="1"/>
    </xf>
    <xf numFmtId="43" fontId="3" fillId="28" borderId="4" xfId="0" applyNumberFormat="1" applyFont="1" applyFill="1" applyBorder="1"/>
    <xf numFmtId="0" fontId="3" fillId="28" borderId="0" xfId="0" applyFont="1" applyFill="1" applyAlignment="1">
      <alignment vertical="center"/>
    </xf>
    <xf numFmtId="43" fontId="4" fillId="28" borderId="4" xfId="0" applyNumberFormat="1" applyFont="1" applyFill="1" applyBorder="1"/>
    <xf numFmtId="0" fontId="4" fillId="28" borderId="0" xfId="0" applyFont="1" applyFill="1" applyAlignment="1">
      <alignment vertical="center"/>
    </xf>
    <xf numFmtId="0" fontId="4" fillId="29" borderId="0" xfId="0" applyFont="1" applyFill="1" applyAlignment="1">
      <alignment vertical="center"/>
    </xf>
    <xf numFmtId="183" fontId="4" fillId="29" borderId="0" xfId="269" applyNumberFormat="1" applyFont="1" applyFill="1" applyAlignment="1">
      <alignment vertical="center"/>
    </xf>
    <xf numFmtId="0" fontId="4" fillId="29" borderId="57" xfId="0" applyFont="1" applyFill="1" applyBorder="1" applyAlignment="1">
      <alignment horizontal="center" vertical="center"/>
    </xf>
    <xf numFmtId="164" fontId="4" fillId="29" borderId="0" xfId="0" applyNumberFormat="1" applyFont="1" applyFill="1" applyAlignment="1">
      <alignment horizontal="center" vertical="center"/>
    </xf>
    <xf numFmtId="164" fontId="4" fillId="29" borderId="4" xfId="1" applyNumberFormat="1" applyFont="1" applyFill="1" applyBorder="1" applyAlignment="1">
      <alignment horizontal="center" vertical="center"/>
    </xf>
    <xf numFmtId="0" fontId="4" fillId="3" borderId="0" xfId="0" applyFont="1" applyFill="1"/>
    <xf numFmtId="165" fontId="4" fillId="29" borderId="4" xfId="1" applyNumberFormat="1" applyFont="1" applyFill="1" applyBorder="1"/>
    <xf numFmtId="43" fontId="4" fillId="28" borderId="4" xfId="1" applyFont="1" applyFill="1" applyBorder="1"/>
    <xf numFmtId="164" fontId="4" fillId="29" borderId="2" xfId="1" applyNumberFormat="1" applyFont="1" applyFill="1" applyBorder="1" applyAlignment="1">
      <alignment horizontal="center"/>
    </xf>
    <xf numFmtId="183" fontId="3" fillId="3" borderId="0" xfId="269" applyNumberFormat="1" applyFont="1" applyFill="1"/>
    <xf numFmtId="165" fontId="7" fillId="3" borderId="4" xfId="1" applyNumberFormat="1" applyFont="1" applyFill="1" applyBorder="1" applyAlignment="1"/>
    <xf numFmtId="43" fontId="4" fillId="29" borderId="4" xfId="1" applyFont="1" applyFill="1" applyBorder="1" applyAlignment="1">
      <alignment horizontal="center" vertical="center" wrapText="1"/>
    </xf>
    <xf numFmtId="164" fontId="4" fillId="29" borderId="4" xfId="1" applyNumberFormat="1" applyFont="1" applyFill="1" applyBorder="1" applyAlignment="1">
      <alignment horizontal="center" vertical="center" wrapText="1"/>
    </xf>
    <xf numFmtId="0" fontId="3" fillId="29" borderId="0" xfId="0" applyFont="1" applyFill="1" applyAlignment="1">
      <alignment vertical="center" wrapText="1"/>
    </xf>
    <xf numFmtId="0" fontId="4" fillId="29" borderId="2" xfId="0" applyFont="1" applyFill="1" applyBorder="1" applyAlignment="1">
      <alignment horizontal="center" vertical="center" wrapText="1"/>
    </xf>
    <xf numFmtId="164" fontId="4" fillId="29" borderId="2" xfId="1" applyNumberFormat="1" applyFont="1" applyFill="1" applyBorder="1" applyAlignment="1">
      <alignment horizontal="center" vertical="center" wrapText="1"/>
    </xf>
    <xf numFmtId="43" fontId="4" fillId="29" borderId="2" xfId="1" applyFont="1" applyFill="1" applyBorder="1" applyAlignment="1">
      <alignment horizontal="center" vertical="center" wrapText="1"/>
    </xf>
    <xf numFmtId="43" fontId="4" fillId="29" borderId="0" xfId="1" applyFont="1" applyFill="1" applyAlignment="1">
      <alignment vertical="center"/>
    </xf>
    <xf numFmtId="43" fontId="3" fillId="28" borderId="4" xfId="1" applyFont="1" applyFill="1" applyBorder="1" applyAlignment="1">
      <alignment vertical="center"/>
    </xf>
    <xf numFmtId="164" fontId="10" fillId="29" borderId="4" xfId="1" applyNumberFormat="1" applyFont="1" applyFill="1" applyBorder="1" applyAlignment="1">
      <alignment vertical="center"/>
    </xf>
    <xf numFmtId="43" fontId="10" fillId="29" borderId="4" xfId="1" applyFont="1" applyFill="1" applyBorder="1" applyAlignment="1">
      <alignment vertical="center"/>
    </xf>
    <xf numFmtId="43" fontId="10" fillId="28" borderId="4" xfId="1" applyFont="1" applyFill="1" applyBorder="1" applyAlignment="1">
      <alignment vertical="center"/>
    </xf>
    <xf numFmtId="43" fontId="10" fillId="29" borderId="0" xfId="1" applyFont="1" applyFill="1" applyAlignment="1">
      <alignment vertical="center"/>
    </xf>
    <xf numFmtId="43" fontId="10" fillId="29" borderId="4" xfId="1" applyFont="1" applyFill="1" applyBorder="1" applyAlignment="1">
      <alignment horizontal="center" vertical="center"/>
    </xf>
    <xf numFmtId="164" fontId="10" fillId="29" borderId="4" xfId="1" applyNumberFormat="1" applyFont="1" applyFill="1" applyBorder="1" applyAlignment="1">
      <alignment horizontal="center" vertical="center"/>
    </xf>
    <xf numFmtId="0" fontId="10" fillId="29" borderId="21" xfId="0" applyFont="1" applyFill="1" applyBorder="1" applyAlignment="1">
      <alignment horizontal="center" vertical="center" wrapText="1"/>
    </xf>
    <xf numFmtId="43" fontId="10" fillId="29" borderId="4" xfId="1" applyFont="1" applyFill="1" applyBorder="1" applyAlignment="1">
      <alignment horizontal="center" vertical="center" wrapText="1"/>
    </xf>
    <xf numFmtId="0" fontId="9" fillId="29" borderId="0" xfId="0" applyFont="1" applyFill="1" applyAlignment="1">
      <alignment vertical="center"/>
    </xf>
    <xf numFmtId="0" fontId="10" fillId="29" borderId="0" xfId="0" applyFont="1" applyFill="1" applyAlignment="1">
      <alignment vertical="center"/>
    </xf>
    <xf numFmtId="0" fontId="10" fillId="29" borderId="0" xfId="0" applyFont="1" applyFill="1" applyAlignment="1">
      <alignment horizontal="center" vertical="center"/>
    </xf>
    <xf numFmtId="0" fontId="45" fillId="29" borderId="0" xfId="0" applyFont="1" applyFill="1" applyAlignment="1">
      <alignment horizontal="center" vertical="center"/>
    </xf>
    <xf numFmtId="43" fontId="9" fillId="29" borderId="0" xfId="1" applyFont="1" applyFill="1" applyAlignment="1">
      <alignment vertical="center"/>
    </xf>
    <xf numFmtId="43" fontId="45" fillId="28" borderId="4" xfId="1" applyFont="1" applyFill="1" applyBorder="1" applyAlignment="1">
      <alignment vertical="center"/>
    </xf>
    <xf numFmtId="43" fontId="45" fillId="29" borderId="0" xfId="1" applyFont="1" applyFill="1" applyAlignment="1">
      <alignment vertical="center"/>
    </xf>
    <xf numFmtId="0" fontId="10" fillId="29" borderId="13" xfId="0" applyFont="1" applyFill="1" applyBorder="1" applyAlignment="1">
      <alignment vertical="center"/>
    </xf>
    <xf numFmtId="0" fontId="10" fillId="29" borderId="6" xfId="0" applyFont="1" applyFill="1" applyBorder="1" applyAlignment="1">
      <alignment vertical="center"/>
    </xf>
    <xf numFmtId="0" fontId="10" fillId="29" borderId="2" xfId="0" applyFont="1" applyFill="1" applyBorder="1" applyAlignment="1">
      <alignment horizontal="center" vertical="center"/>
    </xf>
    <xf numFmtId="164" fontId="10" fillId="29" borderId="2" xfId="1" applyNumberFormat="1" applyFont="1" applyFill="1" applyBorder="1" applyAlignment="1">
      <alignment horizontal="center" vertical="center"/>
    </xf>
    <xf numFmtId="43" fontId="10" fillId="29" borderId="2" xfId="1" applyFont="1" applyFill="1" applyBorder="1" applyAlignment="1">
      <alignment horizontal="center" vertical="center" wrapText="1"/>
    </xf>
    <xf numFmtId="43" fontId="10" fillId="29" borderId="2" xfId="1" applyFont="1" applyFill="1" applyBorder="1" applyAlignment="1">
      <alignment horizontal="center" vertical="center"/>
    </xf>
    <xf numFmtId="43" fontId="10" fillId="28" borderId="2" xfId="1" applyFont="1" applyFill="1" applyBorder="1" applyAlignment="1">
      <alignment horizontal="center" vertical="center"/>
    </xf>
    <xf numFmtId="0" fontId="4" fillId="29" borderId="4" xfId="0" applyFont="1" applyFill="1" applyBorder="1" applyAlignment="1">
      <alignment horizontal="center" vertical="center" wrapText="1"/>
    </xf>
    <xf numFmtId="0" fontId="4" fillId="29" borderId="0" xfId="0" applyFont="1" applyFill="1" applyAlignment="1">
      <alignment horizontal="center" vertical="center"/>
    </xf>
    <xf numFmtId="166" fontId="4" fillId="29" borderId="0" xfId="0" applyNumberFormat="1" applyFont="1" applyFill="1" applyAlignment="1">
      <alignment vertical="center"/>
    </xf>
    <xf numFmtId="165" fontId="10" fillId="29" borderId="4" xfId="1" applyNumberFormat="1" applyFont="1" applyFill="1" applyBorder="1" applyAlignment="1">
      <alignment vertical="center"/>
    </xf>
    <xf numFmtId="43" fontId="10" fillId="29" borderId="21" xfId="1" applyFont="1" applyFill="1" applyBorder="1" applyAlignment="1">
      <alignment horizontal="center" vertical="center"/>
    </xf>
    <xf numFmtId="164" fontId="10" fillId="29" borderId="21" xfId="1" applyNumberFormat="1" applyFont="1" applyFill="1" applyBorder="1" applyAlignment="1">
      <alignment horizontal="center" vertical="center"/>
    </xf>
    <xf numFmtId="0" fontId="10" fillId="29" borderId="4" xfId="0" applyFont="1" applyFill="1" applyBorder="1" applyAlignment="1">
      <alignment horizontal="center" vertical="center" wrapText="1"/>
    </xf>
    <xf numFmtId="166" fontId="9" fillId="29" borderId="0" xfId="0" applyNumberFormat="1" applyFont="1" applyFill="1" applyAlignment="1">
      <alignment vertical="center"/>
    </xf>
    <xf numFmtId="166" fontId="10" fillId="29" borderId="0" xfId="0" applyNumberFormat="1" applyFont="1" applyFill="1" applyAlignment="1">
      <alignment vertical="center"/>
    </xf>
    <xf numFmtId="164" fontId="45" fillId="29" borderId="4" xfId="1" applyNumberFormat="1" applyFont="1" applyFill="1" applyBorder="1" applyAlignment="1">
      <alignment vertical="center"/>
    </xf>
    <xf numFmtId="43" fontId="45" fillId="29" borderId="4" xfId="1" applyFont="1" applyFill="1" applyBorder="1" applyAlignment="1">
      <alignment vertical="center"/>
    </xf>
    <xf numFmtId="165" fontId="45" fillId="29" borderId="4" xfId="1" applyNumberFormat="1" applyFont="1" applyFill="1" applyBorder="1" applyAlignment="1">
      <alignment vertical="center"/>
    </xf>
    <xf numFmtId="43" fontId="49" fillId="29" borderId="0" xfId="1" applyFont="1" applyFill="1" applyAlignment="1">
      <alignment vertical="center"/>
    </xf>
    <xf numFmtId="43" fontId="10" fillId="29" borderId="21" xfId="1" applyFont="1" applyFill="1" applyBorder="1" applyAlignment="1">
      <alignment horizontal="center" vertical="center" wrapText="1"/>
    </xf>
    <xf numFmtId="10" fontId="45" fillId="29" borderId="4" xfId="2" applyNumberFormat="1" applyFont="1" applyFill="1" applyBorder="1" applyAlignment="1"/>
    <xf numFmtId="43" fontId="3" fillId="29" borderId="0" xfId="1" applyFont="1" applyFill="1" applyAlignment="1">
      <alignment horizontal="center" vertical="center"/>
    </xf>
    <xf numFmtId="43" fontId="4" fillId="29" borderId="0" xfId="1" applyFont="1" applyFill="1" applyAlignment="1">
      <alignment horizontal="center" vertical="center"/>
    </xf>
    <xf numFmtId="0" fontId="4" fillId="29" borderId="29" xfId="0" applyFont="1" applyFill="1" applyBorder="1" applyAlignment="1">
      <alignment horizontal="center" vertical="center"/>
    </xf>
    <xf numFmtId="164" fontId="4" fillId="29" borderId="29" xfId="1" applyNumberFormat="1" applyFont="1" applyFill="1" applyBorder="1" applyAlignment="1">
      <alignment horizontal="center" vertical="center"/>
    </xf>
    <xf numFmtId="0" fontId="4" fillId="29" borderId="30" xfId="0" applyFont="1" applyFill="1" applyBorder="1" applyAlignment="1">
      <alignment horizontal="center" vertical="center"/>
    </xf>
    <xf numFmtId="164" fontId="4" fillId="29" borderId="30" xfId="1" applyNumberFormat="1" applyFont="1" applyFill="1" applyBorder="1" applyAlignment="1">
      <alignment horizontal="center" vertical="center"/>
    </xf>
    <xf numFmtId="43" fontId="4" fillId="29" borderId="30" xfId="1" applyFont="1" applyFill="1" applyBorder="1" applyAlignment="1">
      <alignment horizontal="center" vertical="center"/>
    </xf>
    <xf numFmtId="0" fontId="4" fillId="29" borderId="0" xfId="0" applyFont="1" applyFill="1" applyAlignment="1">
      <alignment horizontal="center" vertical="center" wrapText="1"/>
    </xf>
    <xf numFmtId="183" fontId="3" fillId="28" borderId="0" xfId="269" applyNumberFormat="1" applyFont="1" applyFill="1" applyAlignment="1">
      <alignment vertical="center"/>
    </xf>
    <xf numFmtId="165" fontId="7" fillId="3" borderId="4" xfId="1" applyNumberFormat="1" applyFont="1" applyFill="1" applyBorder="1" applyAlignment="1">
      <alignment vertical="center"/>
    </xf>
    <xf numFmtId="165" fontId="7" fillId="0" borderId="4" xfId="1" applyNumberFormat="1" applyFont="1" applyFill="1" applyBorder="1" applyAlignment="1">
      <alignment vertical="center"/>
    </xf>
    <xf numFmtId="44" fontId="4" fillId="29" borderId="0" xfId="269" applyFont="1" applyFill="1" applyAlignment="1">
      <alignment vertical="center"/>
    </xf>
    <xf numFmtId="44" fontId="10" fillId="29" borderId="0" xfId="269" applyFont="1" applyFill="1" applyAlignment="1">
      <alignment vertical="center"/>
    </xf>
    <xf numFmtId="44" fontId="45" fillId="29" borderId="0" xfId="269" applyFont="1" applyFill="1" applyAlignment="1">
      <alignment vertical="center"/>
    </xf>
    <xf numFmtId="165" fontId="4" fillId="29" borderId="30" xfId="1" applyNumberFormat="1" applyFont="1" applyFill="1" applyBorder="1" applyAlignment="1">
      <alignment horizontal="center" vertical="center"/>
    </xf>
    <xf numFmtId="168" fontId="10" fillId="29" borderId="4" xfId="0" applyNumberFormat="1" applyFont="1" applyFill="1" applyBorder="1" applyAlignment="1">
      <alignment vertical="center"/>
    </xf>
    <xf numFmtId="167" fontId="10" fillId="29" borderId="4" xfId="0" applyNumberFormat="1" applyFont="1" applyFill="1" applyBorder="1" applyAlignment="1">
      <alignment vertical="center"/>
    </xf>
    <xf numFmtId="0" fontId="9" fillId="29" borderId="4" xfId="0" applyFont="1" applyFill="1" applyBorder="1" applyAlignment="1">
      <alignment vertical="center"/>
    </xf>
    <xf numFmtId="43" fontId="11" fillId="28" borderId="4" xfId="1" applyFont="1" applyFill="1" applyBorder="1" applyAlignment="1">
      <alignment vertical="center"/>
    </xf>
    <xf numFmtId="43" fontId="9" fillId="29" borderId="0" xfId="0" applyNumberFormat="1" applyFont="1" applyFill="1" applyAlignment="1">
      <alignment vertical="center"/>
    </xf>
    <xf numFmtId="165" fontId="4" fillId="29" borderId="2" xfId="1" applyNumberFormat="1" applyFont="1" applyFill="1" applyBorder="1" applyAlignment="1">
      <alignment horizontal="center"/>
    </xf>
    <xf numFmtId="169" fontId="10" fillId="29" borderId="4" xfId="0" applyNumberFormat="1" applyFont="1" applyFill="1" applyBorder="1" applyAlignment="1">
      <alignment vertical="center"/>
    </xf>
    <xf numFmtId="0" fontId="9" fillId="29" borderId="0" xfId="0" applyFont="1" applyFill="1" applyAlignment="1">
      <alignment horizontal="center" vertical="center"/>
    </xf>
    <xf numFmtId="0" fontId="10" fillId="29" borderId="13" xfId="0" applyFont="1" applyFill="1" applyBorder="1"/>
    <xf numFmtId="0" fontId="10" fillId="29" borderId="6" xfId="0" applyFont="1" applyFill="1" applyBorder="1"/>
    <xf numFmtId="0" fontId="10" fillId="29" borderId="2" xfId="0" applyFont="1" applyFill="1" applyBorder="1" applyAlignment="1">
      <alignment horizontal="center"/>
    </xf>
    <xf numFmtId="164" fontId="10" fillId="29" borderId="2" xfId="1" applyNumberFormat="1" applyFont="1" applyFill="1" applyBorder="1" applyAlignment="1">
      <alignment horizontal="center"/>
    </xf>
    <xf numFmtId="43" fontId="10" fillId="29" borderId="2" xfId="1" applyFont="1" applyFill="1" applyBorder="1" applyAlignment="1">
      <alignment horizontal="center"/>
    </xf>
    <xf numFmtId="43" fontId="9" fillId="28" borderId="4" xfId="1" applyFont="1" applyFill="1" applyBorder="1" applyAlignment="1">
      <alignment vertical="center"/>
    </xf>
    <xf numFmtId="43" fontId="4" fillId="29" borderId="26" xfId="1" applyFont="1" applyFill="1" applyBorder="1" applyAlignment="1">
      <alignment horizontal="center" vertical="center"/>
    </xf>
    <xf numFmtId="43" fontId="4" fillId="29" borderId="27" xfId="1" applyFont="1" applyFill="1" applyBorder="1" applyAlignment="1">
      <alignment horizontal="center" vertical="center"/>
    </xf>
    <xf numFmtId="164" fontId="4" fillId="29" borderId="27" xfId="1" applyNumberFormat="1" applyFont="1" applyFill="1" applyBorder="1" applyAlignment="1">
      <alignment horizontal="center" vertical="center"/>
    </xf>
    <xf numFmtId="43" fontId="4" fillId="29" borderId="28" xfId="1" applyFont="1" applyFill="1" applyBorder="1" applyAlignment="1">
      <alignment horizontal="center" vertical="center" wrapText="1"/>
    </xf>
    <xf numFmtId="0" fontId="9" fillId="28" borderId="0" xfId="0" applyFont="1" applyFill="1" applyAlignment="1">
      <alignment vertical="center"/>
    </xf>
    <xf numFmtId="164" fontId="9" fillId="29" borderId="0" xfId="1" applyNumberFormat="1" applyFont="1" applyFill="1" applyAlignment="1">
      <alignment vertical="center"/>
    </xf>
    <xf numFmtId="165" fontId="3" fillId="3" borderId="7" xfId="1" applyNumberFormat="1" applyFont="1" applyFill="1" applyBorder="1" applyAlignment="1">
      <alignment vertical="center"/>
    </xf>
    <xf numFmtId="165" fontId="9" fillId="29" borderId="0" xfId="0" applyNumberFormat="1" applyFont="1" applyFill="1" applyAlignment="1">
      <alignment vertical="center"/>
    </xf>
    <xf numFmtId="183" fontId="9" fillId="3" borderId="0" xfId="269" applyNumberFormat="1" applyFont="1" applyFill="1" applyAlignment="1">
      <alignment vertical="center"/>
    </xf>
    <xf numFmtId="183" fontId="10" fillId="29" borderId="0" xfId="269" applyNumberFormat="1" applyFont="1" applyFill="1" applyAlignment="1">
      <alignment vertical="center"/>
    </xf>
    <xf numFmtId="193" fontId="10" fillId="29" borderId="0" xfId="269" applyNumberFormat="1" applyFont="1" applyFill="1" applyAlignment="1">
      <alignment vertical="center"/>
    </xf>
    <xf numFmtId="43" fontId="3" fillId="29" borderId="0" xfId="0" applyNumberFormat="1" applyFont="1" applyFill="1" applyAlignment="1">
      <alignment vertical="center"/>
    </xf>
    <xf numFmtId="43" fontId="4" fillId="29" borderId="0" xfId="0" applyNumberFormat="1" applyFont="1" applyFill="1" applyAlignment="1">
      <alignment vertical="center"/>
    </xf>
    <xf numFmtId="2" fontId="10" fillId="29" borderId="0" xfId="0" applyNumberFormat="1" applyFont="1" applyFill="1" applyAlignment="1">
      <alignment vertical="center"/>
    </xf>
    <xf numFmtId="2" fontId="9" fillId="3" borderId="0" xfId="0" applyNumberFormat="1" applyFont="1" applyFill="1" applyAlignment="1">
      <alignment vertical="center"/>
    </xf>
    <xf numFmtId="164" fontId="4" fillId="29" borderId="21" xfId="1" applyNumberFormat="1" applyFont="1" applyFill="1" applyBorder="1" applyAlignment="1">
      <alignment vertical="center"/>
    </xf>
    <xf numFmtId="43" fontId="4" fillId="29" borderId="21" xfId="1" applyFont="1" applyFill="1" applyBorder="1" applyAlignment="1">
      <alignment vertical="center"/>
    </xf>
    <xf numFmtId="165" fontId="4" fillId="29" borderId="21" xfId="1" applyNumberFormat="1" applyFont="1" applyFill="1" applyBorder="1" applyAlignment="1">
      <alignment vertical="center"/>
    </xf>
    <xf numFmtId="43" fontId="4" fillId="28" borderId="21" xfId="1" applyFont="1" applyFill="1" applyBorder="1" applyAlignment="1">
      <alignment vertical="center"/>
    </xf>
    <xf numFmtId="164" fontId="10" fillId="29" borderId="21" xfId="1" applyNumberFormat="1" applyFont="1" applyFill="1" applyBorder="1" applyAlignment="1">
      <alignment vertical="center"/>
    </xf>
    <xf numFmtId="43" fontId="10" fillId="29" borderId="21" xfId="1" applyFont="1" applyFill="1" applyBorder="1" applyAlignment="1">
      <alignment vertical="center"/>
    </xf>
    <xf numFmtId="165" fontId="10" fillId="29" borderId="21" xfId="1" applyNumberFormat="1" applyFont="1" applyFill="1" applyBorder="1" applyAlignment="1">
      <alignment vertical="center"/>
    </xf>
    <xf numFmtId="43" fontId="10" fillId="28" borderId="21" xfId="1" applyFont="1" applyFill="1" applyBorder="1" applyAlignment="1">
      <alignment vertical="center"/>
    </xf>
    <xf numFmtId="175" fontId="9" fillId="29" borderId="0" xfId="0" applyNumberFormat="1" applyFont="1" applyFill="1" applyAlignment="1">
      <alignment vertical="center"/>
    </xf>
    <xf numFmtId="188" fontId="9" fillId="29" borderId="0" xfId="0" applyNumberFormat="1" applyFont="1" applyFill="1" applyAlignment="1">
      <alignment vertical="center"/>
    </xf>
    <xf numFmtId="0" fontId="4" fillId="29" borderId="31" xfId="0" applyFont="1" applyFill="1" applyBorder="1" applyAlignment="1">
      <alignment vertical="center"/>
    </xf>
    <xf numFmtId="43" fontId="4" fillId="29" borderId="29" xfId="1" applyFont="1" applyFill="1" applyBorder="1" applyAlignment="1">
      <alignment horizontal="center" vertical="center"/>
    </xf>
    <xf numFmtId="178" fontId="4" fillId="29" borderId="30" xfId="1" applyNumberFormat="1" applyFont="1" applyFill="1" applyBorder="1" applyAlignment="1">
      <alignment horizontal="center" vertical="center"/>
    </xf>
    <xf numFmtId="164" fontId="3" fillId="29" borderId="0" xfId="0" applyNumberFormat="1" applyFont="1" applyFill="1" applyAlignment="1">
      <alignment vertical="center"/>
    </xf>
    <xf numFmtId="174" fontId="3" fillId="29" borderId="0" xfId="1" applyNumberFormat="1" applyFont="1" applyFill="1" applyAlignment="1">
      <alignment horizontal="center" vertical="center" wrapText="1"/>
    </xf>
    <xf numFmtId="164" fontId="4" fillId="29" borderId="2" xfId="1" applyNumberFormat="1" applyFont="1" applyFill="1" applyBorder="1"/>
    <xf numFmtId="43" fontId="4" fillId="29" borderId="2" xfId="0" applyNumberFormat="1" applyFont="1" applyFill="1" applyBorder="1"/>
    <xf numFmtId="165" fontId="4" fillId="29" borderId="2" xfId="1" applyNumberFormat="1" applyFont="1" applyFill="1" applyBorder="1"/>
    <xf numFmtId="0" fontId="3" fillId="29" borderId="2" xfId="0" applyFont="1" applyFill="1" applyBorder="1"/>
    <xf numFmtId="165" fontId="4" fillId="29" borderId="18" xfId="0" applyNumberFormat="1" applyFont="1" applyFill="1" applyBorder="1"/>
    <xf numFmtId="43" fontId="3" fillId="28" borderId="4" xfId="1" applyFont="1" applyFill="1" applyBorder="1"/>
    <xf numFmtId="164" fontId="3" fillId="29" borderId="0" xfId="1" applyNumberFormat="1" applyFont="1" applyFill="1" applyAlignment="1">
      <alignment horizontal="center" vertical="center" wrapText="1"/>
    </xf>
    <xf numFmtId="0" fontId="9" fillId="29" borderId="0" xfId="0" applyFont="1" applyFill="1" applyAlignment="1">
      <alignment horizontal="center" vertical="center" wrapText="1"/>
    </xf>
    <xf numFmtId="164" fontId="10" fillId="29" borderId="2" xfId="1" applyNumberFormat="1" applyFont="1" applyFill="1" applyBorder="1"/>
    <xf numFmtId="165" fontId="10" fillId="29" borderId="2" xfId="0" applyNumberFormat="1" applyFont="1" applyFill="1" applyBorder="1"/>
    <xf numFmtId="43" fontId="10" fillId="29" borderId="2" xfId="0" applyNumberFormat="1" applyFont="1" applyFill="1" applyBorder="1"/>
    <xf numFmtId="43" fontId="9" fillId="29" borderId="2" xfId="1" applyFont="1" applyFill="1" applyBorder="1"/>
    <xf numFmtId="43" fontId="10" fillId="28" borderId="2" xfId="0" applyNumberFormat="1" applyFont="1" applyFill="1" applyBorder="1"/>
    <xf numFmtId="0" fontId="9" fillId="29" borderId="0" xfId="0" applyFont="1" applyFill="1"/>
    <xf numFmtId="43" fontId="10" fillId="28" borderId="2" xfId="1" applyFont="1" applyFill="1" applyBorder="1" applyAlignment="1">
      <alignment horizontal="center"/>
    </xf>
    <xf numFmtId="43" fontId="9" fillId="29" borderId="0" xfId="1" applyFont="1" applyFill="1" applyAlignment="1">
      <alignment horizontal="center" vertical="center" wrapText="1"/>
    </xf>
    <xf numFmtId="175" fontId="9" fillId="29" borderId="0" xfId="0" applyNumberFormat="1" applyFont="1" applyFill="1" applyAlignment="1">
      <alignment horizontal="center" vertical="center" wrapText="1"/>
    </xf>
    <xf numFmtId="164" fontId="10" fillId="29" borderId="2" xfId="0" applyNumberFormat="1" applyFont="1" applyFill="1" applyBorder="1" applyAlignment="1">
      <alignment vertical="center"/>
    </xf>
    <xf numFmtId="178" fontId="10" fillId="29" borderId="2" xfId="0" applyNumberFormat="1" applyFont="1" applyFill="1" applyBorder="1" applyAlignment="1">
      <alignment vertical="center"/>
    </xf>
    <xf numFmtId="43" fontId="10" fillId="29" borderId="2" xfId="0" applyNumberFormat="1" applyFont="1" applyFill="1" applyBorder="1" applyAlignment="1">
      <alignment vertical="center"/>
    </xf>
    <xf numFmtId="165" fontId="10" fillId="29" borderId="2" xfId="0" applyNumberFormat="1" applyFont="1" applyFill="1" applyBorder="1" applyAlignment="1">
      <alignment vertical="center"/>
    </xf>
    <xf numFmtId="0" fontId="9" fillId="29" borderId="2" xfId="0" applyFont="1" applyFill="1" applyBorder="1" applyAlignment="1">
      <alignment vertical="center"/>
    </xf>
    <xf numFmtId="43" fontId="10" fillId="28" borderId="2" xfId="0" applyNumberFormat="1" applyFont="1" applyFill="1" applyBorder="1" applyAlignment="1">
      <alignment vertical="center"/>
    </xf>
    <xf numFmtId="164" fontId="10" fillId="29" borderId="2" xfId="0" applyNumberFormat="1" applyFont="1" applyFill="1" applyBorder="1" applyAlignment="1">
      <alignment horizontal="center" vertical="center"/>
    </xf>
    <xf numFmtId="43" fontId="3" fillId="28" borderId="0" xfId="1" applyFont="1" applyFill="1" applyAlignment="1">
      <alignment horizontal="center" vertical="center" wrapText="1"/>
    </xf>
    <xf numFmtId="0" fontId="3" fillId="29" borderId="2" xfId="0" applyFont="1" applyFill="1" applyBorder="1" applyAlignment="1">
      <alignment vertical="center"/>
    </xf>
    <xf numFmtId="43" fontId="4" fillId="28" borderId="2" xfId="0" applyNumberFormat="1" applyFont="1" applyFill="1" applyBorder="1" applyAlignment="1">
      <alignment vertical="center"/>
    </xf>
    <xf numFmtId="164" fontId="4" fillId="29" borderId="2" xfId="0" applyNumberFormat="1" applyFont="1" applyFill="1" applyBorder="1" applyAlignment="1">
      <alignment horizontal="center" vertical="center"/>
    </xf>
    <xf numFmtId="164" fontId="10" fillId="29" borderId="2" xfId="1" applyNumberFormat="1" applyFont="1" applyFill="1" applyBorder="1" applyAlignment="1">
      <alignment horizontal="center" vertical="center" wrapText="1"/>
    </xf>
    <xf numFmtId="164" fontId="9" fillId="29" borderId="0" xfId="1" applyNumberFormat="1" applyFont="1" applyFill="1" applyAlignment="1">
      <alignment horizontal="center" vertical="center" wrapText="1"/>
    </xf>
    <xf numFmtId="165" fontId="10" fillId="29" borderId="2" xfId="1" applyNumberFormat="1" applyFont="1" applyFill="1" applyBorder="1"/>
    <xf numFmtId="43" fontId="10" fillId="29" borderId="2" xfId="1" applyFont="1" applyFill="1" applyBorder="1"/>
    <xf numFmtId="43" fontId="10" fillId="29" borderId="18" xfId="1" applyFont="1" applyFill="1" applyBorder="1"/>
    <xf numFmtId="43" fontId="9" fillId="28" borderId="4" xfId="1" applyFont="1" applyFill="1" applyBorder="1"/>
    <xf numFmtId="176" fontId="10" fillId="29" borderId="4" xfId="0" applyNumberFormat="1" applyFont="1" applyFill="1" applyBorder="1" applyAlignment="1">
      <alignment vertical="center"/>
    </xf>
    <xf numFmtId="0" fontId="4" fillId="29" borderId="39" xfId="0" applyFont="1" applyFill="1" applyBorder="1" applyAlignment="1">
      <alignment horizontal="center" vertical="center"/>
    </xf>
    <xf numFmtId="164" fontId="4" fillId="29" borderId="39" xfId="1" applyNumberFormat="1" applyFont="1" applyFill="1" applyBorder="1" applyAlignment="1">
      <alignment horizontal="center" vertical="center"/>
    </xf>
    <xf numFmtId="43" fontId="4" fillId="29" borderId="39" xfId="1" applyFont="1" applyFill="1" applyBorder="1" applyAlignment="1">
      <alignment horizontal="center" vertical="center" wrapText="1"/>
    </xf>
    <xf numFmtId="0" fontId="4" fillId="29" borderId="36" xfId="0" applyFont="1" applyFill="1" applyBorder="1" applyAlignment="1">
      <alignment horizontal="center"/>
    </xf>
    <xf numFmtId="164" fontId="4" fillId="29" borderId="36" xfId="1" applyNumberFormat="1" applyFont="1" applyFill="1" applyBorder="1" applyAlignment="1">
      <alignment horizontal="center"/>
    </xf>
    <xf numFmtId="43" fontId="4" fillId="29" borderId="36" xfId="1" applyFont="1" applyFill="1" applyBorder="1" applyAlignment="1">
      <alignment horizontal="center"/>
    </xf>
    <xf numFmtId="165" fontId="4" fillId="29" borderId="36" xfId="1" applyNumberFormat="1" applyFont="1" applyFill="1" applyBorder="1" applyAlignment="1">
      <alignment horizontal="center"/>
    </xf>
    <xf numFmtId="43" fontId="4" fillId="28" borderId="36" xfId="1" applyFont="1" applyFill="1" applyBorder="1" applyAlignment="1">
      <alignment horizontal="center"/>
    </xf>
    <xf numFmtId="2" fontId="3" fillId="3" borderId="0" xfId="0" applyNumberFormat="1" applyFont="1" applyFill="1"/>
    <xf numFmtId="43" fontId="4" fillId="28" borderId="21" xfId="1" applyFont="1" applyFill="1" applyBorder="1" applyAlignment="1"/>
    <xf numFmtId="174" fontId="9" fillId="29" borderId="0" xfId="0" applyNumberFormat="1" applyFont="1" applyFill="1" applyAlignment="1">
      <alignment vertical="center"/>
    </xf>
    <xf numFmtId="174" fontId="10" fillId="29" borderId="0" xfId="0" applyNumberFormat="1" applyFont="1" applyFill="1" applyAlignment="1">
      <alignment horizontal="center" vertical="center"/>
    </xf>
    <xf numFmtId="190" fontId="10" fillId="29" borderId="0" xfId="0" applyNumberFormat="1" applyFont="1" applyFill="1" applyAlignment="1">
      <alignment vertical="center"/>
    </xf>
    <xf numFmtId="0" fontId="3" fillId="29" borderId="0" xfId="0" applyFont="1" applyFill="1"/>
    <xf numFmtId="0" fontId="9" fillId="29" borderId="2" xfId="0" applyFont="1" applyFill="1" applyBorder="1"/>
    <xf numFmtId="165" fontId="10" fillId="29" borderId="18" xfId="0" applyNumberFormat="1" applyFont="1" applyFill="1" applyBorder="1"/>
    <xf numFmtId="164" fontId="9" fillId="29" borderId="0" xfId="1" applyNumberFormat="1" applyFont="1" applyFill="1"/>
    <xf numFmtId="0" fontId="10" fillId="29" borderId="21" xfId="0" applyFont="1" applyFill="1" applyBorder="1" applyAlignment="1">
      <alignment horizontal="center"/>
    </xf>
    <xf numFmtId="0" fontId="10" fillId="29" borderId="21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3" fontId="9" fillId="29" borderId="0" xfId="1" applyFont="1" applyFill="1"/>
    <xf numFmtId="43" fontId="10" fillId="28" borderId="4" xfId="1" applyFont="1" applyFill="1" applyBorder="1"/>
    <xf numFmtId="0" fontId="10" fillId="29" borderId="0" xfId="0" applyFont="1" applyFill="1"/>
    <xf numFmtId="43" fontId="10" fillId="29" borderId="0" xfId="1" applyFont="1" applyFill="1"/>
    <xf numFmtId="44" fontId="10" fillId="29" borderId="0" xfId="0" applyNumberFormat="1" applyFont="1" applyFill="1"/>
    <xf numFmtId="174" fontId="9" fillId="29" borderId="0" xfId="1" applyNumberFormat="1" applyFont="1" applyFill="1" applyBorder="1" applyAlignment="1">
      <alignment horizontal="center" vertical="center" wrapText="1"/>
    </xf>
    <xf numFmtId="174" fontId="9" fillId="29" borderId="0" xfId="1" applyNumberFormat="1" applyFont="1" applyFill="1" applyAlignment="1">
      <alignment horizontal="center"/>
    </xf>
    <xf numFmtId="0" fontId="10" fillId="29" borderId="2" xfId="0" applyFont="1" applyFill="1" applyBorder="1" applyAlignment="1">
      <alignment horizontal="center" vertical="center" wrapText="1"/>
    </xf>
    <xf numFmtId="43" fontId="10" fillId="28" borderId="4" xfId="0" applyNumberFormat="1" applyFont="1" applyFill="1" applyBorder="1"/>
    <xf numFmtId="43" fontId="10" fillId="29" borderId="21" xfId="1" applyFont="1" applyFill="1" applyBorder="1" applyAlignment="1">
      <alignment horizontal="center"/>
    </xf>
    <xf numFmtId="43" fontId="10" fillId="29" borderId="39" xfId="1" applyFont="1" applyFill="1" applyBorder="1" applyAlignment="1">
      <alignment horizontal="center" vertical="center" wrapText="1"/>
    </xf>
    <xf numFmtId="0" fontId="10" fillId="29" borderId="29" xfId="0" applyFont="1" applyFill="1" applyBorder="1" applyAlignment="1">
      <alignment horizontal="center" vertical="center" wrapText="1"/>
    </xf>
    <xf numFmtId="164" fontId="10" fillId="29" borderId="10" xfId="1" applyNumberFormat="1" applyFont="1" applyFill="1" applyBorder="1" applyAlignment="1">
      <alignment vertical="center"/>
    </xf>
    <xf numFmtId="165" fontId="10" fillId="29" borderId="10" xfId="1" applyNumberFormat="1" applyFont="1" applyFill="1" applyBorder="1" applyAlignment="1">
      <alignment vertical="center"/>
    </xf>
    <xf numFmtId="43" fontId="10" fillId="29" borderId="10" xfId="1" applyFont="1" applyFill="1" applyBorder="1" applyAlignment="1">
      <alignment vertical="center"/>
    </xf>
    <xf numFmtId="43" fontId="9" fillId="28" borderId="10" xfId="1" applyFont="1" applyFill="1" applyBorder="1" applyAlignment="1">
      <alignment vertical="center"/>
    </xf>
    <xf numFmtId="43" fontId="10" fillId="28" borderId="10" xfId="1" applyFont="1" applyFill="1" applyBorder="1" applyAlignment="1">
      <alignment vertical="center"/>
    </xf>
    <xf numFmtId="44" fontId="10" fillId="29" borderId="0" xfId="0" applyNumberFormat="1" applyFont="1" applyFill="1" applyAlignment="1">
      <alignment vertical="center"/>
    </xf>
    <xf numFmtId="0" fontId="10" fillId="29" borderId="0" xfId="0" applyFont="1" applyFill="1" applyAlignment="1">
      <alignment horizontal="center" vertical="center" wrapText="1"/>
    </xf>
    <xf numFmtId="175" fontId="3" fillId="29" borderId="0" xfId="0" applyNumberFormat="1" applyFont="1" applyFill="1"/>
    <xf numFmtId="164" fontId="4" fillId="29" borderId="4" xfId="0" applyNumberFormat="1" applyFont="1" applyFill="1" applyBorder="1"/>
    <xf numFmtId="43" fontId="4" fillId="29" borderId="4" xfId="0" applyNumberFormat="1" applyFont="1" applyFill="1" applyBorder="1"/>
    <xf numFmtId="43" fontId="4" fillId="28" borderId="0" xfId="0" applyNumberFormat="1" applyFont="1" applyFill="1"/>
    <xf numFmtId="165" fontId="4" fillId="28" borderId="0" xfId="1" applyNumberFormat="1" applyFont="1" applyFill="1"/>
    <xf numFmtId="0" fontId="3" fillId="28" borderId="0" xfId="0" applyFont="1" applyFill="1"/>
    <xf numFmtId="43" fontId="3" fillId="28" borderId="0" xfId="0" applyNumberFormat="1" applyFont="1" applyFill="1" applyAlignment="1">
      <alignment horizontal="center"/>
    </xf>
    <xf numFmtId="43" fontId="3" fillId="28" borderId="10" xfId="1" applyFont="1" applyFill="1" applyBorder="1" applyAlignment="1">
      <alignment vertical="center"/>
    </xf>
    <xf numFmtId="164" fontId="10" fillId="29" borderId="4" xfId="1" applyNumberFormat="1" applyFont="1" applyFill="1" applyBorder="1"/>
    <xf numFmtId="178" fontId="10" fillId="29" borderId="4" xfId="1" applyNumberFormat="1" applyFont="1" applyFill="1" applyBorder="1"/>
    <xf numFmtId="43" fontId="10" fillId="29" borderId="4" xfId="1" applyFont="1" applyFill="1" applyBorder="1"/>
    <xf numFmtId="165" fontId="10" fillId="29" borderId="4" xfId="1" applyNumberFormat="1" applyFont="1" applyFill="1" applyBorder="1"/>
    <xf numFmtId="178" fontId="4" fillId="29" borderId="4" xfId="1" applyNumberFormat="1" applyFont="1" applyFill="1" applyBorder="1"/>
    <xf numFmtId="0" fontId="46" fillId="0" borderId="38" xfId="272" applyFont="1" applyFill="1" applyBorder="1" applyAlignment="1" applyProtection="1">
      <alignment horizontal="left" vertical="center"/>
    </xf>
    <xf numFmtId="43" fontId="9" fillId="3" borderId="8" xfId="1" applyFont="1" applyFill="1" applyBorder="1" applyAlignment="1">
      <alignment vertical="center"/>
    </xf>
    <xf numFmtId="192" fontId="36" fillId="0" borderId="42" xfId="269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91" fontId="41" fillId="0" borderId="10" xfId="267" applyNumberFormat="1" applyFont="1" applyFill="1" applyBorder="1" applyAlignment="1">
      <alignment vertical="center"/>
    </xf>
    <xf numFmtId="187" fontId="9" fillId="3" borderId="4" xfId="1" applyNumberFormat="1" applyFont="1" applyFill="1" applyBorder="1" applyAlignment="1">
      <alignment vertical="center"/>
    </xf>
    <xf numFmtId="192" fontId="9" fillId="3" borderId="0" xfId="269" applyNumberFormat="1" applyFont="1" applyFill="1" applyAlignment="1">
      <alignment vertical="center"/>
    </xf>
    <xf numFmtId="43" fontId="10" fillId="28" borderId="0" xfId="1" applyFont="1" applyFill="1" applyAlignment="1">
      <alignment vertical="center"/>
    </xf>
    <xf numFmtId="164" fontId="9" fillId="3" borderId="10" xfId="1" applyNumberFormat="1" applyFont="1" applyFill="1" applyBorder="1" applyAlignment="1">
      <alignment vertical="center"/>
    </xf>
    <xf numFmtId="0" fontId="10" fillId="29" borderId="30" xfId="0" applyFont="1" applyFill="1" applyBorder="1" applyAlignment="1">
      <alignment horizontal="center" vertical="center"/>
    </xf>
    <xf numFmtId="164" fontId="10" fillId="29" borderId="30" xfId="1" applyNumberFormat="1" applyFont="1" applyFill="1" applyBorder="1" applyAlignment="1">
      <alignment horizontal="center" vertical="center"/>
    </xf>
    <xf numFmtId="43" fontId="10" fillId="29" borderId="30" xfId="1" applyFont="1" applyFill="1" applyBorder="1" applyAlignment="1">
      <alignment horizontal="center" vertical="center"/>
    </xf>
    <xf numFmtId="165" fontId="30" fillId="0" borderId="0" xfId="1" applyNumberFormat="1" applyFont="1" applyFill="1" applyBorder="1" applyAlignment="1">
      <alignment vertical="center"/>
    </xf>
    <xf numFmtId="164" fontId="3" fillId="0" borderId="0" xfId="0" applyNumberFormat="1" applyFont="1" applyAlignment="1">
      <alignment vertical="center"/>
    </xf>
    <xf numFmtId="43" fontId="4" fillId="29" borderId="30" xfId="1" applyFont="1" applyFill="1" applyBorder="1" applyAlignment="1">
      <alignment horizontal="center" vertical="center" wrapText="1"/>
    </xf>
    <xf numFmtId="191" fontId="41" fillId="0" borderId="10" xfId="268" applyNumberFormat="1" applyFont="1" applyFill="1" applyBorder="1"/>
    <xf numFmtId="165" fontId="9" fillId="3" borderId="4" xfId="0" applyNumberFormat="1" applyFont="1" applyFill="1" applyBorder="1" applyAlignment="1">
      <alignment vertical="center"/>
    </xf>
    <xf numFmtId="165" fontId="0" fillId="0" borderId="0" xfId="0" applyNumberFormat="1" applyAlignment="1">
      <alignment horizontal="right" vertical="center"/>
    </xf>
    <xf numFmtId="191" fontId="30" fillId="0" borderId="10" xfId="1" applyNumberFormat="1" applyFont="1" applyFill="1" applyBorder="1" applyAlignment="1">
      <alignment vertical="center"/>
    </xf>
    <xf numFmtId="191" fontId="30" fillId="0" borderId="10" xfId="268" applyNumberFormat="1" applyFont="1" applyFill="1" applyBorder="1"/>
    <xf numFmtId="191" fontId="30" fillId="0" borderId="10" xfId="1" applyNumberFormat="1" applyFont="1" applyFill="1" applyBorder="1"/>
    <xf numFmtId="191" fontId="30" fillId="4" borderId="10" xfId="1" applyNumberFormat="1" applyFont="1" applyFill="1" applyBorder="1"/>
    <xf numFmtId="191" fontId="3" fillId="3" borderId="4" xfId="1" applyNumberFormat="1" applyFont="1" applyFill="1" applyBorder="1" applyAlignment="1">
      <alignment vertical="center"/>
    </xf>
    <xf numFmtId="191" fontId="3" fillId="3" borderId="4" xfId="0" applyNumberFormat="1" applyFont="1" applyFill="1" applyBorder="1" applyAlignment="1">
      <alignment vertical="center"/>
    </xf>
    <xf numFmtId="191" fontId="0" fillId="0" borderId="0" xfId="0" applyNumberFormat="1" applyAlignment="1">
      <alignment horizontal="right" vertical="center"/>
    </xf>
    <xf numFmtId="164" fontId="3" fillId="3" borderId="3" xfId="0" applyNumberFormat="1" applyFont="1" applyFill="1" applyBorder="1" applyAlignment="1">
      <alignment vertical="center"/>
    </xf>
    <xf numFmtId="187" fontId="3" fillId="3" borderId="4" xfId="1" applyNumberFormat="1" applyFont="1" applyFill="1" applyBorder="1"/>
    <xf numFmtId="187" fontId="3" fillId="3" borderId="0" xfId="1" applyNumberFormat="1" applyFont="1" applyFill="1" applyBorder="1"/>
    <xf numFmtId="164" fontId="9" fillId="0" borderId="4" xfId="0" applyNumberFormat="1" applyFont="1" applyBorder="1"/>
    <xf numFmtId="164" fontId="3" fillId="0" borderId="3" xfId="0" applyNumberFormat="1" applyFont="1" applyBorder="1" applyAlignment="1">
      <alignment vertical="center"/>
    </xf>
    <xf numFmtId="183" fontId="9" fillId="3" borderId="0" xfId="269" applyNumberFormat="1" applyFont="1" applyFill="1"/>
    <xf numFmtId="165" fontId="10" fillId="3" borderId="0" xfId="1" applyNumberFormat="1" applyFont="1" applyFill="1"/>
    <xf numFmtId="0" fontId="46" fillId="0" borderId="0" xfId="0" applyFont="1" applyAlignment="1">
      <alignment horizontal="left" vertical="center"/>
    </xf>
    <xf numFmtId="164" fontId="3" fillId="3" borderId="3" xfId="1" applyNumberFormat="1" applyFont="1" applyFill="1" applyBorder="1" applyAlignment="1">
      <alignment horizontal="left" indent="1"/>
    </xf>
    <xf numFmtId="181" fontId="41" fillId="0" borderId="0" xfId="1" applyNumberFormat="1" applyFont="1" applyFill="1" applyBorder="1"/>
    <xf numFmtId="43" fontId="41" fillId="0" borderId="10" xfId="1" applyFont="1" applyFill="1" applyBorder="1" applyAlignment="1">
      <alignment vertical="center"/>
    </xf>
    <xf numFmtId="0" fontId="31" fillId="0" borderId="0" xfId="0" applyFont="1" applyAlignment="1">
      <alignment horizontal="left" vertical="center"/>
    </xf>
    <xf numFmtId="44" fontId="3" fillId="3" borderId="0" xfId="269" applyFont="1" applyFill="1"/>
    <xf numFmtId="0" fontId="0" fillId="19" borderId="0" xfId="0" applyFill="1"/>
    <xf numFmtId="194" fontId="0" fillId="21" borderId="0" xfId="0" applyNumberFormat="1" applyFill="1" applyAlignment="1">
      <alignment horizontal="right" vertical="center"/>
    </xf>
    <xf numFmtId="165" fontId="3" fillId="3" borderId="5" xfId="1" applyNumberFormat="1" applyFont="1" applyFill="1" applyBorder="1" applyAlignment="1">
      <alignment vertical="center"/>
    </xf>
    <xf numFmtId="183" fontId="36" fillId="0" borderId="43" xfId="269" applyNumberFormat="1" applyFont="1" applyFill="1" applyBorder="1" applyAlignment="1">
      <alignment horizontal="center" vertical="center"/>
    </xf>
    <xf numFmtId="189" fontId="9" fillId="0" borderId="4" xfId="1" applyNumberFormat="1" applyFont="1" applyFill="1" applyBorder="1" applyAlignment="1">
      <alignment vertical="center"/>
    </xf>
    <xf numFmtId="0" fontId="3" fillId="3" borderId="8" xfId="0" applyFont="1" applyFill="1" applyBorder="1"/>
    <xf numFmtId="0" fontId="10" fillId="29" borderId="0" xfId="0" applyFont="1" applyFill="1" applyAlignment="1">
      <alignment horizontal="center"/>
    </xf>
    <xf numFmtId="165" fontId="41" fillId="4" borderId="0" xfId="1" applyNumberFormat="1" applyFont="1" applyFill="1" applyBorder="1"/>
    <xf numFmtId="43" fontId="10" fillId="29" borderId="21" xfId="1" applyFont="1" applyFill="1" applyBorder="1" applyAlignment="1">
      <alignment vertical="center" wrapText="1"/>
    </xf>
    <xf numFmtId="164" fontId="9" fillId="13" borderId="0" xfId="1" applyNumberFormat="1" applyFont="1" applyFill="1" applyBorder="1" applyAlignment="1">
      <alignment vertical="center"/>
    </xf>
    <xf numFmtId="164" fontId="9" fillId="13" borderId="0" xfId="1" applyNumberFormat="1" applyFont="1" applyFill="1" applyBorder="1" applyAlignment="1">
      <alignment horizontal="center"/>
    </xf>
    <xf numFmtId="10" fontId="9" fillId="3" borderId="0" xfId="0" applyNumberFormat="1" applyFont="1" applyFill="1"/>
    <xf numFmtId="165" fontId="10" fillId="29" borderId="0" xfId="1" applyNumberFormat="1" applyFont="1" applyFill="1" applyAlignment="1">
      <alignment vertical="center"/>
    </xf>
    <xf numFmtId="43" fontId="3" fillId="11" borderId="4" xfId="0" applyNumberFormat="1" applyFont="1" applyFill="1" applyBorder="1" applyAlignment="1">
      <alignment vertical="center"/>
    </xf>
    <xf numFmtId="164" fontId="3" fillId="11" borderId="0" xfId="0" applyNumberFormat="1" applyFont="1" applyFill="1" applyAlignment="1">
      <alignment vertical="center"/>
    </xf>
    <xf numFmtId="164" fontId="3" fillId="11" borderId="4" xfId="0" applyNumberFormat="1" applyFont="1" applyFill="1" applyBorder="1" applyAlignment="1">
      <alignment vertical="center"/>
    </xf>
    <xf numFmtId="0" fontId="39" fillId="28" borderId="10" xfId="32" applyFont="1" applyFill="1" applyBorder="1" applyAlignment="1">
      <alignment horizontal="center" vertical="center"/>
    </xf>
    <xf numFmtId="43" fontId="39" fillId="28" borderId="10" xfId="1" applyFont="1" applyFill="1" applyBorder="1" applyAlignment="1">
      <alignment horizontal="center" vertical="center"/>
    </xf>
    <xf numFmtId="0" fontId="39" fillId="4" borderId="0" xfId="32" applyFont="1" applyFill="1" applyAlignment="1">
      <alignment vertical="center"/>
    </xf>
    <xf numFmtId="0" fontId="40" fillId="4" borderId="10" xfId="32" applyFont="1" applyFill="1" applyBorder="1" applyAlignment="1">
      <alignment horizontal="center" vertical="center"/>
    </xf>
    <xf numFmtId="0" fontId="40" fillId="4" borderId="10" xfId="32" applyFont="1" applyFill="1" applyBorder="1" applyAlignment="1">
      <alignment vertical="center"/>
    </xf>
    <xf numFmtId="10" fontId="40" fillId="0" borderId="10" xfId="1" applyNumberFormat="1" applyFont="1" applyFill="1" applyBorder="1" applyAlignment="1">
      <alignment horizontal="center" vertical="center"/>
    </xf>
    <xf numFmtId="0" fontId="40" fillId="0" borderId="10" xfId="32" applyFont="1" applyBorder="1" applyAlignment="1">
      <alignment vertical="center"/>
    </xf>
    <xf numFmtId="0" fontId="40" fillId="13" borderId="10" xfId="32" applyFont="1" applyFill="1" applyBorder="1" applyAlignment="1">
      <alignment horizontal="center" vertical="center"/>
    </xf>
    <xf numFmtId="0" fontId="40" fillId="13" borderId="10" xfId="32" applyFont="1" applyFill="1" applyBorder="1" applyAlignment="1">
      <alignment vertical="center"/>
    </xf>
    <xf numFmtId="10" fontId="40" fillId="13" borderId="10" xfId="1" applyNumberFormat="1" applyFont="1" applyFill="1" applyBorder="1" applyAlignment="1">
      <alignment horizontal="center" vertical="center"/>
    </xf>
    <xf numFmtId="10" fontId="40" fillId="4" borderId="10" xfId="1" applyNumberFormat="1" applyFont="1" applyFill="1" applyBorder="1" applyAlignment="1">
      <alignment horizontal="center" vertical="center"/>
    </xf>
    <xf numFmtId="10" fontId="40" fillId="0" borderId="10" xfId="2" applyNumberFormat="1" applyFont="1" applyFill="1" applyBorder="1" applyAlignment="1">
      <alignment horizontal="center" vertical="center"/>
    </xf>
    <xf numFmtId="0" fontId="40" fillId="12" borderId="10" xfId="32" applyFont="1" applyFill="1" applyBorder="1" applyAlignment="1">
      <alignment horizontal="center" vertical="center"/>
    </xf>
    <xf numFmtId="43" fontId="40" fillId="12" borderId="10" xfId="1" applyFont="1" applyFill="1" applyBorder="1" applyAlignment="1">
      <alignment horizontal="center" vertical="center"/>
    </xf>
    <xf numFmtId="10" fontId="40" fillId="4" borderId="10" xfId="2" applyNumberFormat="1" applyFont="1" applyFill="1" applyBorder="1" applyAlignment="1">
      <alignment horizontal="center" vertical="center"/>
    </xf>
    <xf numFmtId="9" fontId="40" fillId="4" borderId="10" xfId="2" applyFont="1" applyFill="1" applyBorder="1" applyAlignment="1">
      <alignment vertical="center"/>
    </xf>
    <xf numFmtId="0" fontId="40" fillId="0" borderId="0" xfId="32" applyFont="1" applyAlignment="1">
      <alignment horizontal="center" vertical="center"/>
    </xf>
    <xf numFmtId="174" fontId="9" fillId="0" borderId="4" xfId="1" applyNumberFormat="1" applyFont="1" applyFill="1" applyBorder="1" applyAlignment="1">
      <alignment vertical="center"/>
    </xf>
    <xf numFmtId="165" fontId="3" fillId="3" borderId="4" xfId="0" applyNumberFormat="1" applyFont="1" applyFill="1" applyBorder="1" applyAlignment="1">
      <alignment vertical="center"/>
    </xf>
    <xf numFmtId="165" fontId="30" fillId="0" borderId="10" xfId="268" applyNumberFormat="1" applyFont="1" applyFill="1" applyBorder="1"/>
    <xf numFmtId="192" fontId="3" fillId="3" borderId="0" xfId="269" applyNumberFormat="1" applyFont="1" applyFill="1" applyAlignment="1">
      <alignment vertical="center"/>
    </xf>
    <xf numFmtId="165" fontId="3" fillId="0" borderId="3" xfId="0" applyNumberFormat="1" applyFont="1" applyBorder="1" applyAlignment="1">
      <alignment horizontal="left"/>
    </xf>
    <xf numFmtId="4" fontId="9" fillId="3" borderId="0" xfId="0" applyNumberFormat="1" applyFont="1" applyFill="1" applyAlignment="1">
      <alignment horizontal="center" vertical="center" wrapText="1"/>
    </xf>
    <xf numFmtId="44" fontId="9" fillId="3" borderId="0" xfId="0" applyNumberFormat="1" applyFont="1" applyFill="1"/>
    <xf numFmtId="178" fontId="10" fillId="29" borderId="2" xfId="0" applyNumberFormat="1" applyFont="1" applyFill="1" applyBorder="1"/>
    <xf numFmtId="0" fontId="9" fillId="11" borderId="3" xfId="0" applyFont="1" applyFill="1" applyBorder="1"/>
    <xf numFmtId="0" fontId="0" fillId="13" borderId="0" xfId="0" applyFill="1" applyAlignment="1">
      <alignment horizontal="left" vertical="center"/>
    </xf>
    <xf numFmtId="10" fontId="40" fillId="0" borderId="10" xfId="1" applyNumberFormat="1" applyFont="1" applyFill="1" applyBorder="1" applyAlignment="1">
      <alignment horizontal="center" vertical="center" wrapText="1"/>
    </xf>
    <xf numFmtId="10" fontId="11" fillId="5" borderId="0" xfId="2" applyNumberFormat="1" applyFont="1" applyFill="1"/>
    <xf numFmtId="164" fontId="3" fillId="0" borderId="3" xfId="1" applyNumberFormat="1" applyFont="1" applyFill="1" applyBorder="1"/>
    <xf numFmtId="43" fontId="3" fillId="0" borderId="3" xfId="0" applyNumberFormat="1" applyFont="1" applyBorder="1"/>
    <xf numFmtId="178" fontId="3" fillId="0" borderId="3" xfId="1" applyNumberFormat="1" applyFont="1" applyFill="1" applyBorder="1" applyAlignment="1">
      <alignment vertical="center"/>
    </xf>
    <xf numFmtId="173" fontId="9" fillId="3" borderId="5" xfId="0" applyNumberFormat="1" applyFont="1" applyFill="1" applyBorder="1" applyAlignment="1">
      <alignment vertical="center"/>
    </xf>
    <xf numFmtId="166" fontId="9" fillId="3" borderId="5" xfId="0" applyNumberFormat="1" applyFont="1" applyFill="1" applyBorder="1" applyAlignment="1">
      <alignment vertical="center"/>
    </xf>
    <xf numFmtId="178" fontId="10" fillId="2" borderId="4" xfId="1" applyNumberFormat="1" applyFont="1" applyFill="1" applyBorder="1"/>
    <xf numFmtId="43" fontId="9" fillId="3" borderId="0" xfId="192" applyFont="1" applyFill="1" applyBorder="1"/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13" borderId="4" xfId="0" applyFont="1" applyFill="1" applyBorder="1"/>
    <xf numFmtId="0" fontId="40" fillId="0" borderId="38" xfId="32" applyFont="1" applyBorder="1" applyAlignment="1">
      <alignment vertical="center"/>
    </xf>
    <xf numFmtId="0" fontId="54" fillId="4" borderId="42" xfId="32" applyFont="1" applyFill="1" applyBorder="1" applyAlignment="1">
      <alignment horizontal="center" vertical="center"/>
    </xf>
    <xf numFmtId="0" fontId="54" fillId="4" borderId="42" xfId="32" applyFont="1" applyFill="1" applyBorder="1" applyAlignment="1">
      <alignment vertical="center"/>
    </xf>
    <xf numFmtId="0" fontId="54" fillId="4" borderId="41" xfId="32" applyFont="1" applyFill="1" applyBorder="1" applyAlignment="1">
      <alignment vertical="center"/>
    </xf>
    <xf numFmtId="0" fontId="54" fillId="0" borderId="42" xfId="32" applyFont="1" applyBorder="1" applyAlignment="1">
      <alignment vertical="center"/>
    </xf>
    <xf numFmtId="0" fontId="54" fillId="4" borderId="41" xfId="32" applyFont="1" applyFill="1" applyBorder="1" applyAlignment="1">
      <alignment horizontal="center" vertical="center"/>
    </xf>
    <xf numFmtId="0" fontId="28" fillId="28" borderId="38" xfId="32" applyFont="1" applyFill="1" applyBorder="1" applyAlignment="1">
      <alignment horizontal="center" vertical="center"/>
    </xf>
    <xf numFmtId="0" fontId="54" fillId="0" borderId="44" xfId="32" applyFont="1" applyBorder="1" applyAlignment="1">
      <alignment vertical="center"/>
    </xf>
    <xf numFmtId="0" fontId="54" fillId="0" borderId="41" xfId="32" applyFont="1" applyBorder="1" applyAlignment="1">
      <alignment vertical="center"/>
    </xf>
    <xf numFmtId="0" fontId="54" fillId="0" borderId="0" xfId="32" applyFont="1" applyAlignment="1">
      <alignment vertical="center"/>
    </xf>
    <xf numFmtId="0" fontId="54" fillId="4" borderId="44" xfId="32" applyFont="1" applyFill="1" applyBorder="1" applyAlignment="1">
      <alignment horizontal="center" vertical="center"/>
    </xf>
    <xf numFmtId="0" fontId="54" fillId="0" borderId="42" xfId="32" applyFont="1" applyBorder="1" applyAlignment="1">
      <alignment horizontal="center" vertical="center"/>
    </xf>
    <xf numFmtId="0" fontId="28" fillId="28" borderId="44" xfId="32" applyFont="1" applyFill="1" applyBorder="1" applyAlignment="1">
      <alignment horizontal="center" vertical="center"/>
    </xf>
    <xf numFmtId="0" fontId="54" fillId="0" borderId="46" xfId="32" applyFont="1" applyBorder="1" applyAlignment="1">
      <alignment vertical="center"/>
    </xf>
    <xf numFmtId="0" fontId="54" fillId="0" borderId="48" xfId="32" applyFont="1" applyBorder="1" applyAlignment="1">
      <alignment vertical="center"/>
    </xf>
    <xf numFmtId="0" fontId="54" fillId="4" borderId="45" xfId="32" applyFont="1" applyFill="1" applyBorder="1" applyAlignment="1">
      <alignment horizontal="center" vertical="center"/>
    </xf>
    <xf numFmtId="0" fontId="54" fillId="4" borderId="49" xfId="32" applyFont="1" applyFill="1" applyBorder="1" applyAlignment="1">
      <alignment vertical="center"/>
    </xf>
    <xf numFmtId="0" fontId="28" fillId="28" borderId="41" xfId="32" applyFont="1" applyFill="1" applyBorder="1" applyAlignment="1">
      <alignment horizontal="center" vertical="center"/>
    </xf>
    <xf numFmtId="0" fontId="54" fillId="4" borderId="38" xfId="32" applyFont="1" applyFill="1" applyBorder="1" applyAlignment="1">
      <alignment horizontal="center" vertical="center"/>
    </xf>
    <xf numFmtId="0" fontId="54" fillId="4" borderId="38" xfId="32" applyFont="1" applyFill="1" applyBorder="1" applyAlignment="1">
      <alignment vertical="center"/>
    </xf>
    <xf numFmtId="0" fontId="59" fillId="21" borderId="0" xfId="0" applyFont="1" applyFill="1" applyAlignment="1">
      <alignment horizontal="left" vertical="center"/>
    </xf>
    <xf numFmtId="0" fontId="31" fillId="21" borderId="0" xfId="0" applyFont="1" applyFill="1" applyAlignment="1">
      <alignment horizontal="left" vertical="center"/>
    </xf>
    <xf numFmtId="0" fontId="60" fillId="0" borderId="0" xfId="0" applyFont="1" applyAlignment="1">
      <alignment horizontal="center" vertical="center"/>
    </xf>
    <xf numFmtId="192" fontId="4" fillId="29" borderId="0" xfId="269" applyNumberFormat="1" applyFont="1" applyFill="1"/>
    <xf numFmtId="183" fontId="4" fillId="29" borderId="0" xfId="269" applyNumberFormat="1" applyFont="1" applyFill="1"/>
    <xf numFmtId="0" fontId="3" fillId="8" borderId="3" xfId="0" applyFont="1" applyFill="1" applyBorder="1"/>
    <xf numFmtId="44" fontId="3" fillId="3" borderId="61" xfId="269" applyFont="1" applyFill="1" applyBorder="1" applyAlignment="1">
      <alignment vertical="center"/>
    </xf>
    <xf numFmtId="44" fontId="4" fillId="29" borderId="4" xfId="269" applyFont="1" applyFill="1" applyBorder="1" applyAlignment="1">
      <alignment vertical="center"/>
    </xf>
    <xf numFmtId="42" fontId="30" fillId="0" borderId="0" xfId="269" applyNumberFormat="1" applyFont="1" applyFill="1" applyBorder="1"/>
    <xf numFmtId="44" fontId="3" fillId="3" borderId="0" xfId="0" applyNumberFormat="1" applyFont="1" applyFill="1" applyAlignment="1">
      <alignment vertical="center"/>
    </xf>
    <xf numFmtId="193" fontId="3" fillId="3" borderId="0" xfId="269" applyNumberFormat="1" applyFont="1" applyFill="1" applyAlignment="1">
      <alignment vertical="center"/>
    </xf>
    <xf numFmtId="165" fontId="16" fillId="3" borderId="0" xfId="1" applyNumberFormat="1" applyFont="1" applyFill="1" applyBorder="1" applyAlignment="1">
      <alignment vertical="center"/>
    </xf>
    <xf numFmtId="43" fontId="4" fillId="29" borderId="31" xfId="1" applyFont="1" applyFill="1" applyBorder="1" applyAlignment="1">
      <alignment horizontal="center" vertical="center" wrapText="1"/>
    </xf>
    <xf numFmtId="43" fontId="3" fillId="0" borderId="19" xfId="1" applyFont="1" applyFill="1" applyBorder="1" applyAlignment="1">
      <alignment vertical="center"/>
    </xf>
    <xf numFmtId="0" fontId="2" fillId="0" borderId="31" xfId="0" applyFont="1" applyBorder="1" applyAlignment="1">
      <alignment vertical="center"/>
    </xf>
    <xf numFmtId="164" fontId="4" fillId="3" borderId="0" xfId="1" applyNumberFormat="1" applyFont="1" applyFill="1" applyAlignment="1">
      <alignment vertical="center"/>
    </xf>
    <xf numFmtId="165" fontId="3" fillId="0" borderId="0" xfId="1" applyNumberFormat="1" applyFont="1" applyFill="1" applyBorder="1"/>
    <xf numFmtId="165" fontId="41" fillId="0" borderId="0" xfId="1" applyNumberFormat="1" applyFont="1" applyFill="1" applyBorder="1" applyAlignment="1">
      <alignment vertical="center"/>
    </xf>
    <xf numFmtId="181" fontId="41" fillId="0" borderId="10" xfId="267" applyNumberFormat="1" applyFont="1" applyFill="1" applyBorder="1" applyAlignment="1">
      <alignment vertical="center"/>
    </xf>
    <xf numFmtId="165" fontId="4" fillId="29" borderId="0" xfId="1" applyNumberFormat="1" applyFont="1" applyFill="1" applyAlignment="1">
      <alignment vertical="center"/>
    </xf>
    <xf numFmtId="0" fontId="31" fillId="21" borderId="0" xfId="273" applyFont="1" applyFill="1" applyAlignment="1" applyProtection="1">
      <alignment horizontal="left" vertical="center"/>
    </xf>
    <xf numFmtId="0" fontId="31" fillId="21" borderId="0" xfId="273" applyNumberFormat="1" applyFont="1" applyFill="1" applyAlignment="1" applyProtection="1">
      <alignment horizontal="center" vertical="center"/>
    </xf>
    <xf numFmtId="49" fontId="7" fillId="0" borderId="0" xfId="3" applyNumberFormat="1" applyFont="1" applyAlignment="1">
      <alignment horizontal="center" vertical="center"/>
    </xf>
    <xf numFmtId="0" fontId="31" fillId="21" borderId="0" xfId="273" applyNumberFormat="1" applyFont="1" applyFill="1" applyAlignment="1" applyProtection="1">
      <alignment horizontal="right" vertical="center"/>
    </xf>
    <xf numFmtId="2" fontId="40" fillId="0" borderId="38" xfId="32" applyNumberFormat="1" applyFont="1" applyBorder="1" applyAlignment="1">
      <alignment horizontal="right" vertical="center"/>
    </xf>
    <xf numFmtId="178" fontId="10" fillId="29" borderId="4" xfId="1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4" fillId="2" borderId="0" xfId="1" applyNumberFormat="1" applyFont="1" applyFill="1" applyBorder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174" fontId="9" fillId="3" borderId="4" xfId="1" applyNumberFormat="1" applyFont="1" applyFill="1" applyBorder="1"/>
    <xf numFmtId="0" fontId="10" fillId="2" borderId="2" xfId="0" applyFont="1" applyFill="1" applyBorder="1" applyAlignment="1">
      <alignment vertical="center"/>
    </xf>
    <xf numFmtId="164" fontId="10" fillId="2" borderId="2" xfId="0" applyNumberFormat="1" applyFont="1" applyFill="1" applyBorder="1" applyAlignment="1">
      <alignment vertical="center"/>
    </xf>
    <xf numFmtId="178" fontId="10" fillId="2" borderId="2" xfId="0" applyNumberFormat="1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2" fontId="3" fillId="3" borderId="0" xfId="0" applyNumberFormat="1" applyFont="1" applyFill="1" applyAlignment="1">
      <alignment horizontal="center" vertical="center"/>
    </xf>
    <xf numFmtId="44" fontId="4" fillId="3" borderId="0" xfId="269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3" borderId="52" xfId="0" applyFont="1" applyFill="1" applyBorder="1" applyAlignment="1">
      <alignment horizontal="center" vertical="center"/>
    </xf>
    <xf numFmtId="190" fontId="3" fillId="3" borderId="0" xfId="0" applyNumberFormat="1" applyFont="1" applyFill="1" applyAlignment="1">
      <alignment vertical="center"/>
    </xf>
    <xf numFmtId="0" fontId="3" fillId="3" borderId="53" xfId="0" applyFont="1" applyFill="1" applyBorder="1" applyAlignment="1">
      <alignment horizontal="center" vertical="center"/>
    </xf>
    <xf numFmtId="166" fontId="3" fillId="3" borderId="53" xfId="0" applyNumberFormat="1" applyFont="1" applyFill="1" applyBorder="1" applyAlignment="1">
      <alignment horizontal="center" vertical="center"/>
    </xf>
    <xf numFmtId="179" fontId="3" fillId="3" borderId="0" xfId="0" applyNumberFormat="1" applyFont="1" applyFill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164" fontId="4" fillId="2" borderId="36" xfId="1" applyNumberFormat="1" applyFont="1" applyFill="1" applyBorder="1" applyAlignment="1">
      <alignment horizontal="center" vertical="center"/>
    </xf>
    <xf numFmtId="43" fontId="4" fillId="2" borderId="36" xfId="1" applyFont="1" applyFill="1" applyBorder="1" applyAlignment="1">
      <alignment horizontal="center" vertical="center"/>
    </xf>
    <xf numFmtId="165" fontId="7" fillId="3" borderId="0" xfId="0" applyNumberFormat="1" applyFont="1" applyFill="1" applyAlignment="1">
      <alignment vertical="center"/>
    </xf>
    <xf numFmtId="41" fontId="7" fillId="3" borderId="0" xfId="274" applyFont="1" applyFill="1" applyBorder="1" applyAlignment="1">
      <alignment horizontal="center" vertical="center"/>
    </xf>
    <xf numFmtId="41" fontId="7" fillId="3" borderId="0" xfId="274" applyFont="1" applyFill="1" applyBorder="1" applyAlignment="1">
      <alignment horizontal="center"/>
    </xf>
    <xf numFmtId="172" fontId="16" fillId="3" borderId="0" xfId="2" applyNumberFormat="1" applyFont="1" applyFill="1" applyBorder="1"/>
    <xf numFmtId="41" fontId="16" fillId="3" borderId="0" xfId="274" applyFont="1" applyFill="1" applyBorder="1" applyAlignment="1">
      <alignment horizontal="center"/>
    </xf>
    <xf numFmtId="41" fontId="15" fillId="3" borderId="0" xfId="274" applyFont="1" applyFill="1" applyBorder="1" applyAlignment="1">
      <alignment horizontal="center"/>
    </xf>
    <xf numFmtId="41" fontId="19" fillId="3" borderId="0" xfId="274" applyFont="1" applyFill="1" applyBorder="1" applyAlignment="1">
      <alignment horizontal="center"/>
    </xf>
    <xf numFmtId="41" fontId="3" fillId="3" borderId="0" xfId="274" applyFont="1" applyFill="1" applyBorder="1" applyAlignment="1">
      <alignment horizont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right"/>
    </xf>
    <xf numFmtId="0" fontId="36" fillId="13" borderId="38" xfId="0" applyFont="1" applyFill="1" applyBorder="1" applyAlignment="1">
      <alignment horizontal="left" vertical="center"/>
    </xf>
    <xf numFmtId="2" fontId="40" fillId="0" borderId="38" xfId="32" applyNumberFormat="1" applyFont="1" applyBorder="1" applyAlignment="1">
      <alignment vertical="center"/>
    </xf>
    <xf numFmtId="43" fontId="58" fillId="0" borderId="38" xfId="1" applyFont="1" applyFill="1" applyBorder="1" applyAlignment="1">
      <alignment horizontal="center" vertical="center"/>
    </xf>
    <xf numFmtId="0" fontId="40" fillId="0" borderId="38" xfId="32" applyFont="1" applyBorder="1" applyAlignment="1">
      <alignment horizontal="right" vertical="center"/>
    </xf>
    <xf numFmtId="195" fontId="10" fillId="29" borderId="4" xfId="0" applyNumberFormat="1" applyFont="1" applyFill="1" applyBorder="1" applyAlignment="1">
      <alignment vertical="center"/>
    </xf>
    <xf numFmtId="183" fontId="3" fillId="3" borderId="0" xfId="0" applyNumberFormat="1" applyFont="1" applyFill="1"/>
    <xf numFmtId="183" fontId="30" fillId="4" borderId="10" xfId="269" applyNumberFormat="1" applyFont="1" applyFill="1" applyBorder="1" applyAlignment="1">
      <alignment vertical="center"/>
    </xf>
    <xf numFmtId="164" fontId="30" fillId="4" borderId="10" xfId="1" applyNumberFormat="1" applyFont="1" applyFill="1" applyBorder="1" applyAlignment="1">
      <alignment vertical="center"/>
    </xf>
    <xf numFmtId="0" fontId="62" fillId="0" borderId="0" xfId="0" applyFont="1"/>
    <xf numFmtId="0" fontId="54" fillId="0" borderId="44" xfId="32" applyFont="1" applyBorder="1" applyAlignment="1">
      <alignment horizontal="center" vertical="center"/>
    </xf>
    <xf numFmtId="43" fontId="10" fillId="11" borderId="2" xfId="1" applyFont="1" applyFill="1" applyBorder="1" applyAlignment="1">
      <alignment horizontal="center" vertical="center" wrapText="1"/>
    </xf>
    <xf numFmtId="0" fontId="9" fillId="4" borderId="4" xfId="0" applyFont="1" applyFill="1" applyBorder="1"/>
    <xf numFmtId="43" fontId="9" fillId="4" borderId="4" xfId="1" applyFont="1" applyFill="1" applyBorder="1"/>
    <xf numFmtId="0" fontId="12" fillId="0" borderId="0" xfId="0" applyFont="1" applyAlignment="1">
      <alignment horizontal="center" vertical="center"/>
    </xf>
    <xf numFmtId="0" fontId="9" fillId="4" borderId="0" xfId="0" applyFont="1" applyFill="1"/>
    <xf numFmtId="164" fontId="9" fillId="0" borderId="0" xfId="1" applyNumberFormat="1" applyFont="1" applyFill="1" applyBorder="1"/>
    <xf numFmtId="43" fontId="9" fillId="4" borderId="0" xfId="1" applyFont="1" applyFill="1" applyBorder="1"/>
    <xf numFmtId="43" fontId="10" fillId="5" borderId="0" xfId="0" applyNumberFormat="1" applyFont="1" applyFill="1" applyAlignment="1">
      <alignment vertical="center"/>
    </xf>
    <xf numFmtId="2" fontId="9" fillId="3" borderId="0" xfId="0" applyNumberFormat="1" applyFont="1" applyFill="1"/>
    <xf numFmtId="44" fontId="10" fillId="3" borderId="0" xfId="269" applyFont="1" applyFill="1"/>
    <xf numFmtId="0" fontId="10" fillId="29" borderId="3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3" fontId="9" fillId="3" borderId="19" xfId="1" applyFont="1" applyFill="1" applyBorder="1"/>
    <xf numFmtId="178" fontId="9" fillId="0" borderId="0" xfId="1" applyNumberFormat="1" applyFont="1" applyFill="1" applyBorder="1"/>
    <xf numFmtId="190" fontId="9" fillId="3" borderId="0" xfId="0" applyNumberFormat="1" applyFont="1" applyFill="1"/>
    <xf numFmtId="180" fontId="0" fillId="0" borderId="0" xfId="0" applyNumberFormat="1" applyAlignment="1">
      <alignment horizontal="right" vertical="center"/>
    </xf>
    <xf numFmtId="43" fontId="10" fillId="29" borderId="36" xfId="1" applyFont="1" applyFill="1" applyBorder="1" applyAlignment="1">
      <alignment horizontal="center"/>
    </xf>
    <xf numFmtId="43" fontId="10" fillId="28" borderId="36" xfId="1" applyFont="1" applyFill="1" applyBorder="1" applyAlignment="1">
      <alignment horizontal="center"/>
    </xf>
    <xf numFmtId="165" fontId="9" fillId="3" borderId="0" xfId="1" applyNumberFormat="1" applyFont="1" applyFill="1" applyBorder="1" applyAlignment="1"/>
    <xf numFmtId="44" fontId="9" fillId="3" borderId="0" xfId="269" applyFont="1" applyFill="1" applyAlignment="1">
      <alignment horizontal="center" vertical="center"/>
    </xf>
    <xf numFmtId="0" fontId="41" fillId="0" borderId="0" xfId="0" applyFont="1" applyAlignment="1">
      <alignment horizontal="left" vertical="center"/>
    </xf>
    <xf numFmtId="181" fontId="30" fillId="0" borderId="0" xfId="1" applyNumberFormat="1" applyFont="1" applyFill="1" applyBorder="1"/>
    <xf numFmtId="178" fontId="30" fillId="0" borderId="10" xfId="1" applyNumberFormat="1" applyFont="1" applyFill="1" applyBorder="1" applyAlignment="1">
      <alignment vertical="center"/>
    </xf>
    <xf numFmtId="174" fontId="9" fillId="3" borderId="0" xfId="1" applyNumberFormat="1" applyFont="1" applyFill="1"/>
    <xf numFmtId="183" fontId="41" fillId="0" borderId="10" xfId="269" applyNumberFormat="1" applyFont="1" applyFill="1" applyBorder="1" applyAlignment="1">
      <alignment vertical="center"/>
    </xf>
    <xf numFmtId="0" fontId="46" fillId="21" borderId="0" xfId="0" applyFont="1" applyFill="1" applyAlignment="1">
      <alignment horizontal="left" vertical="center"/>
    </xf>
    <xf numFmtId="0" fontId="49" fillId="3" borderId="4" xfId="0" applyFont="1" applyFill="1" applyBorder="1" applyAlignment="1">
      <alignment horizontal="center" vertical="center"/>
    </xf>
    <xf numFmtId="0" fontId="49" fillId="0" borderId="4" xfId="0" applyFont="1" applyBorder="1"/>
    <xf numFmtId="173" fontId="49" fillId="0" borderId="4" xfId="0" applyNumberFormat="1" applyFont="1" applyBorder="1"/>
    <xf numFmtId="164" fontId="49" fillId="0" borderId="10" xfId="1" applyNumberFormat="1" applyFont="1" applyFill="1" applyBorder="1" applyAlignment="1">
      <alignment vertical="center"/>
    </xf>
    <xf numFmtId="165" fontId="63" fillId="0" borderId="10" xfId="1" applyNumberFormat="1" applyFont="1" applyFill="1" applyBorder="1" applyAlignment="1">
      <alignment vertical="center"/>
    </xf>
    <xf numFmtId="43" fontId="54" fillId="3" borderId="10" xfId="1" applyFont="1" applyFill="1" applyBorder="1" applyAlignment="1">
      <alignment horizontal="left" vertical="center"/>
    </xf>
    <xf numFmtId="43" fontId="49" fillId="0" borderId="10" xfId="1" applyFont="1" applyFill="1" applyBorder="1" applyAlignment="1">
      <alignment vertical="center"/>
    </xf>
    <xf numFmtId="164" fontId="49" fillId="3" borderId="0" xfId="1" applyNumberFormat="1" applyFont="1" applyFill="1" applyAlignment="1">
      <alignment vertical="center"/>
    </xf>
    <xf numFmtId="179" fontId="49" fillId="3" borderId="0" xfId="0" applyNumberFormat="1" applyFont="1" applyFill="1" applyAlignment="1">
      <alignment vertical="center"/>
    </xf>
    <xf numFmtId="183" fontId="49" fillId="3" borderId="0" xfId="269" applyNumberFormat="1" applyFont="1" applyFill="1" applyAlignment="1">
      <alignment vertical="center"/>
    </xf>
    <xf numFmtId="165" fontId="49" fillId="3" borderId="4" xfId="1" applyNumberFormat="1" applyFont="1" applyFill="1" applyBorder="1" applyAlignment="1">
      <alignment vertical="center"/>
    </xf>
    <xf numFmtId="165" fontId="63" fillId="4" borderId="10" xfId="1" applyNumberFormat="1" applyFont="1" applyFill="1" applyBorder="1"/>
    <xf numFmtId="43" fontId="49" fillId="3" borderId="4" xfId="0" applyNumberFormat="1" applyFont="1" applyFill="1" applyBorder="1" applyAlignment="1">
      <alignment vertical="center"/>
    </xf>
    <xf numFmtId="180" fontId="64" fillId="21" borderId="0" xfId="0" applyNumberFormat="1" applyFont="1" applyFill="1" applyAlignment="1">
      <alignment horizontal="right" vertical="center"/>
    </xf>
    <xf numFmtId="165" fontId="63" fillId="0" borderId="10" xfId="1" applyNumberFormat="1" applyFont="1" applyFill="1" applyBorder="1"/>
    <xf numFmtId="43" fontId="49" fillId="3" borderId="4" xfId="1" applyFont="1" applyFill="1" applyBorder="1"/>
    <xf numFmtId="43" fontId="3" fillId="3" borderId="0" xfId="192" applyFont="1" applyFill="1" applyBorder="1"/>
    <xf numFmtId="43" fontId="9" fillId="13" borderId="4" xfId="0" applyNumberFormat="1" applyFont="1" applyFill="1" applyBorder="1"/>
    <xf numFmtId="0" fontId="4" fillId="29" borderId="4" xfId="0" applyFont="1" applyFill="1" applyBorder="1" applyAlignment="1">
      <alignment horizontal="center" vertical="center"/>
    </xf>
    <xf numFmtId="0" fontId="4" fillId="29" borderId="7" xfId="0" applyFont="1" applyFill="1" applyBorder="1" applyAlignment="1">
      <alignment horizontal="center" vertical="center"/>
    </xf>
    <xf numFmtId="0" fontId="4" fillId="29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29" borderId="2" xfId="0" applyFont="1" applyFill="1" applyBorder="1" applyAlignment="1">
      <alignment horizontal="left" vertical="center"/>
    </xf>
    <xf numFmtId="0" fontId="2" fillId="29" borderId="16" xfId="0" applyFont="1" applyFill="1" applyBorder="1" applyAlignment="1">
      <alignment horizontal="center" vertical="center"/>
    </xf>
    <xf numFmtId="0" fontId="2" fillId="29" borderId="17" xfId="0" applyFont="1" applyFill="1" applyBorder="1" applyAlignment="1">
      <alignment horizontal="center" vertical="center"/>
    </xf>
    <xf numFmtId="0" fontId="2" fillId="29" borderId="2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9" fillId="28" borderId="43" xfId="32" applyFont="1" applyFill="1" applyBorder="1" applyAlignment="1">
      <alignment horizontal="center" vertical="center"/>
    </xf>
    <xf numFmtId="0" fontId="39" fillId="28" borderId="0" xfId="32" applyFont="1" applyFill="1" applyAlignment="1">
      <alignment horizontal="center" vertical="center"/>
    </xf>
    <xf numFmtId="0" fontId="39" fillId="28" borderId="45" xfId="32" applyFont="1" applyFill="1" applyBorder="1" applyAlignment="1">
      <alignment horizontal="center" vertical="center"/>
    </xf>
    <xf numFmtId="0" fontId="39" fillId="28" borderId="47" xfId="32" applyFont="1" applyFill="1" applyBorder="1" applyAlignment="1">
      <alignment horizontal="center" vertical="center"/>
    </xf>
    <xf numFmtId="165" fontId="4" fillId="3" borderId="4" xfId="1" applyNumberFormat="1" applyFont="1" applyFill="1" applyBorder="1" applyAlignment="1">
      <alignment horizontal="center"/>
    </xf>
    <xf numFmtId="0" fontId="4" fillId="29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43" fontId="4" fillId="29" borderId="21" xfId="1" applyFont="1" applyFill="1" applyBorder="1" applyAlignment="1">
      <alignment horizontal="left"/>
    </xf>
    <xf numFmtId="0" fontId="2" fillId="29" borderId="54" xfId="0" applyFont="1" applyFill="1" applyBorder="1" applyAlignment="1">
      <alignment horizontal="center"/>
    </xf>
    <xf numFmtId="0" fontId="2" fillId="29" borderId="15" xfId="0" applyFont="1" applyFill="1" applyBorder="1" applyAlignment="1">
      <alignment horizontal="center"/>
    </xf>
    <xf numFmtId="165" fontId="3" fillId="3" borderId="4" xfId="1" applyNumberFormat="1" applyFont="1" applyFill="1" applyBorder="1" applyAlignment="1">
      <alignment horizontal="center"/>
    </xf>
    <xf numFmtId="0" fontId="2" fillId="29" borderId="2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29" borderId="7" xfId="0" applyFont="1" applyFill="1" applyBorder="1" applyAlignment="1">
      <alignment horizontal="center"/>
    </xf>
    <xf numFmtId="0" fontId="4" fillId="29" borderId="8" xfId="0" applyFont="1" applyFill="1" applyBorder="1" applyAlignment="1">
      <alignment horizontal="center"/>
    </xf>
    <xf numFmtId="0" fontId="2" fillId="29" borderId="14" xfId="0" applyFont="1" applyFill="1" applyBorder="1" applyAlignment="1">
      <alignment horizontal="center"/>
    </xf>
    <xf numFmtId="0" fontId="2" fillId="29" borderId="9" xfId="0" applyFont="1" applyFill="1" applyBorder="1" applyAlignment="1">
      <alignment horizontal="center"/>
    </xf>
    <xf numFmtId="0" fontId="2" fillId="29" borderId="0" xfId="0" applyFont="1" applyFill="1" applyAlignment="1">
      <alignment horizontal="center"/>
    </xf>
    <xf numFmtId="43" fontId="4" fillId="29" borderId="4" xfId="1" applyFont="1" applyFill="1" applyBorder="1" applyAlignment="1">
      <alignment horizontal="left"/>
    </xf>
    <xf numFmtId="43" fontId="4" fillId="29" borderId="4" xfId="1" applyFont="1" applyFill="1" applyBorder="1" applyAlignment="1">
      <alignment horizontal="left" vertical="center"/>
    </xf>
    <xf numFmtId="0" fontId="2" fillId="29" borderId="14" xfId="0" applyFont="1" applyFill="1" applyBorder="1" applyAlignment="1">
      <alignment horizontal="center" vertical="center"/>
    </xf>
    <xf numFmtId="0" fontId="2" fillId="29" borderId="15" xfId="0" applyFont="1" applyFill="1" applyBorder="1" applyAlignment="1">
      <alignment horizontal="center" vertical="center"/>
    </xf>
    <xf numFmtId="0" fontId="2" fillId="29" borderId="9" xfId="0" applyFont="1" applyFill="1" applyBorder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4" fillId="29" borderId="21" xfId="0" applyFont="1" applyFill="1" applyBorder="1" applyAlignment="1">
      <alignment horizontal="left"/>
    </xf>
    <xf numFmtId="0" fontId="2" fillId="29" borderId="16" xfId="0" applyFont="1" applyFill="1" applyBorder="1" applyAlignment="1">
      <alignment horizontal="center"/>
    </xf>
    <xf numFmtId="0" fontId="2" fillId="29" borderId="17" xfId="0" applyFont="1" applyFill="1" applyBorder="1" applyAlignment="1">
      <alignment horizontal="center"/>
    </xf>
    <xf numFmtId="0" fontId="2" fillId="29" borderId="24" xfId="0" applyFont="1" applyFill="1" applyBorder="1" applyAlignment="1">
      <alignment horizontal="center"/>
    </xf>
    <xf numFmtId="0" fontId="2" fillId="29" borderId="25" xfId="0" applyFont="1" applyFill="1" applyBorder="1" applyAlignment="1">
      <alignment horizontal="center"/>
    </xf>
    <xf numFmtId="0" fontId="52" fillId="3" borderId="0" xfId="0" applyFont="1" applyFill="1" applyAlignment="1">
      <alignment horizontal="center" vertical="center" wrapText="1"/>
    </xf>
    <xf numFmtId="0" fontId="2" fillId="29" borderId="2" xfId="0" applyFont="1" applyFill="1" applyBorder="1" applyAlignment="1">
      <alignment horizontal="center"/>
    </xf>
    <xf numFmtId="0" fontId="10" fillId="29" borderId="7" xfId="0" applyFont="1" applyFill="1" applyBorder="1" applyAlignment="1">
      <alignment horizontal="center" vertical="center"/>
    </xf>
    <xf numFmtId="0" fontId="10" fillId="29" borderId="8" xfId="0" applyFont="1" applyFill="1" applyBorder="1" applyAlignment="1">
      <alignment horizontal="center" vertical="center"/>
    </xf>
    <xf numFmtId="0" fontId="10" fillId="29" borderId="4" xfId="0" applyFont="1" applyFill="1" applyBorder="1" applyAlignment="1">
      <alignment horizontal="center" vertical="center"/>
    </xf>
    <xf numFmtId="43" fontId="10" fillId="29" borderId="4" xfId="1" applyFont="1" applyFill="1" applyBorder="1" applyAlignment="1">
      <alignment horizontal="left" vertical="center"/>
    </xf>
    <xf numFmtId="0" fontId="51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43" fontId="45" fillId="29" borderId="4" xfId="1" applyFont="1" applyFill="1" applyBorder="1" applyAlignment="1">
      <alignment horizontal="left" vertical="center"/>
    </xf>
    <xf numFmtId="0" fontId="10" fillId="29" borderId="14" xfId="0" applyFont="1" applyFill="1" applyBorder="1" applyAlignment="1">
      <alignment horizontal="center" vertical="center"/>
    </xf>
    <xf numFmtId="0" fontId="10" fillId="29" borderId="15" xfId="0" applyFont="1" applyFill="1" applyBorder="1" applyAlignment="1">
      <alignment horizontal="center" vertical="center"/>
    </xf>
    <xf numFmtId="0" fontId="10" fillId="29" borderId="9" xfId="0" applyFont="1" applyFill="1" applyBorder="1" applyAlignment="1">
      <alignment horizontal="center" vertical="center"/>
    </xf>
    <xf numFmtId="0" fontId="10" fillId="29" borderId="0" xfId="0" applyFont="1" applyFill="1" applyAlignment="1">
      <alignment horizontal="center" vertical="center"/>
    </xf>
    <xf numFmtId="0" fontId="50" fillId="3" borderId="0" xfId="0" applyFont="1" applyFill="1" applyAlignment="1">
      <alignment horizontal="center" vertical="center"/>
    </xf>
    <xf numFmtId="0" fontId="2" fillId="29" borderId="31" xfId="0" applyFont="1" applyFill="1" applyBorder="1" applyAlignment="1">
      <alignment horizontal="center" vertical="center"/>
    </xf>
    <xf numFmtId="0" fontId="2" fillId="29" borderId="32" xfId="0" applyFont="1" applyFill="1" applyBorder="1" applyAlignment="1">
      <alignment horizontal="center" vertical="center"/>
    </xf>
    <xf numFmtId="0" fontId="2" fillId="29" borderId="33" xfId="0" applyFont="1" applyFill="1" applyBorder="1" applyAlignment="1">
      <alignment horizontal="center" vertical="center"/>
    </xf>
    <xf numFmtId="43" fontId="4" fillId="2" borderId="4" xfId="1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4" fillId="3" borderId="4" xfId="1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3" fillId="3" borderId="63" xfId="0" applyFont="1" applyFill="1" applyBorder="1" applyAlignment="1">
      <alignment horizontal="center" vertical="center" wrapText="1"/>
    </xf>
    <xf numFmtId="0" fontId="2" fillId="29" borderId="20" xfId="0" applyFont="1" applyFill="1" applyBorder="1" applyAlignment="1">
      <alignment horizontal="center"/>
    </xf>
    <xf numFmtId="0" fontId="2" fillId="29" borderId="1" xfId="0" applyFont="1" applyFill="1" applyBorder="1" applyAlignment="1">
      <alignment horizontal="center"/>
    </xf>
    <xf numFmtId="0" fontId="10" fillId="29" borderId="4" xfId="0" applyFont="1" applyFill="1" applyBorder="1" applyAlignment="1">
      <alignment horizontal="center"/>
    </xf>
    <xf numFmtId="0" fontId="10" fillId="29" borderId="7" xfId="0" applyFont="1" applyFill="1" applyBorder="1" applyAlignment="1">
      <alignment horizontal="center"/>
    </xf>
    <xf numFmtId="0" fontId="10" fillId="29" borderId="8" xfId="0" applyFont="1" applyFill="1" applyBorder="1" applyAlignment="1">
      <alignment horizontal="center"/>
    </xf>
    <xf numFmtId="0" fontId="2" fillId="29" borderId="20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left" vertical="center"/>
    </xf>
    <xf numFmtId="43" fontId="4" fillId="2" borderId="8" xfId="1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43" fontId="10" fillId="29" borderId="21" xfId="1" applyFont="1" applyFill="1" applyBorder="1" applyAlignment="1">
      <alignment horizontal="left" vertical="center"/>
    </xf>
    <xf numFmtId="0" fontId="2" fillId="29" borderId="29" xfId="0" applyFont="1" applyFill="1" applyBorder="1" applyAlignment="1">
      <alignment horizontal="center" vertical="center"/>
    </xf>
    <xf numFmtId="43" fontId="4" fillId="29" borderId="2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165" fontId="4" fillId="3" borderId="7" xfId="1" applyNumberFormat="1" applyFont="1" applyFill="1" applyBorder="1" applyAlignment="1">
      <alignment horizontal="center"/>
    </xf>
    <xf numFmtId="165" fontId="4" fillId="3" borderId="8" xfId="1" applyNumberFormat="1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29" borderId="55" xfId="0" applyFont="1" applyFill="1" applyBorder="1" applyAlignment="1">
      <alignment horizontal="center" vertical="center"/>
    </xf>
    <xf numFmtId="0" fontId="4" fillId="29" borderId="56" xfId="0" applyFont="1" applyFill="1" applyBorder="1" applyAlignment="1">
      <alignment horizontal="center" vertical="center"/>
    </xf>
    <xf numFmtId="0" fontId="4" fillId="29" borderId="31" xfId="0" applyFont="1" applyFill="1" applyBorder="1" applyAlignment="1">
      <alignment horizontal="center" vertical="center"/>
    </xf>
    <xf numFmtId="0" fontId="4" fillId="29" borderId="3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29" borderId="2" xfId="0" applyFont="1" applyFill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29" borderId="2" xfId="0" applyFont="1" applyFill="1" applyBorder="1" applyAlignment="1">
      <alignment horizontal="left"/>
    </xf>
    <xf numFmtId="0" fontId="10" fillId="29" borderId="16" xfId="0" applyFont="1" applyFill="1" applyBorder="1" applyAlignment="1">
      <alignment horizontal="center"/>
    </xf>
    <xf numFmtId="0" fontId="10" fillId="29" borderId="17" xfId="0" applyFont="1" applyFill="1" applyBorder="1" applyAlignment="1">
      <alignment horizontal="center"/>
    </xf>
    <xf numFmtId="0" fontId="10" fillId="29" borderId="9" xfId="0" applyFont="1" applyFill="1" applyBorder="1" applyAlignment="1">
      <alignment horizontal="center"/>
    </xf>
    <xf numFmtId="0" fontId="10" fillId="29" borderId="0" xfId="0" applyFont="1" applyFill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0" fillId="29" borderId="2" xfId="0" applyFont="1" applyFill="1" applyBorder="1" applyAlignment="1">
      <alignment horizontal="left" vertical="center"/>
    </xf>
    <xf numFmtId="0" fontId="10" fillId="29" borderId="16" xfId="0" applyFont="1" applyFill="1" applyBorder="1" applyAlignment="1">
      <alignment horizontal="center" vertical="center"/>
    </xf>
    <xf numFmtId="0" fontId="10" fillId="29" borderId="17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0" fontId="10" fillId="29" borderId="2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0" fillId="0" borderId="1" xfId="0" applyFont="1" applyBorder="1" applyAlignment="1">
      <alignment vertical="center"/>
    </xf>
    <xf numFmtId="0" fontId="10" fillId="29" borderId="18" xfId="0" applyFont="1" applyFill="1" applyBorder="1" applyAlignment="1">
      <alignment horizontal="left"/>
    </xf>
    <xf numFmtId="0" fontId="10" fillId="29" borderId="11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center"/>
    </xf>
    <xf numFmtId="165" fontId="10" fillId="3" borderId="4" xfId="1" applyNumberFormat="1" applyFont="1" applyFill="1" applyBorder="1" applyAlignment="1">
      <alignment horizontal="center"/>
    </xf>
    <xf numFmtId="0" fontId="10" fillId="29" borderId="55" xfId="0" applyFont="1" applyFill="1" applyBorder="1" applyAlignment="1">
      <alignment horizontal="center"/>
    </xf>
    <xf numFmtId="0" fontId="10" fillId="29" borderId="56" xfId="0" applyFont="1" applyFill="1" applyBorder="1" applyAlignment="1">
      <alignment horizontal="center"/>
    </xf>
    <xf numFmtId="0" fontId="10" fillId="29" borderId="31" xfId="0" applyFont="1" applyFill="1" applyBorder="1" applyAlignment="1">
      <alignment horizontal="center"/>
    </xf>
    <xf numFmtId="0" fontId="10" fillId="29" borderId="33" xfId="0" applyFont="1" applyFill="1" applyBorder="1" applyAlignment="1">
      <alignment horizontal="center"/>
    </xf>
    <xf numFmtId="43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165" fontId="10" fillId="3" borderId="4" xfId="1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50" fillId="5" borderId="1" xfId="0" applyFont="1" applyFill="1" applyBorder="1" applyAlignment="1">
      <alignment horizontal="center" vertical="center"/>
    </xf>
    <xf numFmtId="0" fontId="10" fillId="29" borderId="18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2" fillId="18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4" fillId="29" borderId="19" xfId="0" applyFont="1" applyFill="1" applyBorder="1" applyAlignment="1">
      <alignment horizontal="left"/>
    </xf>
    <xf numFmtId="0" fontId="4" fillId="29" borderId="61" xfId="0" applyFont="1" applyFill="1" applyBorder="1" applyAlignment="1">
      <alignment horizontal="left"/>
    </xf>
    <xf numFmtId="0" fontId="50" fillId="3" borderId="0" xfId="0" applyFont="1" applyFill="1" applyAlignment="1">
      <alignment horizontal="center"/>
    </xf>
    <xf numFmtId="43" fontId="10" fillId="29" borderId="4" xfId="1" applyFont="1" applyFill="1" applyBorder="1" applyAlignment="1">
      <alignment horizontal="left"/>
    </xf>
    <xf numFmtId="0" fontId="10" fillId="29" borderId="14" xfId="0" applyFont="1" applyFill="1" applyBorder="1" applyAlignment="1">
      <alignment horizontal="center"/>
    </xf>
    <xf numFmtId="0" fontId="10" fillId="29" borderId="15" xfId="0" applyFont="1" applyFill="1" applyBorder="1" applyAlignment="1">
      <alignment horizontal="center"/>
    </xf>
    <xf numFmtId="0" fontId="10" fillId="29" borderId="24" xfId="0" applyFont="1" applyFill="1" applyBorder="1" applyAlignment="1">
      <alignment horizontal="center"/>
    </xf>
    <xf numFmtId="0" fontId="10" fillId="29" borderId="25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43" fontId="10" fillId="2" borderId="4" xfId="1" applyFont="1" applyFill="1" applyBorder="1" applyAlignment="1">
      <alignment horizontal="left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56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4" fillId="2" borderId="1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43" fontId="4" fillId="3" borderId="65" xfId="0" applyNumberFormat="1" applyFont="1" applyFill="1" applyBorder="1" applyAlignment="1">
      <alignment horizontal="center" vertical="center"/>
    </xf>
    <xf numFmtId="43" fontId="4" fillId="3" borderId="35" xfId="0" applyNumberFormat="1" applyFont="1" applyFill="1" applyBorder="1" applyAlignment="1">
      <alignment horizontal="center" vertical="center"/>
    </xf>
    <xf numFmtId="43" fontId="4" fillId="3" borderId="8" xfId="0" applyNumberFormat="1" applyFont="1" applyFill="1" applyBorder="1" applyAlignment="1">
      <alignment horizontal="center" vertical="center"/>
    </xf>
    <xf numFmtId="165" fontId="4" fillId="3" borderId="65" xfId="1" applyNumberFormat="1" applyFont="1" applyFill="1" applyBorder="1" applyAlignment="1">
      <alignment horizontal="center" vertical="center"/>
    </xf>
    <xf numFmtId="165" fontId="4" fillId="3" borderId="35" xfId="1" applyNumberFormat="1" applyFont="1" applyFill="1" applyBorder="1" applyAlignment="1">
      <alignment horizontal="center" vertical="center"/>
    </xf>
    <xf numFmtId="165" fontId="4" fillId="3" borderId="8" xfId="1" applyNumberFormat="1" applyFont="1" applyFill="1" applyBorder="1" applyAlignment="1">
      <alignment horizontal="center" vertical="center"/>
    </xf>
    <xf numFmtId="172" fontId="4" fillId="3" borderId="65" xfId="2" applyNumberFormat="1" applyFont="1" applyFill="1" applyBorder="1" applyAlignment="1">
      <alignment vertical="center"/>
    </xf>
    <xf numFmtId="172" fontId="4" fillId="3" borderId="35" xfId="2" applyNumberFormat="1" applyFont="1" applyFill="1" applyBorder="1" applyAlignment="1">
      <alignment vertical="center"/>
    </xf>
    <xf numFmtId="172" fontId="4" fillId="3" borderId="8" xfId="2" applyNumberFormat="1" applyFont="1" applyFill="1" applyBorder="1" applyAlignment="1">
      <alignment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10" fillId="29" borderId="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7" fillId="23" borderId="3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165" fontId="3" fillId="3" borderId="7" xfId="1" applyNumberFormat="1" applyFont="1" applyFill="1" applyBorder="1" applyAlignment="1">
      <alignment horizontal="center"/>
    </xf>
    <xf numFmtId="165" fontId="3" fillId="3" borderId="35" xfId="1" applyNumberFormat="1" applyFont="1" applyFill="1" applyBorder="1" applyAlignment="1">
      <alignment horizontal="center"/>
    </xf>
    <xf numFmtId="165" fontId="3" fillId="3" borderId="8" xfId="1" applyNumberFormat="1" applyFont="1" applyFill="1" applyBorder="1" applyAlignment="1">
      <alignment horizontal="center"/>
    </xf>
    <xf numFmtId="0" fontId="20" fillId="9" borderId="37" xfId="0" applyFont="1" applyFill="1" applyBorder="1" applyAlignment="1">
      <alignment horizontal="center"/>
    </xf>
    <xf numFmtId="0" fontId="10" fillId="7" borderId="14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</cellXfs>
  <cellStyles count="275">
    <cellStyle name="Celda de comprobación" xfId="270" builtinId="23"/>
    <cellStyle name="Millares" xfId="1" builtinId="3"/>
    <cellStyle name="Millares [0]" xfId="274" builtinId="6"/>
    <cellStyle name="Millares [0] 2" xfId="114" xr:uid="{FFB98863-8615-4F21-8FD7-34C1FDACED85}"/>
    <cellStyle name="Millares [0] 2 2" xfId="214" xr:uid="{A3B72EC7-057A-4F30-A3EB-5FF55CE46F76}"/>
    <cellStyle name="Millares [0] 3" xfId="139" xr:uid="{A1A43C37-51F9-45D3-9ED4-64ADEDDCA280}"/>
    <cellStyle name="Millares [0] 3 2" xfId="239" xr:uid="{C4DF3A36-E40F-498D-9D4B-CF27028CE2E5}"/>
    <cellStyle name="Millares [0] 4" xfId="165" xr:uid="{B093FAE8-2B54-4A0A-85F5-5267694DD95B}"/>
    <cellStyle name="Millares [0] 4 2" xfId="265" xr:uid="{AE82E800-E886-4356-8F28-19439033DA1D}"/>
    <cellStyle name="Millares 10" xfId="140" xr:uid="{2B60A09A-6D6F-432D-8F5D-2F6F683E480E}"/>
    <cellStyle name="Millares 10 2" xfId="240" xr:uid="{A43A371F-0CD1-44A1-B13A-51843B523ED1}"/>
    <cellStyle name="Millares 11" xfId="164" xr:uid="{F2B02A86-E9EB-4CA9-A742-3FCE44D0FA8C}"/>
    <cellStyle name="Millares 11 2" xfId="264" xr:uid="{C14036A0-6719-426E-BDE2-51E332506508}"/>
    <cellStyle name="Millares 12" xfId="166" xr:uid="{F2CE7E86-1740-4216-AEA2-25276C969A0E}"/>
    <cellStyle name="Millares 13" xfId="192" xr:uid="{BCCD42F5-1CA8-4F62-A628-3E2425518505}"/>
    <cellStyle name="Millares 14" xfId="267" xr:uid="{F3DC1A36-BD0B-4C22-8062-DA2201B5C3BB}"/>
    <cellStyle name="Millares 15" xfId="268" xr:uid="{27FEA91D-96D7-431D-85B1-777F398EBC83}"/>
    <cellStyle name="Millares 16" xfId="271" xr:uid="{CD1A5C7C-459E-4139-8552-A3695ED748CD}"/>
    <cellStyle name="Millares 2" xfId="11" xr:uid="{8DEB9C3A-AB0E-4492-84D5-CA4248D4FFFF}"/>
    <cellStyle name="Millares 3" xfId="12" xr:uid="{E5402B2F-64C6-4B51-A72C-A0ACCEDAD575}"/>
    <cellStyle name="Millares 3 2" xfId="13" xr:uid="{F23DD6D9-63DA-402D-963F-C998443D6E7A}"/>
    <cellStyle name="Millares 3 2 2" xfId="14" xr:uid="{7EE7C842-362E-405A-98C7-80C885D04579}"/>
    <cellStyle name="Millares 3 2 2 2" xfId="15" xr:uid="{4CA82CE9-3C22-4A96-AF03-8F009D2956C7}"/>
    <cellStyle name="Millares 3 2 2 2 2" xfId="16" xr:uid="{67D844C8-02DC-4704-9D8C-0DDD97392311}"/>
    <cellStyle name="Millares 3 2 2 2 2 2" xfId="72" xr:uid="{3C4AA8F1-7E9E-4110-BE3C-3FD584A8263E}"/>
    <cellStyle name="Millares 3 2 2 2 2 2 2" xfId="123" xr:uid="{50B3F396-6841-462A-8C7D-9134FF7323EF}"/>
    <cellStyle name="Millares 3 2 2 2 2 2 2 2" xfId="223" xr:uid="{F23C31BF-9398-405F-8539-DA23EDD2B151}"/>
    <cellStyle name="Millares 3 2 2 2 2 2 3" xfId="148" xr:uid="{6D821FA7-B5E0-46B3-B906-727BF63A8DD1}"/>
    <cellStyle name="Millares 3 2 2 2 2 2 3 2" xfId="248" xr:uid="{4866EAD2-AA32-4417-B262-DB8C4C30E67B}"/>
    <cellStyle name="Millares 3 2 2 2 2 2 4" xfId="197" xr:uid="{DCA67AD2-BCBB-4540-9BB3-36E634BF69FD}"/>
    <cellStyle name="Millares 3 2 2 2 2 3" xfId="173" xr:uid="{A3882118-F3F6-4157-9488-546F159D04CC}"/>
    <cellStyle name="Millares 3 2 2 2 3" xfId="71" xr:uid="{E3E099DC-A667-4605-BF1A-2DC105B68149}"/>
    <cellStyle name="Millares 3 2 2 2 3 2" xfId="122" xr:uid="{1BAF5D43-655E-4A13-A817-68CD406F1E4A}"/>
    <cellStyle name="Millares 3 2 2 2 3 2 2" xfId="222" xr:uid="{C1EA84DE-5883-4E67-B7AB-E2DCC368865D}"/>
    <cellStyle name="Millares 3 2 2 2 3 3" xfId="147" xr:uid="{7A1A3DDB-444A-46A7-839D-88DEE83E9497}"/>
    <cellStyle name="Millares 3 2 2 2 3 3 2" xfId="247" xr:uid="{4F3C0D52-BDD9-4635-93B3-3FB74BBD43CC}"/>
    <cellStyle name="Millares 3 2 2 2 3 4" xfId="196" xr:uid="{57A50C89-378A-4044-BFE9-EE9670B7BA96}"/>
    <cellStyle name="Millares 3 2 2 2 4" xfId="172" xr:uid="{B4EF770F-BF0C-4D8C-A59F-6D9970E906C0}"/>
    <cellStyle name="Millares 3 2 2 3" xfId="17" xr:uid="{2D3B3389-7B5F-4591-B3CD-743FBF25535B}"/>
    <cellStyle name="Millares 3 2 2 3 2" xfId="18" xr:uid="{C47E398B-8CBE-4F63-92FD-03A59866777B}"/>
    <cellStyle name="Millares 3 2 2 3 2 2" xfId="74" xr:uid="{4A066C94-3703-4ACA-9DB9-0E6310787E74}"/>
    <cellStyle name="Millares 3 2 2 3 2 2 2" xfId="125" xr:uid="{8FCF4260-9071-43DC-91E9-9F7320C9DA38}"/>
    <cellStyle name="Millares 3 2 2 3 2 2 2 2" xfId="225" xr:uid="{3C3A10DF-A5D6-4511-A120-B94086C93A1E}"/>
    <cellStyle name="Millares 3 2 2 3 2 2 3" xfId="150" xr:uid="{87C7DB1F-FBE3-4D39-B347-4226887A14E3}"/>
    <cellStyle name="Millares 3 2 2 3 2 2 3 2" xfId="250" xr:uid="{AD6DA218-75B7-477E-8764-112DDFF7C986}"/>
    <cellStyle name="Millares 3 2 2 3 2 2 4" xfId="199" xr:uid="{FBE60D63-CC2C-4B76-988D-8DA459E8E7FD}"/>
    <cellStyle name="Millares 3 2 2 3 2 3" xfId="175" xr:uid="{89DDF8CA-5D7C-4FF4-A489-D3DF36D1C27B}"/>
    <cellStyle name="Millares 3 2 2 3 3" xfId="73" xr:uid="{A0BAEBE5-5732-4688-A4DA-DA13B88DBB5A}"/>
    <cellStyle name="Millares 3 2 2 3 3 2" xfId="124" xr:uid="{1CE755FF-5104-4267-8C5D-D3A6869377C8}"/>
    <cellStyle name="Millares 3 2 2 3 3 2 2" xfId="224" xr:uid="{84A658CC-D8A4-49CC-A109-248EDC0CD5D3}"/>
    <cellStyle name="Millares 3 2 2 3 3 3" xfId="149" xr:uid="{00452035-7996-4717-B164-C08250C93B1E}"/>
    <cellStyle name="Millares 3 2 2 3 3 3 2" xfId="249" xr:uid="{5433A87D-475A-4008-9D9D-EBE3D1F77C26}"/>
    <cellStyle name="Millares 3 2 2 3 3 4" xfId="198" xr:uid="{1A84C4CB-B23D-402D-AB66-D4EE02E896D5}"/>
    <cellStyle name="Millares 3 2 2 3 4" xfId="174" xr:uid="{51892B98-F615-4414-999D-141B1AA1EE2E}"/>
    <cellStyle name="Millares 3 2 2 4" xfId="19" xr:uid="{51F0018B-5C59-4FB3-9E0C-DFCC6A6AEE9E}"/>
    <cellStyle name="Millares 3 2 2 4 2" xfId="75" xr:uid="{F9C49866-9A8A-4A8E-AC03-DEA648552136}"/>
    <cellStyle name="Millares 3 2 2 4 2 2" xfId="126" xr:uid="{19CA7FC6-06E9-45B5-96B7-64844A6E7E9F}"/>
    <cellStyle name="Millares 3 2 2 4 2 2 2" xfId="226" xr:uid="{FC635B9B-C4ED-4DEA-BF2A-21AF1A56AE4E}"/>
    <cellStyle name="Millares 3 2 2 4 2 3" xfId="151" xr:uid="{A3834CF5-3DAD-4BB3-8230-DC3390D07E84}"/>
    <cellStyle name="Millares 3 2 2 4 2 3 2" xfId="251" xr:uid="{7148C382-908F-4DEB-A85B-BB32AA10C2E0}"/>
    <cellStyle name="Millares 3 2 2 4 2 4" xfId="200" xr:uid="{CA4CFD67-46FA-4454-8E9C-D89E53A21987}"/>
    <cellStyle name="Millares 3 2 2 4 3" xfId="176" xr:uid="{48AB51C9-DA05-4817-9C18-0FB9FEA511BF}"/>
    <cellStyle name="Millares 3 2 2 5" xfId="20" xr:uid="{D32E273D-7653-4865-B8B5-C8C28736DF6C}"/>
    <cellStyle name="Millares 3 2 2 5 2" xfId="21" xr:uid="{492EBF30-FB3B-474F-8519-005FECE50489}"/>
    <cellStyle name="Millares 3 2 2 5 2 2" xfId="77" xr:uid="{16EF4792-97F5-4CB3-9D5F-8840B1052A5C}"/>
    <cellStyle name="Millares 3 2 2 5 2 2 2" xfId="128" xr:uid="{FF5DEBAD-5D1C-4162-AE57-BB35715B07D0}"/>
    <cellStyle name="Millares 3 2 2 5 2 2 2 2" xfId="228" xr:uid="{14EC639D-A0E9-4340-9873-91DD1A70D334}"/>
    <cellStyle name="Millares 3 2 2 5 2 2 3" xfId="153" xr:uid="{46476CDB-DA53-4B0D-9A41-7C79A9AA53FA}"/>
    <cellStyle name="Millares 3 2 2 5 2 2 3 2" xfId="253" xr:uid="{B10686BC-F239-4B00-A889-4EA15C8B6FD5}"/>
    <cellStyle name="Millares 3 2 2 5 2 2 4" xfId="202" xr:uid="{B375EF28-14DF-497B-8A01-265F2F09A19A}"/>
    <cellStyle name="Millares 3 2 2 5 2 3" xfId="178" xr:uid="{A6C6747B-1C5E-4850-87C9-9E43BBEBB38F}"/>
    <cellStyle name="Millares 3 2 2 5 3" xfId="76" xr:uid="{871BC62D-53DC-4FAF-832A-C5E409A5C988}"/>
    <cellStyle name="Millares 3 2 2 5 3 2" xfId="127" xr:uid="{06E2B039-6328-4108-AD40-EB7432E7A204}"/>
    <cellStyle name="Millares 3 2 2 5 3 2 2" xfId="227" xr:uid="{6784F41C-7A4A-4350-B361-97EF3E1702A8}"/>
    <cellStyle name="Millares 3 2 2 5 3 3" xfId="152" xr:uid="{872CBC08-AB13-46B0-9EEA-729CD7E5BE2A}"/>
    <cellStyle name="Millares 3 2 2 5 3 3 2" xfId="252" xr:uid="{28C4E9A6-754C-4A1C-B288-5BA67916418B}"/>
    <cellStyle name="Millares 3 2 2 5 3 4" xfId="201" xr:uid="{982885C9-B080-4FA5-82C9-56F4E896C22B}"/>
    <cellStyle name="Millares 3 2 2 5 4" xfId="177" xr:uid="{413FCAE7-BA10-4569-B8BF-03C203DD4BFC}"/>
    <cellStyle name="Millares 3 2 2 6" xfId="70" xr:uid="{487121C2-019D-4475-89D3-B092A95703AB}"/>
    <cellStyle name="Millares 3 2 2 6 2" xfId="121" xr:uid="{AAC610B8-FC89-4030-AE20-1A9E0059B0C3}"/>
    <cellStyle name="Millares 3 2 2 6 2 2" xfId="221" xr:uid="{319E2034-7924-4A1C-8133-32B0F57C212D}"/>
    <cellStyle name="Millares 3 2 2 6 3" xfId="146" xr:uid="{7E5CB224-6579-48A7-80EF-0277F351E121}"/>
    <cellStyle name="Millares 3 2 2 6 3 2" xfId="246" xr:uid="{68401E95-C49A-4A38-BC7A-E892D491C23E}"/>
    <cellStyle name="Millares 3 2 2 6 4" xfId="195" xr:uid="{7CC6FCAE-E768-44DA-B5D0-48550676569D}"/>
    <cellStyle name="Millares 3 2 2 7" xfId="171" xr:uid="{69E0B4AF-EA64-4AB6-8F83-D737E1090E90}"/>
    <cellStyle name="Millares 3 2 3" xfId="22" xr:uid="{83BF52F8-7E58-41F3-A814-6809B83B87B5}"/>
    <cellStyle name="Millares 3 2 3 2" xfId="23" xr:uid="{869ECEB5-CFDF-4D37-BB8F-002519DC4829}"/>
    <cellStyle name="Millares 3 2 3 2 2" xfId="79" xr:uid="{CDDF787B-8813-4990-B5C6-543F46000A2E}"/>
    <cellStyle name="Millares 3 2 3 2 2 2" xfId="130" xr:uid="{85604551-B10A-444F-B634-D784AE87487D}"/>
    <cellStyle name="Millares 3 2 3 2 2 2 2" xfId="230" xr:uid="{4A901778-92A9-4609-B82C-F283F892DDB4}"/>
    <cellStyle name="Millares 3 2 3 2 2 3" xfId="155" xr:uid="{AFCF4D50-BC7A-4F01-8C4B-A1E38129C7BE}"/>
    <cellStyle name="Millares 3 2 3 2 2 3 2" xfId="255" xr:uid="{0FAD11E0-7EA9-426E-8ECF-722DC066A029}"/>
    <cellStyle name="Millares 3 2 3 2 2 4" xfId="204" xr:uid="{228A868C-D5DF-42E6-900B-DDC06C3BD00D}"/>
    <cellStyle name="Millares 3 2 3 2 3" xfId="180" xr:uid="{E4A0EAF9-B25F-4621-8F6E-76C67EA7F179}"/>
    <cellStyle name="Millares 3 2 3 3" xfId="78" xr:uid="{A4448B77-EC6E-40B6-855E-DD4CB0154B7B}"/>
    <cellStyle name="Millares 3 2 3 3 2" xfId="129" xr:uid="{6FF41602-65EF-47C4-B863-FCB09EA7A7B0}"/>
    <cellStyle name="Millares 3 2 3 3 2 2" xfId="229" xr:uid="{4257D5EB-A060-47D5-8BDB-F78FEEEB53DF}"/>
    <cellStyle name="Millares 3 2 3 3 3" xfId="154" xr:uid="{311AF23E-0025-4173-8834-7368E1C15037}"/>
    <cellStyle name="Millares 3 2 3 3 3 2" xfId="254" xr:uid="{C083F04D-D556-4E3F-AAA9-9DF8033F91E5}"/>
    <cellStyle name="Millares 3 2 3 3 4" xfId="203" xr:uid="{90A287B8-E97F-438E-A3B1-D56497959B6B}"/>
    <cellStyle name="Millares 3 2 3 4" xfId="179" xr:uid="{3078A20D-EB7A-4AAC-8CC4-A15D9A4C4FDA}"/>
    <cellStyle name="Millares 3 2 4" xfId="24" xr:uid="{7463BCE5-A28E-4414-B9B7-FDA4960CCA57}"/>
    <cellStyle name="Millares 3 2 4 2" xfId="25" xr:uid="{3A29FD75-1BF9-4C74-86BE-D93B80E7A506}"/>
    <cellStyle name="Millares 3 2 4 2 2" xfId="81" xr:uid="{24DB3DB4-D5B4-409C-9821-3A208E4CF5C1}"/>
    <cellStyle name="Millares 3 2 4 2 2 2" xfId="132" xr:uid="{A50B53F7-A508-45FA-8783-FEA91288D6D7}"/>
    <cellStyle name="Millares 3 2 4 2 2 2 2" xfId="232" xr:uid="{2BC6A8FE-CB5D-4346-AB13-91A16CDB4B8E}"/>
    <cellStyle name="Millares 3 2 4 2 2 3" xfId="157" xr:uid="{3CF827A1-F70F-4198-A0B9-AF5BE350DBC8}"/>
    <cellStyle name="Millares 3 2 4 2 2 3 2" xfId="257" xr:uid="{B01827D5-4EF0-4C3A-8AD5-EA7CBC99021B}"/>
    <cellStyle name="Millares 3 2 4 2 2 4" xfId="206" xr:uid="{A98A2621-67B6-406F-ACB4-D9EC73867E59}"/>
    <cellStyle name="Millares 3 2 4 2 3" xfId="182" xr:uid="{63B8670F-7136-4175-90B1-CF30C664B237}"/>
    <cellStyle name="Millares 3 2 4 3" xfId="80" xr:uid="{C45F31B4-8EDB-4B1E-8F77-29A792417F0C}"/>
    <cellStyle name="Millares 3 2 4 3 2" xfId="131" xr:uid="{1AEB2715-3101-4A97-A407-F6DEA46DE7CD}"/>
    <cellStyle name="Millares 3 2 4 3 2 2" xfId="231" xr:uid="{4F8E4F3D-9107-41B2-BB10-A25D039DD9E5}"/>
    <cellStyle name="Millares 3 2 4 3 3" xfId="156" xr:uid="{683024D4-CBAD-4C12-993B-4CF9C4EB7DF3}"/>
    <cellStyle name="Millares 3 2 4 3 3 2" xfId="256" xr:uid="{7C6B3BB3-811B-4292-864F-513D77B96A1E}"/>
    <cellStyle name="Millares 3 2 4 3 4" xfId="205" xr:uid="{259D5781-DCAD-454D-A01F-343C60D09B10}"/>
    <cellStyle name="Millares 3 2 4 4" xfId="181" xr:uid="{5033F9D5-4A1F-4093-AA78-79A636E3BDB9}"/>
    <cellStyle name="Millares 3 2 5" xfId="26" xr:uid="{76562D68-EE2F-4DFE-8D26-4917DEA260D2}"/>
    <cellStyle name="Millares 3 2 5 2" xfId="82" xr:uid="{6D59AEFD-D397-4A3F-8D27-1D1C3CFFAD3F}"/>
    <cellStyle name="Millares 3 2 5 2 2" xfId="133" xr:uid="{7ED97281-3B68-41E6-822F-C51DEA88DA68}"/>
    <cellStyle name="Millares 3 2 5 2 2 2" xfId="233" xr:uid="{4B62B134-6899-4BC4-814B-2844D7DB0652}"/>
    <cellStyle name="Millares 3 2 5 2 3" xfId="158" xr:uid="{E86F5321-82BC-485B-B6DB-01BF9A082CF1}"/>
    <cellStyle name="Millares 3 2 5 2 3 2" xfId="258" xr:uid="{99560470-7940-4123-9AEB-FACD6701D144}"/>
    <cellStyle name="Millares 3 2 5 2 4" xfId="207" xr:uid="{B1542DCD-85F7-480F-A3FD-9DF102F2AA25}"/>
    <cellStyle name="Millares 3 2 5 3" xfId="183" xr:uid="{4DD4FCBE-57A0-4053-825D-EC1EFA3CBDCF}"/>
    <cellStyle name="Millares 3 2 6" xfId="69" xr:uid="{AFF6CC3D-FC78-4C0A-8FE8-8FB60F56060C}"/>
    <cellStyle name="Millares 3 2 6 2" xfId="120" xr:uid="{DBD2D8F8-7995-421E-84DF-EE1EB04B6F9B}"/>
    <cellStyle name="Millares 3 2 6 2 2" xfId="220" xr:uid="{72166471-763C-45F5-B2D9-B9939BF0E2A7}"/>
    <cellStyle name="Millares 3 2 6 3" xfId="145" xr:uid="{C0C057B7-F0A8-42D4-92CE-0C690C884FB2}"/>
    <cellStyle name="Millares 3 2 6 3 2" xfId="245" xr:uid="{A12EC0C1-1853-4AEF-83B0-5288EA3A7718}"/>
    <cellStyle name="Millares 3 2 6 4" xfId="194" xr:uid="{35A9E240-FEC0-42E6-A162-DDD0D243C7DC}"/>
    <cellStyle name="Millares 3 2 7" xfId="170" xr:uid="{7B62F5E7-5751-4E7D-828D-B297CAEE28E9}"/>
    <cellStyle name="Millares 3 3" xfId="27" xr:uid="{9CF8FB7B-C238-4CCE-9FCD-A983E84447BD}"/>
    <cellStyle name="Millares 3 3 2" xfId="28" xr:uid="{AF8B7CED-A0CD-4246-BE71-43308518C5E5}"/>
    <cellStyle name="Millares 3 3 2 2" xfId="84" xr:uid="{68B8DC59-0106-4999-B124-BA7F7CDCB016}"/>
    <cellStyle name="Millares 3 3 2 2 2" xfId="135" xr:uid="{3FB1F5A2-0A2C-4B00-BD54-96843927137F}"/>
    <cellStyle name="Millares 3 3 2 2 2 2" xfId="235" xr:uid="{4A874695-BCB4-4713-81FB-3AFA410BDFDC}"/>
    <cellStyle name="Millares 3 3 2 2 3" xfId="160" xr:uid="{1C65C0E7-5E75-4B15-AADA-A610310B8104}"/>
    <cellStyle name="Millares 3 3 2 2 3 2" xfId="260" xr:uid="{19B199C4-2304-4C28-A639-CD82F9B4EAD3}"/>
    <cellStyle name="Millares 3 3 2 2 4" xfId="209" xr:uid="{535F932D-954B-47DD-AC60-CA1DA8F8E180}"/>
    <cellStyle name="Millares 3 3 2 3" xfId="185" xr:uid="{7C6D4727-7739-4C18-BA9E-420DB0A18545}"/>
    <cellStyle name="Millares 3 3 3" xfId="83" xr:uid="{EFE02B1E-593D-4B03-BD97-5CBC74573480}"/>
    <cellStyle name="Millares 3 3 3 2" xfId="134" xr:uid="{6D60B005-5327-4273-BC58-FB8F37A962DF}"/>
    <cellStyle name="Millares 3 3 3 2 2" xfId="234" xr:uid="{14AE392A-2D9E-431E-A8C5-C9A65631D7F1}"/>
    <cellStyle name="Millares 3 3 3 3" xfId="159" xr:uid="{A8D8795C-7074-4FDA-86F8-2ED68842092B}"/>
    <cellStyle name="Millares 3 3 3 3 2" xfId="259" xr:uid="{FB8144B0-D225-4027-972C-F10960336E5B}"/>
    <cellStyle name="Millares 3 3 3 4" xfId="208" xr:uid="{F9A01374-F057-45F4-89C9-448B2D6CAC89}"/>
    <cellStyle name="Millares 3 3 4" xfId="184" xr:uid="{784C5233-FC7E-45A3-9E40-70E2A68E3D54}"/>
    <cellStyle name="Millares 3 4" xfId="29" xr:uid="{6C1A24E4-807F-4751-AFFF-B872304C0B4D}"/>
    <cellStyle name="Millares 3 4 2" xfId="30" xr:uid="{0636E4DD-4464-4DB7-958F-CD9EFF8F4AA5}"/>
    <cellStyle name="Millares 3 4 2 2" xfId="86" xr:uid="{5BB4F1BA-FCAC-4D5E-B7E8-DBAE2B1A72E9}"/>
    <cellStyle name="Millares 3 4 2 2 2" xfId="137" xr:uid="{B0BB5685-98BE-485F-B2DD-DE2EE3E52886}"/>
    <cellStyle name="Millares 3 4 2 2 2 2" xfId="237" xr:uid="{24520A06-B423-4558-AD2A-02E89DA44CA5}"/>
    <cellStyle name="Millares 3 4 2 2 3" xfId="162" xr:uid="{C03D351B-29A0-4AFD-9337-0EE9F30188DD}"/>
    <cellStyle name="Millares 3 4 2 2 3 2" xfId="262" xr:uid="{8727C0B6-34C6-4700-A9AE-27A4D55648C9}"/>
    <cellStyle name="Millares 3 4 2 2 4" xfId="211" xr:uid="{E5C80FE0-C53B-44F0-89C7-312C1D4D2A28}"/>
    <cellStyle name="Millares 3 4 2 3" xfId="187" xr:uid="{FA734556-53A1-4D4F-B274-C45334D198D8}"/>
    <cellStyle name="Millares 3 4 3" xfId="85" xr:uid="{F32085C5-780E-4AF6-BC65-A71A5A1ED7D8}"/>
    <cellStyle name="Millares 3 4 3 2" xfId="136" xr:uid="{D9E09D0B-D75E-4275-8D0A-70C70F2FCC12}"/>
    <cellStyle name="Millares 3 4 3 2 2" xfId="236" xr:uid="{3540297D-EB0A-4EBF-AACF-9E874CE09410}"/>
    <cellStyle name="Millares 3 4 3 3" xfId="161" xr:uid="{F0EFA8F8-7C6D-460C-A0FC-B7622DDEE6AD}"/>
    <cellStyle name="Millares 3 4 3 3 2" xfId="261" xr:uid="{D8192191-CA3A-4352-98BE-C14C818F2207}"/>
    <cellStyle name="Millares 3 4 3 4" xfId="210" xr:uid="{E8EDC8EA-C52C-4F0C-9DB6-C5E5EDD6B470}"/>
    <cellStyle name="Millares 3 4 4" xfId="186" xr:uid="{51DDE149-3FC1-4414-BD05-9B6B1A30DDF0}"/>
    <cellStyle name="Millares 3 5" xfId="31" xr:uid="{7F9689B3-9B9B-4FD1-A1BE-FE2379EBA425}"/>
    <cellStyle name="Millares 3 5 2" xfId="87" xr:uid="{3236B4CE-9D45-48D8-82C0-C899CBC25F29}"/>
    <cellStyle name="Millares 3 5 2 2" xfId="138" xr:uid="{E72AEA43-5AAA-4F0A-A520-411B1DFF381F}"/>
    <cellStyle name="Millares 3 5 2 2 2" xfId="238" xr:uid="{6D50B690-3BA4-45AE-975B-D6BABC03531B}"/>
    <cellStyle name="Millares 3 5 2 3" xfId="163" xr:uid="{B85FAABD-3E76-4C1B-B166-F41FD8BF99CE}"/>
    <cellStyle name="Millares 3 5 2 3 2" xfId="263" xr:uid="{86EFB448-48D1-494D-A506-E65C2F32A5AC}"/>
    <cellStyle name="Millares 3 5 2 4" xfId="212" xr:uid="{8FEEC3F9-3D56-4093-A287-C1AB20EDDA09}"/>
    <cellStyle name="Millares 3 5 3" xfId="188" xr:uid="{AF1A4B94-2940-412C-9A38-F917AF45F0D0}"/>
    <cellStyle name="Millares 3 6" xfId="68" xr:uid="{81237B7F-F5CA-41AB-A9EC-A3A011237847}"/>
    <cellStyle name="Millares 3 6 2" xfId="119" xr:uid="{905362FF-8CA1-418D-B453-14FAE7E4E153}"/>
    <cellStyle name="Millares 3 6 2 2" xfId="219" xr:uid="{6353F5BD-2966-44D9-B189-2EE7CC38C9A9}"/>
    <cellStyle name="Millares 3 6 3" xfId="144" xr:uid="{FE95C29A-ACAA-49E3-B0D5-CA7B0601AC56}"/>
    <cellStyle name="Millares 3 6 3 2" xfId="244" xr:uid="{E85F1A6B-B521-41A8-BE48-102E9CE9FD1C}"/>
    <cellStyle name="Millares 3 6 4" xfId="193" xr:uid="{EDE361B9-565E-4F6C-A1EF-3F8A50A64504}"/>
    <cellStyle name="Millares 3 7" xfId="169" xr:uid="{81FD4398-DD6B-4EBC-ADC1-5EEEA22ACE58}"/>
    <cellStyle name="Millares 4" xfId="63" xr:uid="{CB9B933C-10F9-411A-B575-1F04513A2EDB}"/>
    <cellStyle name="Millares 4 2" xfId="117" xr:uid="{6592060E-955C-4215-96EA-124857B56D2B}"/>
    <cellStyle name="Millares 4 2 2" xfId="217" xr:uid="{38C8680C-3377-4CBD-96FD-4DAB02E16239}"/>
    <cellStyle name="Millares 4 3" xfId="142" xr:uid="{D30386CF-A540-4205-9FBB-4E1CBAD3F930}"/>
    <cellStyle name="Millares 4 3 2" xfId="242" xr:uid="{D1C9E220-5EE7-407D-B916-CBBF58ACCEE0}"/>
    <cellStyle name="Millares 4 4" xfId="190" xr:uid="{41A6CF3B-A35D-4309-BD52-1E0FA216E291}"/>
    <cellStyle name="Millares 5" xfId="7" xr:uid="{B87E63E0-0C26-4FDC-9415-848C8D2FD69D}"/>
    <cellStyle name="Millares 5 2" xfId="64" xr:uid="{BDB1538C-3439-4A4A-A038-D775CB0B0EA7}"/>
    <cellStyle name="Millares 5 2 2" xfId="118" xr:uid="{814FDED1-68A4-4DE4-8170-B4813B145898}"/>
    <cellStyle name="Millares 5 2 2 2" xfId="218" xr:uid="{B2DE6BC0-A2FD-44E1-B0DF-F660F948BDD4}"/>
    <cellStyle name="Millares 5 2 3" xfId="143" xr:uid="{3CB66CA0-5213-42DD-86E0-380FD1B97B6F}"/>
    <cellStyle name="Millares 5 2 3 2" xfId="243" xr:uid="{8E327E67-CFAA-48CD-98EE-F7350BDE7E51}"/>
    <cellStyle name="Millares 5 2 4" xfId="191" xr:uid="{65E028C3-01AA-45B9-8E6A-CC67C363747A}"/>
    <cellStyle name="Millares 5 3" xfId="168" xr:uid="{F0A73ECC-0637-4BC4-9BDF-738C1C56C058}"/>
    <cellStyle name="Millares 6" xfId="61" xr:uid="{51C0B19E-0EA4-41CA-A443-9C45CBAC9609}"/>
    <cellStyle name="Millares 6 2" xfId="116" xr:uid="{0ECC6F7F-9175-4222-8640-08FD907FC844}"/>
    <cellStyle name="Millares 6 2 2" xfId="216" xr:uid="{38C0E76D-BAF7-4290-911F-71F90129E654}"/>
    <cellStyle name="Millares 6 3" xfId="141" xr:uid="{BE32546F-C8DA-426F-A0B0-65BD06D3A27E}"/>
    <cellStyle name="Millares 6 3 2" xfId="241" xr:uid="{02027007-21EB-45F4-837D-2EBC7F3D3E4F}"/>
    <cellStyle name="Millares 6 4" xfId="189" xr:uid="{31C914B1-9AF4-461A-A5FA-D5B022332637}"/>
    <cellStyle name="Millares 7" xfId="113" xr:uid="{F50F50BA-7EEF-4FF9-B34C-2099C69386C4}"/>
    <cellStyle name="Millares 7 2" xfId="213" xr:uid="{9CF3CB36-5971-44BE-99AB-703A240F60DC}"/>
    <cellStyle name="Millares 8" xfId="4" xr:uid="{4A6CCBE3-B929-476F-98CE-B4871D7AC02C}"/>
    <cellStyle name="Millares 8 2" xfId="167" xr:uid="{5180D258-0948-4EAE-8462-02533A6FCEDC}"/>
    <cellStyle name="Millares 9" xfId="115" xr:uid="{1ACFAD5E-B3C4-4A04-A8D6-7E6335A96E3B}"/>
    <cellStyle name="Millares 9 2" xfId="215" xr:uid="{4C8394EB-39ED-42F4-8A97-04F9689BD036}"/>
    <cellStyle name="Moneda" xfId="269" builtinId="4"/>
    <cellStyle name="Normal" xfId="0" builtinId="0"/>
    <cellStyle name="Normal 10" xfId="60" xr:uid="{84689E37-F7F4-4607-A097-51C8A2D1EF09}"/>
    <cellStyle name="Normal 11" xfId="3" xr:uid="{95F902D7-78E9-4762-B301-6FB9CDE3192C}"/>
    <cellStyle name="Normal 12" xfId="266" xr:uid="{A1EDF155-187E-42F7-963D-2B7300F97308}"/>
    <cellStyle name="Normal 13" xfId="272" xr:uid="{960716D7-BB92-4979-954A-7E12707D316B}"/>
    <cellStyle name="Normal 14" xfId="273" xr:uid="{204AEF5E-F635-4E57-8D65-0D4D4A21C460}"/>
    <cellStyle name="Normal 2" xfId="32" xr:uid="{B4A0A780-CC89-4C73-A64D-E1FA8CB21E3C}"/>
    <cellStyle name="Normal 2 2" xfId="5" xr:uid="{084462C8-F18A-4EB6-B910-646B8A3A1A9E}"/>
    <cellStyle name="Normal 3" xfId="33" xr:uid="{AB6F1EF6-8CDB-489E-BEBA-BFB2D96361B1}"/>
    <cellStyle name="Normal 3 2" xfId="34" xr:uid="{FB9DAE19-703A-4158-87CD-3433BA53719A}"/>
    <cellStyle name="Normal 3 2 2" xfId="9" xr:uid="{D1EE06B3-EB91-444E-AFDE-AE83DB93FCD1}"/>
    <cellStyle name="Normal 3 2 2 2" xfId="35" xr:uid="{EC6424CA-752A-479C-99DF-E39FE1F58DC0}"/>
    <cellStyle name="Normal 3 2 2 2 2" xfId="36" xr:uid="{CF671B88-0477-4EA8-A850-ADA3A7329284}"/>
    <cellStyle name="Normal 3 2 2 2 2 2" xfId="91" xr:uid="{E936C820-1B65-4A08-8A37-D2BC93790F19}"/>
    <cellStyle name="Normal 3 2 2 2 3" xfId="90" xr:uid="{7F432AD1-04F7-49EA-8421-2C5DCED6A110}"/>
    <cellStyle name="Normal 3 2 2 3" xfId="37" xr:uid="{392F48BE-34F8-415A-AA1E-D10CCF001F4A}"/>
    <cellStyle name="Normal 3 2 2 3 2" xfId="38" xr:uid="{B41FACEC-7C47-4828-8930-2552F1B782E7}"/>
    <cellStyle name="Normal 3 2 2 3 2 2" xfId="93" xr:uid="{774C39EC-ABD1-45EA-9A2A-935337ED6141}"/>
    <cellStyle name="Normal 3 2 2 3 3" xfId="92" xr:uid="{B9B0CC06-2D3D-46EE-A3DC-F4FEDE1EA56E}"/>
    <cellStyle name="Normal 3 2 2 4" xfId="39" xr:uid="{1CFA19A3-4399-4275-8F9D-B28E844891CF}"/>
    <cellStyle name="Normal 3 2 2 4 2" xfId="94" xr:uid="{659C0E49-A9CB-4B06-8CD5-6589ED8A711C}"/>
    <cellStyle name="Normal 3 2 2 5" xfId="40" xr:uid="{D5941AFC-00F8-4ABA-9A79-2A00FB6441DB}"/>
    <cellStyle name="Normal 3 2 2 5 2" xfId="95" xr:uid="{E9AD9FD4-9796-4B0A-93FE-5714DBA14E96}"/>
    <cellStyle name="Normal 3 2 2 6" xfId="41" xr:uid="{E475F058-E34B-47AB-892C-6679BE0B363D}"/>
    <cellStyle name="Normal 3 2 2 6 2" xfId="42" xr:uid="{C8F0ED1C-61C4-425C-9CE3-0E1540FDB4DD}"/>
    <cellStyle name="Normal 3 2 2 6 2 2" xfId="97" xr:uid="{B69EFDB7-E2B4-4CDA-BA76-1FFD76068057}"/>
    <cellStyle name="Normal 3 2 2 6 3" xfId="96" xr:uid="{963A4270-6555-43D0-86E2-B9051E67CB1D}"/>
    <cellStyle name="Normal 3 2 2 7" xfId="66" xr:uid="{B8341C71-F74B-4800-898C-65EB38BA5327}"/>
    <cellStyle name="Normal 3 2 2 8" xfId="112" xr:uid="{12125579-6230-4D85-AFB5-887D9B9C160D}"/>
    <cellStyle name="Normal 3 2 3" xfId="43" xr:uid="{D72FAF89-21F9-422C-A641-B609160FC2B8}"/>
    <cellStyle name="Normal 3 2 3 2" xfId="44" xr:uid="{8B23EB8F-601A-4A6D-A39D-84AE33DD06FE}"/>
    <cellStyle name="Normal 3 2 3 2 2" xfId="99" xr:uid="{73F55EBD-991E-4281-ADF8-56BAF2132369}"/>
    <cellStyle name="Normal 3 2 3 3" xfId="98" xr:uid="{AE95EFDF-4C3F-46CA-A91C-6C11EF38C9B3}"/>
    <cellStyle name="Normal 3 2 4" xfId="45" xr:uid="{907687C8-0B74-443D-B034-E0A5B5DDC38B}"/>
    <cellStyle name="Normal 3 2 4 2" xfId="46" xr:uid="{5A1EE326-0D60-41BA-817C-B2598B05ED62}"/>
    <cellStyle name="Normal 3 2 4 2 2" xfId="101" xr:uid="{D81018BC-7CB2-43B5-9158-B62EB6EF41C7}"/>
    <cellStyle name="Normal 3 2 4 3" xfId="100" xr:uid="{32427A9C-CC33-465A-AC4E-F78EA65C1CF2}"/>
    <cellStyle name="Normal 3 2 5" xfId="47" xr:uid="{5B823649-AB3F-43B1-A1BE-CDE5DCAE73E6}"/>
    <cellStyle name="Normal 3 2 5 2" xfId="102" xr:uid="{9D34CE23-CA24-4D38-BAC5-4BB4D0432D4A}"/>
    <cellStyle name="Normal 3 2 6" xfId="89" xr:uid="{8360AB3C-CA67-437D-9162-B5E230CA165A}"/>
    <cellStyle name="Normal 3 3" xfId="48" xr:uid="{7DEDDCBF-B652-4D0C-AAB3-ED3D5C0862C0}"/>
    <cellStyle name="Normal 3 3 2" xfId="49" xr:uid="{1E11F2EF-E2E6-4B8F-9AAD-DB56F08A4643}"/>
    <cellStyle name="Normal 3 3 2 2" xfId="104" xr:uid="{8E11AF8C-6777-4620-AB5D-B68C888460F6}"/>
    <cellStyle name="Normal 3 3 3" xfId="103" xr:uid="{29C38300-E3ED-43C0-878D-9BF2F7923A21}"/>
    <cellStyle name="Normal 3 4" xfId="50" xr:uid="{A530756B-62E2-4C1C-A9DF-E01ECB11E567}"/>
    <cellStyle name="Normal 3 4 2" xfId="51" xr:uid="{43B589C0-A021-4E8B-9203-1C19F07C0EDF}"/>
    <cellStyle name="Normal 3 4 2 2" xfId="106" xr:uid="{BF416C0A-E01A-4420-BD6E-2E6BF7A1C618}"/>
    <cellStyle name="Normal 3 4 3" xfId="105" xr:uid="{443EDE0A-8355-4ADE-86AB-868C44082708}"/>
    <cellStyle name="Normal 3 5" xfId="52" xr:uid="{42428AA0-53F3-4FAC-8233-D96FFF3F3E43}"/>
    <cellStyle name="Normal 3 5 2" xfId="107" xr:uid="{F284B1FC-0EAC-4ABF-BB3A-7584EAD333C5}"/>
    <cellStyle name="Normal 3 6" xfId="88" xr:uid="{2C3B39FD-47AC-4B82-B13A-C6CFF283A6D5}"/>
    <cellStyle name="Normal 4" xfId="10" xr:uid="{B3C6EE3B-CADB-4F3D-8068-3C4003160626}"/>
    <cellStyle name="Normal 4 2" xfId="67" xr:uid="{B35778BE-03AF-4C8E-BC08-C29DD7FD6002}"/>
    <cellStyle name="Normal 5" xfId="6" xr:uid="{17E18E1A-393A-41B2-8626-88E456E3B945}"/>
    <cellStyle name="Normal 6" xfId="53" xr:uid="{CF1157F5-A7E4-4D0F-875B-C7476B93D1CE}"/>
    <cellStyle name="Normal 7" xfId="54" xr:uid="{B6DBC275-2AE8-4E25-A832-AA130BF5789C}"/>
    <cellStyle name="Normal 8" xfId="55" xr:uid="{15078355-3099-4135-B094-4A24755E394E}"/>
    <cellStyle name="Normal 8 2" xfId="56" xr:uid="{E3828B16-37F5-4651-A4FD-8DA8429D8A19}"/>
    <cellStyle name="Normal 8 2 2" xfId="109" xr:uid="{DE069E0D-4CEA-487D-A38D-5B4754E65DF4}"/>
    <cellStyle name="Normal 8 3" xfId="108" xr:uid="{9653E7E7-6C98-4E3B-9D57-89E5317419F9}"/>
    <cellStyle name="Normal 9" xfId="62" xr:uid="{10ADA3B7-9509-40EE-9C43-539AA3774996}"/>
    <cellStyle name="Porcentaje" xfId="2" builtinId="5"/>
    <cellStyle name="Porcentaje 2" xfId="57" xr:uid="{515E4167-4467-43FE-BAA8-35F193F31727}"/>
    <cellStyle name="Porcentaje 2 2" xfId="58" xr:uid="{3C6254BB-1091-4324-808D-AD3A2A9D057F}"/>
    <cellStyle name="Porcentaje 2 2 2" xfId="111" xr:uid="{16BC7B69-E7A1-4AB9-90C2-84D2EB55E258}"/>
    <cellStyle name="Porcentaje 2 3" xfId="110" xr:uid="{EBA0841A-F51D-4FC5-9837-EBADFCBEDD51}"/>
    <cellStyle name="Porcentaje 3" xfId="59" xr:uid="{117256D6-4C7C-4D87-A129-07D1E337AB86}"/>
    <cellStyle name="Porcentaje 4" xfId="65" xr:uid="{4E944DAB-65A7-4ECF-A5A1-A79F318AA414}"/>
    <cellStyle name="Porcentaje 5" xfId="8" xr:uid="{66320A43-E5AB-4FE7-BA4B-E4C2F89B9FB3}"/>
  </cellStyles>
  <dxfs count="2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alignment horizontal="left"/>
    </dxf>
    <dxf>
      <alignment horizontal="left"/>
    </dxf>
    <dxf>
      <alignment horizontal="center" vertical="center" wrapText="1"/>
    </dxf>
    <dxf>
      <alignment horizontal="center" vertical="center" wrapText="1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1.xml"/><Relationship Id="rId21" Type="http://schemas.openxmlformats.org/officeDocument/2006/relationships/worksheet" Target="worksheets/sheet15.xml"/><Relationship Id="rId42" Type="http://schemas.openxmlformats.org/officeDocument/2006/relationships/worksheet" Target="worksheets/sheet36.xml"/><Relationship Id="rId63" Type="http://schemas.openxmlformats.org/officeDocument/2006/relationships/worksheet" Target="worksheets/sheet57.xml"/><Relationship Id="rId84" Type="http://schemas.openxmlformats.org/officeDocument/2006/relationships/worksheet" Target="worksheets/sheet78.xml"/><Relationship Id="rId138" Type="http://schemas.openxmlformats.org/officeDocument/2006/relationships/worksheet" Target="worksheets/sheet131.xml"/><Relationship Id="rId159" Type="http://schemas.openxmlformats.org/officeDocument/2006/relationships/calcChain" Target="calcChain.xml"/><Relationship Id="rId107" Type="http://schemas.openxmlformats.org/officeDocument/2006/relationships/worksheet" Target="worksheets/sheet101.xml"/><Relationship Id="rId11" Type="http://schemas.openxmlformats.org/officeDocument/2006/relationships/worksheet" Target="worksheets/sheet5.xml"/><Relationship Id="rId32" Type="http://schemas.openxmlformats.org/officeDocument/2006/relationships/worksheet" Target="worksheets/sheet26.xml"/><Relationship Id="rId53" Type="http://schemas.openxmlformats.org/officeDocument/2006/relationships/worksheet" Target="worksheets/sheet47.xml"/><Relationship Id="rId74" Type="http://schemas.openxmlformats.org/officeDocument/2006/relationships/worksheet" Target="worksheets/sheet68.xml"/><Relationship Id="rId128" Type="http://schemas.openxmlformats.org/officeDocument/2006/relationships/worksheet" Target="worksheets/sheet122.xml"/><Relationship Id="rId149" Type="http://schemas.openxmlformats.org/officeDocument/2006/relationships/externalLink" Target="externalLinks/externalLink9.xml"/><Relationship Id="rId5" Type="http://schemas.openxmlformats.org/officeDocument/2006/relationships/chartsheet" Target="chartsheets/sheet3.xml"/><Relationship Id="rId95" Type="http://schemas.openxmlformats.org/officeDocument/2006/relationships/worksheet" Target="worksheets/sheet89.xml"/><Relationship Id="rId22" Type="http://schemas.openxmlformats.org/officeDocument/2006/relationships/worksheet" Target="worksheets/sheet16.xml"/><Relationship Id="rId43" Type="http://schemas.openxmlformats.org/officeDocument/2006/relationships/worksheet" Target="worksheets/sheet37.xml"/><Relationship Id="rId64" Type="http://schemas.openxmlformats.org/officeDocument/2006/relationships/worksheet" Target="worksheets/sheet58.xml"/><Relationship Id="rId118" Type="http://schemas.openxmlformats.org/officeDocument/2006/relationships/worksheet" Target="worksheets/sheet112.xml"/><Relationship Id="rId139" Type="http://schemas.openxmlformats.org/officeDocument/2006/relationships/worksheet" Target="worksheets/sheet132.xml"/><Relationship Id="rId80" Type="http://schemas.openxmlformats.org/officeDocument/2006/relationships/worksheet" Target="worksheets/sheet74.xml"/><Relationship Id="rId85" Type="http://schemas.openxmlformats.org/officeDocument/2006/relationships/worksheet" Target="worksheets/sheet79.xml"/><Relationship Id="rId150" Type="http://schemas.openxmlformats.org/officeDocument/2006/relationships/externalLink" Target="externalLinks/externalLink10.xml"/><Relationship Id="rId155" Type="http://schemas.openxmlformats.org/officeDocument/2006/relationships/theme" Target="theme/theme1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33" Type="http://schemas.openxmlformats.org/officeDocument/2006/relationships/worksheet" Target="worksheets/sheet27.xml"/><Relationship Id="rId38" Type="http://schemas.openxmlformats.org/officeDocument/2006/relationships/worksheet" Target="worksheets/sheet32.xml"/><Relationship Id="rId59" Type="http://schemas.openxmlformats.org/officeDocument/2006/relationships/worksheet" Target="worksheets/sheet53.xml"/><Relationship Id="rId103" Type="http://schemas.openxmlformats.org/officeDocument/2006/relationships/worksheet" Target="worksheets/sheet97.xml"/><Relationship Id="rId108" Type="http://schemas.openxmlformats.org/officeDocument/2006/relationships/worksheet" Target="worksheets/sheet102.xml"/><Relationship Id="rId124" Type="http://schemas.openxmlformats.org/officeDocument/2006/relationships/worksheet" Target="worksheets/sheet118.xml"/><Relationship Id="rId129" Type="http://schemas.openxmlformats.org/officeDocument/2006/relationships/chartsheet" Target="chartsheets/sheet7.xml"/><Relationship Id="rId54" Type="http://schemas.openxmlformats.org/officeDocument/2006/relationships/worksheet" Target="worksheets/sheet48.xml"/><Relationship Id="rId70" Type="http://schemas.openxmlformats.org/officeDocument/2006/relationships/worksheet" Target="worksheets/sheet64.xml"/><Relationship Id="rId75" Type="http://schemas.openxmlformats.org/officeDocument/2006/relationships/worksheet" Target="worksheets/sheet69.xml"/><Relationship Id="rId91" Type="http://schemas.openxmlformats.org/officeDocument/2006/relationships/worksheet" Target="worksheets/sheet85.xml"/><Relationship Id="rId96" Type="http://schemas.openxmlformats.org/officeDocument/2006/relationships/worksheet" Target="worksheets/sheet90.xml"/><Relationship Id="rId140" Type="http://schemas.openxmlformats.org/officeDocument/2006/relationships/worksheet" Target="worksheets/sheet133.xml"/><Relationship Id="rId145" Type="http://schemas.openxmlformats.org/officeDocument/2006/relationships/externalLink" Target="externalLinks/externalLink5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4.xml"/><Relationship Id="rId23" Type="http://schemas.openxmlformats.org/officeDocument/2006/relationships/worksheet" Target="worksheets/sheet17.xml"/><Relationship Id="rId28" Type="http://schemas.openxmlformats.org/officeDocument/2006/relationships/worksheet" Target="worksheets/sheet22.xml"/><Relationship Id="rId49" Type="http://schemas.openxmlformats.org/officeDocument/2006/relationships/worksheet" Target="worksheets/sheet43.xml"/><Relationship Id="rId114" Type="http://schemas.openxmlformats.org/officeDocument/2006/relationships/worksheet" Target="worksheets/sheet108.xml"/><Relationship Id="rId119" Type="http://schemas.openxmlformats.org/officeDocument/2006/relationships/worksheet" Target="worksheets/sheet113.xml"/><Relationship Id="rId44" Type="http://schemas.openxmlformats.org/officeDocument/2006/relationships/worksheet" Target="worksheets/sheet38.xml"/><Relationship Id="rId60" Type="http://schemas.openxmlformats.org/officeDocument/2006/relationships/worksheet" Target="worksheets/sheet54.xml"/><Relationship Id="rId65" Type="http://schemas.openxmlformats.org/officeDocument/2006/relationships/worksheet" Target="worksheets/sheet59.xml"/><Relationship Id="rId81" Type="http://schemas.openxmlformats.org/officeDocument/2006/relationships/worksheet" Target="worksheets/sheet75.xml"/><Relationship Id="rId86" Type="http://schemas.openxmlformats.org/officeDocument/2006/relationships/worksheet" Target="worksheets/sheet80.xml"/><Relationship Id="rId130" Type="http://schemas.openxmlformats.org/officeDocument/2006/relationships/worksheet" Target="worksheets/sheet123.xml"/><Relationship Id="rId135" Type="http://schemas.openxmlformats.org/officeDocument/2006/relationships/worksheet" Target="worksheets/sheet128.xml"/><Relationship Id="rId151" Type="http://schemas.openxmlformats.org/officeDocument/2006/relationships/externalLink" Target="externalLinks/externalLink11.xml"/><Relationship Id="rId156" Type="http://schemas.openxmlformats.org/officeDocument/2006/relationships/styles" Target="styles.xml"/><Relationship Id="rId13" Type="http://schemas.openxmlformats.org/officeDocument/2006/relationships/worksheet" Target="worksheets/sheet7.xml"/><Relationship Id="rId18" Type="http://schemas.openxmlformats.org/officeDocument/2006/relationships/worksheet" Target="worksheets/sheet12.xml"/><Relationship Id="rId39" Type="http://schemas.openxmlformats.org/officeDocument/2006/relationships/worksheet" Target="worksheets/sheet33.xml"/><Relationship Id="rId109" Type="http://schemas.openxmlformats.org/officeDocument/2006/relationships/worksheet" Target="worksheets/sheet103.xml"/><Relationship Id="rId34" Type="http://schemas.openxmlformats.org/officeDocument/2006/relationships/worksheet" Target="worksheets/sheet28.xml"/><Relationship Id="rId50" Type="http://schemas.openxmlformats.org/officeDocument/2006/relationships/worksheet" Target="worksheets/sheet44.xml"/><Relationship Id="rId55" Type="http://schemas.openxmlformats.org/officeDocument/2006/relationships/worksheet" Target="worksheets/sheet49.xml"/><Relationship Id="rId76" Type="http://schemas.openxmlformats.org/officeDocument/2006/relationships/worksheet" Target="worksheets/sheet70.xml"/><Relationship Id="rId97" Type="http://schemas.openxmlformats.org/officeDocument/2006/relationships/worksheet" Target="worksheets/sheet91.xml"/><Relationship Id="rId104" Type="http://schemas.openxmlformats.org/officeDocument/2006/relationships/worksheet" Target="worksheets/sheet98.xml"/><Relationship Id="rId120" Type="http://schemas.openxmlformats.org/officeDocument/2006/relationships/worksheet" Target="worksheets/sheet114.xml"/><Relationship Id="rId125" Type="http://schemas.openxmlformats.org/officeDocument/2006/relationships/worksheet" Target="worksheets/sheet119.xml"/><Relationship Id="rId141" Type="http://schemas.openxmlformats.org/officeDocument/2006/relationships/externalLink" Target="externalLinks/externalLink1.xml"/><Relationship Id="rId146" Type="http://schemas.openxmlformats.org/officeDocument/2006/relationships/externalLink" Target="externalLinks/externalLink6.xml"/><Relationship Id="rId7" Type="http://schemas.openxmlformats.org/officeDocument/2006/relationships/chartsheet" Target="chartsheets/sheet5.xml"/><Relationship Id="rId71" Type="http://schemas.openxmlformats.org/officeDocument/2006/relationships/worksheet" Target="worksheets/sheet65.xml"/><Relationship Id="rId92" Type="http://schemas.openxmlformats.org/officeDocument/2006/relationships/worksheet" Target="worksheets/sheet86.xml"/><Relationship Id="rId2" Type="http://schemas.openxmlformats.org/officeDocument/2006/relationships/worksheet" Target="worksheets/sheet1.xml"/><Relationship Id="rId29" Type="http://schemas.openxmlformats.org/officeDocument/2006/relationships/worksheet" Target="worksheets/sheet23.xml"/><Relationship Id="rId24" Type="http://schemas.openxmlformats.org/officeDocument/2006/relationships/worksheet" Target="worksheets/sheet18.xml"/><Relationship Id="rId40" Type="http://schemas.openxmlformats.org/officeDocument/2006/relationships/worksheet" Target="worksheets/sheet34.xml"/><Relationship Id="rId45" Type="http://schemas.openxmlformats.org/officeDocument/2006/relationships/worksheet" Target="worksheets/sheet39.xml"/><Relationship Id="rId66" Type="http://schemas.openxmlformats.org/officeDocument/2006/relationships/worksheet" Target="worksheets/sheet60.xml"/><Relationship Id="rId87" Type="http://schemas.openxmlformats.org/officeDocument/2006/relationships/worksheet" Target="worksheets/sheet81.xml"/><Relationship Id="rId110" Type="http://schemas.openxmlformats.org/officeDocument/2006/relationships/worksheet" Target="worksheets/sheet104.xml"/><Relationship Id="rId115" Type="http://schemas.openxmlformats.org/officeDocument/2006/relationships/worksheet" Target="worksheets/sheet109.xml"/><Relationship Id="rId131" Type="http://schemas.openxmlformats.org/officeDocument/2006/relationships/worksheet" Target="worksheets/sheet124.xml"/><Relationship Id="rId136" Type="http://schemas.openxmlformats.org/officeDocument/2006/relationships/worksheet" Target="worksheets/sheet129.xml"/><Relationship Id="rId157" Type="http://schemas.openxmlformats.org/officeDocument/2006/relationships/sharedStrings" Target="sharedStrings.xml"/><Relationship Id="rId61" Type="http://schemas.openxmlformats.org/officeDocument/2006/relationships/worksheet" Target="worksheets/sheet55.xml"/><Relationship Id="rId82" Type="http://schemas.openxmlformats.org/officeDocument/2006/relationships/worksheet" Target="worksheets/sheet76.xml"/><Relationship Id="rId152" Type="http://schemas.openxmlformats.org/officeDocument/2006/relationships/pivotCacheDefinition" Target="pivotCache/pivotCacheDefinition1.xml"/><Relationship Id="rId19" Type="http://schemas.openxmlformats.org/officeDocument/2006/relationships/worksheet" Target="worksheets/sheet13.xml"/><Relationship Id="rId14" Type="http://schemas.openxmlformats.org/officeDocument/2006/relationships/worksheet" Target="worksheets/sheet8.xml"/><Relationship Id="rId30" Type="http://schemas.openxmlformats.org/officeDocument/2006/relationships/worksheet" Target="worksheets/sheet24.xml"/><Relationship Id="rId35" Type="http://schemas.openxmlformats.org/officeDocument/2006/relationships/worksheet" Target="worksheets/sheet29.xml"/><Relationship Id="rId56" Type="http://schemas.openxmlformats.org/officeDocument/2006/relationships/worksheet" Target="worksheets/sheet50.xml"/><Relationship Id="rId77" Type="http://schemas.openxmlformats.org/officeDocument/2006/relationships/worksheet" Target="worksheets/sheet71.xml"/><Relationship Id="rId100" Type="http://schemas.openxmlformats.org/officeDocument/2006/relationships/worksheet" Target="worksheets/sheet94.xml"/><Relationship Id="rId105" Type="http://schemas.openxmlformats.org/officeDocument/2006/relationships/worksheet" Target="worksheets/sheet99.xml"/><Relationship Id="rId126" Type="http://schemas.openxmlformats.org/officeDocument/2006/relationships/worksheet" Target="worksheets/sheet120.xml"/><Relationship Id="rId147" Type="http://schemas.openxmlformats.org/officeDocument/2006/relationships/externalLink" Target="externalLinks/externalLink7.xml"/><Relationship Id="rId8" Type="http://schemas.openxmlformats.org/officeDocument/2006/relationships/chartsheet" Target="chartsheets/sheet6.xml"/><Relationship Id="rId51" Type="http://schemas.openxmlformats.org/officeDocument/2006/relationships/worksheet" Target="worksheets/sheet45.xml"/><Relationship Id="rId72" Type="http://schemas.openxmlformats.org/officeDocument/2006/relationships/worksheet" Target="worksheets/sheet66.xml"/><Relationship Id="rId93" Type="http://schemas.openxmlformats.org/officeDocument/2006/relationships/worksheet" Target="worksheets/sheet87.xml"/><Relationship Id="rId98" Type="http://schemas.openxmlformats.org/officeDocument/2006/relationships/worksheet" Target="worksheets/sheet92.xml"/><Relationship Id="rId121" Type="http://schemas.openxmlformats.org/officeDocument/2006/relationships/worksheet" Target="worksheets/sheet115.xml"/><Relationship Id="rId142" Type="http://schemas.openxmlformats.org/officeDocument/2006/relationships/externalLink" Target="externalLinks/externalLink2.xml"/><Relationship Id="rId3" Type="http://schemas.openxmlformats.org/officeDocument/2006/relationships/worksheet" Target="worksheets/sheet2.xml"/><Relationship Id="rId25" Type="http://schemas.openxmlformats.org/officeDocument/2006/relationships/worksheet" Target="worksheets/sheet19.xml"/><Relationship Id="rId46" Type="http://schemas.openxmlformats.org/officeDocument/2006/relationships/worksheet" Target="worksheets/sheet40.xml"/><Relationship Id="rId67" Type="http://schemas.openxmlformats.org/officeDocument/2006/relationships/worksheet" Target="worksheets/sheet61.xml"/><Relationship Id="rId116" Type="http://schemas.openxmlformats.org/officeDocument/2006/relationships/worksheet" Target="worksheets/sheet110.xml"/><Relationship Id="rId137" Type="http://schemas.openxmlformats.org/officeDocument/2006/relationships/worksheet" Target="worksheets/sheet130.xml"/><Relationship Id="rId158" Type="http://schemas.openxmlformats.org/officeDocument/2006/relationships/sheetMetadata" Target="metadata.xml"/><Relationship Id="rId20" Type="http://schemas.openxmlformats.org/officeDocument/2006/relationships/worksheet" Target="worksheets/sheet14.xml"/><Relationship Id="rId41" Type="http://schemas.openxmlformats.org/officeDocument/2006/relationships/worksheet" Target="worksheets/sheet35.xml"/><Relationship Id="rId62" Type="http://schemas.openxmlformats.org/officeDocument/2006/relationships/worksheet" Target="worksheets/sheet56.xml"/><Relationship Id="rId83" Type="http://schemas.openxmlformats.org/officeDocument/2006/relationships/worksheet" Target="worksheets/sheet77.xml"/><Relationship Id="rId88" Type="http://schemas.openxmlformats.org/officeDocument/2006/relationships/worksheet" Target="worksheets/sheet82.xml"/><Relationship Id="rId111" Type="http://schemas.openxmlformats.org/officeDocument/2006/relationships/worksheet" Target="worksheets/sheet105.xml"/><Relationship Id="rId132" Type="http://schemas.openxmlformats.org/officeDocument/2006/relationships/worksheet" Target="worksheets/sheet125.xml"/><Relationship Id="rId153" Type="http://schemas.openxmlformats.org/officeDocument/2006/relationships/pivotCacheDefinition" Target="pivotCache/pivotCacheDefinition2.xml"/><Relationship Id="rId15" Type="http://schemas.openxmlformats.org/officeDocument/2006/relationships/worksheet" Target="worksheets/sheet9.xml"/><Relationship Id="rId36" Type="http://schemas.openxmlformats.org/officeDocument/2006/relationships/worksheet" Target="worksheets/sheet30.xml"/><Relationship Id="rId57" Type="http://schemas.openxmlformats.org/officeDocument/2006/relationships/worksheet" Target="worksheets/sheet51.xml"/><Relationship Id="rId106" Type="http://schemas.openxmlformats.org/officeDocument/2006/relationships/worksheet" Target="worksheets/sheet100.xml"/><Relationship Id="rId127" Type="http://schemas.openxmlformats.org/officeDocument/2006/relationships/worksheet" Target="worksheets/sheet121.xml"/><Relationship Id="rId10" Type="http://schemas.openxmlformats.org/officeDocument/2006/relationships/worksheet" Target="worksheets/sheet4.xml"/><Relationship Id="rId31" Type="http://schemas.openxmlformats.org/officeDocument/2006/relationships/worksheet" Target="worksheets/sheet25.xml"/><Relationship Id="rId52" Type="http://schemas.openxmlformats.org/officeDocument/2006/relationships/worksheet" Target="worksheets/sheet46.xml"/><Relationship Id="rId73" Type="http://schemas.openxmlformats.org/officeDocument/2006/relationships/worksheet" Target="worksheets/sheet67.xml"/><Relationship Id="rId78" Type="http://schemas.openxmlformats.org/officeDocument/2006/relationships/worksheet" Target="worksheets/sheet72.xml"/><Relationship Id="rId94" Type="http://schemas.openxmlformats.org/officeDocument/2006/relationships/worksheet" Target="worksheets/sheet88.xml"/><Relationship Id="rId99" Type="http://schemas.openxmlformats.org/officeDocument/2006/relationships/worksheet" Target="worksheets/sheet93.xml"/><Relationship Id="rId101" Type="http://schemas.openxmlformats.org/officeDocument/2006/relationships/worksheet" Target="worksheets/sheet95.xml"/><Relationship Id="rId122" Type="http://schemas.openxmlformats.org/officeDocument/2006/relationships/worksheet" Target="worksheets/sheet116.xml"/><Relationship Id="rId143" Type="http://schemas.openxmlformats.org/officeDocument/2006/relationships/externalLink" Target="externalLinks/externalLink3.xml"/><Relationship Id="rId148" Type="http://schemas.openxmlformats.org/officeDocument/2006/relationships/externalLink" Target="externalLinks/externalLink8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3.xml"/><Relationship Id="rId26" Type="http://schemas.openxmlformats.org/officeDocument/2006/relationships/worksheet" Target="worksheets/sheet20.xml"/><Relationship Id="rId47" Type="http://schemas.openxmlformats.org/officeDocument/2006/relationships/worksheet" Target="worksheets/sheet41.xml"/><Relationship Id="rId68" Type="http://schemas.openxmlformats.org/officeDocument/2006/relationships/worksheet" Target="worksheets/sheet62.xml"/><Relationship Id="rId89" Type="http://schemas.openxmlformats.org/officeDocument/2006/relationships/worksheet" Target="worksheets/sheet83.xml"/><Relationship Id="rId112" Type="http://schemas.openxmlformats.org/officeDocument/2006/relationships/worksheet" Target="worksheets/sheet106.xml"/><Relationship Id="rId133" Type="http://schemas.openxmlformats.org/officeDocument/2006/relationships/worksheet" Target="worksheets/sheet126.xml"/><Relationship Id="rId154" Type="http://schemas.openxmlformats.org/officeDocument/2006/relationships/pivotCacheDefinition" Target="pivotCache/pivotCacheDefinition3.xml"/><Relationship Id="rId16" Type="http://schemas.openxmlformats.org/officeDocument/2006/relationships/worksheet" Target="worksheets/sheet10.xml"/><Relationship Id="rId37" Type="http://schemas.openxmlformats.org/officeDocument/2006/relationships/worksheet" Target="worksheets/sheet31.xml"/><Relationship Id="rId58" Type="http://schemas.openxmlformats.org/officeDocument/2006/relationships/worksheet" Target="worksheets/sheet52.xml"/><Relationship Id="rId79" Type="http://schemas.openxmlformats.org/officeDocument/2006/relationships/worksheet" Target="worksheets/sheet73.xml"/><Relationship Id="rId102" Type="http://schemas.openxmlformats.org/officeDocument/2006/relationships/worksheet" Target="worksheets/sheet96.xml"/><Relationship Id="rId123" Type="http://schemas.openxmlformats.org/officeDocument/2006/relationships/worksheet" Target="worksheets/sheet117.xml"/><Relationship Id="rId144" Type="http://schemas.openxmlformats.org/officeDocument/2006/relationships/externalLink" Target="externalLinks/externalLink4.xml"/><Relationship Id="rId90" Type="http://schemas.openxmlformats.org/officeDocument/2006/relationships/worksheet" Target="worksheets/sheet84.xml"/><Relationship Id="rId27" Type="http://schemas.openxmlformats.org/officeDocument/2006/relationships/worksheet" Target="worksheets/sheet21.xml"/><Relationship Id="rId48" Type="http://schemas.openxmlformats.org/officeDocument/2006/relationships/worksheet" Target="worksheets/sheet42.xml"/><Relationship Id="rId69" Type="http://schemas.openxmlformats.org/officeDocument/2006/relationships/worksheet" Target="worksheets/sheet63.xml"/><Relationship Id="rId113" Type="http://schemas.openxmlformats.org/officeDocument/2006/relationships/worksheet" Target="worksheets/sheet107.xml"/><Relationship Id="rId134" Type="http://schemas.openxmlformats.org/officeDocument/2006/relationships/worksheet" Target="worksheets/sheet127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% MARGEN BRUTO X REFERENCIA</a:t>
            </a:r>
          </a:p>
          <a:p>
            <a:pPr>
              <a:defRPr/>
            </a:pPr>
            <a:r>
              <a:rPr lang="es-CO"/>
              <a:t>SEPTIEMBRE 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233-4BE1-9DCA-5DB9624D3783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233-4BE1-9DCA-5DB9624D3783}"/>
            </c:ext>
          </c:extLst>
        </c:ser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A233-4BE1-9DCA-5DB9624D3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368408"/>
        <c:axId val="1046368736"/>
      </c:lineChart>
      <c:catAx>
        <c:axId val="1046368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6368736"/>
        <c:crosses val="autoZero"/>
        <c:auto val="0"/>
        <c:lblAlgn val="ctr"/>
        <c:lblOffset val="100"/>
        <c:noMultiLvlLbl val="0"/>
      </c:catAx>
      <c:valAx>
        <c:axId val="104636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6368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DE VARIACIÓN AL ALZA </a:t>
            </a:r>
          </a:p>
          <a:p>
            <a:pPr>
              <a:defRPr/>
            </a:pPr>
            <a:r>
              <a:rPr lang="es-CO"/>
              <a:t>MP AGO - SEP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'MATERIAS PRIMAS'!$B$2:$B$21</c:f>
              <c:strCache>
                <c:ptCount val="20"/>
                <c:pt idx="0">
                  <c:v>TAROMA HAM. BOLSA X 5 KILOS</c:v>
                </c:pt>
                <c:pt idx="1">
                  <c:v>TOCINO </c:v>
                </c:pt>
                <c:pt idx="2">
                  <c:v>REACTYNSH2 TRASGLUTAMINASA BOLSA X 1 KG</c:v>
                </c:pt>
                <c:pt idx="3">
                  <c:v>MEZCLA DE FOSFATOS (CARFOSEL 996). SACO X 25 KILOS.</c:v>
                </c:pt>
                <c:pt idx="4">
                  <c:v>ALMIDON DE PAPA SACO X 25 KILOS .</c:v>
                </c:pt>
                <c:pt idx="5">
                  <c:v>MEZCLA DE FOSFATOS (CARNAL 961). SACO X 25 KILOS.</c:v>
                </c:pt>
                <c:pt idx="6">
                  <c:v>PIEL DE POLLO NACIONAL</c:v>
                </c:pt>
                <c:pt idx="7">
                  <c:v>PROTEÍNA DE SOYA AL 70%. WILCON SJ. SACO X 20 KILOS</c:v>
                </c:pt>
                <c:pt idx="8">
                  <c:v>PROTEÍNA COLAGÉNICA COLLAPRO P -950. SACO X 12,5 KILOS.</c:v>
                </c:pt>
                <c:pt idx="9">
                  <c:v>COLOR NATURAL HEMOGLOBINA. I RED. BOLSA X 1 KILO.</c:v>
                </c:pt>
                <c:pt idx="10">
                  <c:v>HUMO TRUSMOKE OIL EX. GARRAFA X 20 KG</c:v>
                </c:pt>
                <c:pt idx="11">
                  <c:v>SALCHICHÓN AUTÉNTICO X 225 GRAMOS</c:v>
                </c:pt>
                <c:pt idx="12">
                  <c:v>PROTEÍNA DE SOYA AL 70%. ARCON T (Hojuelas). SACO X 11.34 KILOS</c:v>
                </c:pt>
                <c:pt idx="13">
                  <c:v>GRANULOS DE PROTEÍNA. CANASTA X 25 KILOS.</c:v>
                </c:pt>
                <c:pt idx="14">
                  <c:v>SALCHICÓN DE POLLO X 225 GRAMOS</c:v>
                </c:pt>
                <c:pt idx="15">
                  <c:v>SALCHICHA CLASICA FAIZAN X 225 GRAMOS OFERTA</c:v>
                </c:pt>
                <c:pt idx="16">
                  <c:v>PASTA DE POLLO NACIONAL ALIPAQ</c:v>
                </c:pt>
                <c:pt idx="17">
                  <c:v>CONSERVANTE INBAC ACN/NA. CAJA X 25 KILOS.</c:v>
                </c:pt>
                <c:pt idx="18">
                  <c:v>AZÚCAR REFINADA. SACO X 50 KILOS.</c:v>
                </c:pt>
                <c:pt idx="19">
                  <c:v>COLOR NATURAL NARANJA LIQUIDO RA 40 - 3 9827 AF. GALÓN x 4 KILOS.</c:v>
                </c:pt>
              </c:strCache>
            </c:strRef>
          </c:cat>
          <c:val>
            <c:numRef>
              <c:f>'MATERIAS PRIMAS'!$C$2:$C$21</c:f>
            </c:numRef>
          </c:val>
          <c:smooth val="0"/>
          <c:extLst>
            <c:ext xmlns:c16="http://schemas.microsoft.com/office/drawing/2014/chart" uri="{C3380CC4-5D6E-409C-BE32-E72D297353CC}">
              <c16:uniqueId val="{00000000-1A9C-4F5C-8A87-39943239BE09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'MATERIAS PRIMAS'!$B$2:$B$21</c:f>
              <c:strCache>
                <c:ptCount val="20"/>
                <c:pt idx="0">
                  <c:v>TAROMA HAM. BOLSA X 5 KILOS</c:v>
                </c:pt>
                <c:pt idx="1">
                  <c:v>TOCINO </c:v>
                </c:pt>
                <c:pt idx="2">
                  <c:v>REACTYNSH2 TRASGLUTAMINASA BOLSA X 1 KG</c:v>
                </c:pt>
                <c:pt idx="3">
                  <c:v>MEZCLA DE FOSFATOS (CARFOSEL 996). SACO X 25 KILOS.</c:v>
                </c:pt>
                <c:pt idx="4">
                  <c:v>ALMIDON DE PAPA SACO X 25 KILOS .</c:v>
                </c:pt>
                <c:pt idx="5">
                  <c:v>MEZCLA DE FOSFATOS (CARNAL 961). SACO X 25 KILOS.</c:v>
                </c:pt>
                <c:pt idx="6">
                  <c:v>PIEL DE POLLO NACIONAL</c:v>
                </c:pt>
                <c:pt idx="7">
                  <c:v>PROTEÍNA DE SOYA AL 70%. WILCON SJ. SACO X 20 KILOS</c:v>
                </c:pt>
                <c:pt idx="8">
                  <c:v>PROTEÍNA COLAGÉNICA COLLAPRO P -950. SACO X 12,5 KILOS.</c:v>
                </c:pt>
                <c:pt idx="9">
                  <c:v>COLOR NATURAL HEMOGLOBINA. I RED. BOLSA X 1 KILO.</c:v>
                </c:pt>
                <c:pt idx="10">
                  <c:v>HUMO TRUSMOKE OIL EX. GARRAFA X 20 KG</c:v>
                </c:pt>
                <c:pt idx="11">
                  <c:v>SALCHICHÓN AUTÉNTICO X 225 GRAMOS</c:v>
                </c:pt>
                <c:pt idx="12">
                  <c:v>PROTEÍNA DE SOYA AL 70%. ARCON T (Hojuelas). SACO X 11.34 KILOS</c:v>
                </c:pt>
                <c:pt idx="13">
                  <c:v>GRANULOS DE PROTEÍNA. CANASTA X 25 KILOS.</c:v>
                </c:pt>
                <c:pt idx="14">
                  <c:v>SALCHICÓN DE POLLO X 225 GRAMOS</c:v>
                </c:pt>
                <c:pt idx="15">
                  <c:v>SALCHICHA CLASICA FAIZAN X 225 GRAMOS OFERTA</c:v>
                </c:pt>
                <c:pt idx="16">
                  <c:v>PASTA DE POLLO NACIONAL ALIPAQ</c:v>
                </c:pt>
                <c:pt idx="17">
                  <c:v>CONSERVANTE INBAC ACN/NA. CAJA X 25 KILOS.</c:v>
                </c:pt>
                <c:pt idx="18">
                  <c:v>AZÚCAR REFINADA. SACO X 50 KILOS.</c:v>
                </c:pt>
                <c:pt idx="19">
                  <c:v>COLOR NATURAL NARANJA LIQUIDO RA 40 - 3 9827 AF. GALÓN x 4 KILOS.</c:v>
                </c:pt>
              </c:strCache>
            </c:strRef>
          </c:cat>
          <c:val>
            <c:numRef>
              <c:f>'MATERIAS PRIMAS'!$D$2:$D$21</c:f>
            </c:numRef>
          </c:val>
          <c:smooth val="0"/>
          <c:extLst>
            <c:ext xmlns:c16="http://schemas.microsoft.com/office/drawing/2014/chart" uri="{C3380CC4-5D6E-409C-BE32-E72D297353CC}">
              <c16:uniqueId val="{00000001-1A9C-4F5C-8A87-39943239BE09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'MATERIAS PRIMAS'!$B$2:$B$21</c:f>
              <c:strCache>
                <c:ptCount val="20"/>
                <c:pt idx="0">
                  <c:v>TAROMA HAM. BOLSA X 5 KILOS</c:v>
                </c:pt>
                <c:pt idx="1">
                  <c:v>TOCINO </c:v>
                </c:pt>
                <c:pt idx="2">
                  <c:v>REACTYNSH2 TRASGLUTAMINASA BOLSA X 1 KG</c:v>
                </c:pt>
                <c:pt idx="3">
                  <c:v>MEZCLA DE FOSFATOS (CARFOSEL 996). SACO X 25 KILOS.</c:v>
                </c:pt>
                <c:pt idx="4">
                  <c:v>ALMIDON DE PAPA SACO X 25 KILOS .</c:v>
                </c:pt>
                <c:pt idx="5">
                  <c:v>MEZCLA DE FOSFATOS (CARNAL 961). SACO X 25 KILOS.</c:v>
                </c:pt>
                <c:pt idx="6">
                  <c:v>PIEL DE POLLO NACIONAL</c:v>
                </c:pt>
                <c:pt idx="7">
                  <c:v>PROTEÍNA DE SOYA AL 70%. WILCON SJ. SACO X 20 KILOS</c:v>
                </c:pt>
                <c:pt idx="8">
                  <c:v>PROTEÍNA COLAGÉNICA COLLAPRO P -950. SACO X 12,5 KILOS.</c:v>
                </c:pt>
                <c:pt idx="9">
                  <c:v>COLOR NATURAL HEMOGLOBINA. I RED. BOLSA X 1 KILO.</c:v>
                </c:pt>
                <c:pt idx="10">
                  <c:v>HUMO TRUSMOKE OIL EX. GARRAFA X 20 KG</c:v>
                </c:pt>
                <c:pt idx="11">
                  <c:v>SALCHICHÓN AUTÉNTICO X 225 GRAMOS</c:v>
                </c:pt>
                <c:pt idx="12">
                  <c:v>PROTEÍNA DE SOYA AL 70%. ARCON T (Hojuelas). SACO X 11.34 KILOS</c:v>
                </c:pt>
                <c:pt idx="13">
                  <c:v>GRANULOS DE PROTEÍNA. CANASTA X 25 KILOS.</c:v>
                </c:pt>
                <c:pt idx="14">
                  <c:v>SALCHICÓN DE POLLO X 225 GRAMOS</c:v>
                </c:pt>
                <c:pt idx="15">
                  <c:v>SALCHICHA CLASICA FAIZAN X 225 GRAMOS OFERTA</c:v>
                </c:pt>
                <c:pt idx="16">
                  <c:v>PASTA DE POLLO NACIONAL ALIPAQ</c:v>
                </c:pt>
                <c:pt idx="17">
                  <c:v>CONSERVANTE INBAC ACN/NA. CAJA X 25 KILOS.</c:v>
                </c:pt>
                <c:pt idx="18">
                  <c:v>AZÚCAR REFINADA. SACO X 50 KILOS.</c:v>
                </c:pt>
                <c:pt idx="19">
                  <c:v>COLOR NATURAL NARANJA LIQUIDO RA 40 - 3 9827 AF. GALÓN x 4 KILOS.</c:v>
                </c:pt>
              </c:strCache>
            </c:strRef>
          </c:cat>
          <c:val>
            <c:numRef>
              <c:f>'MATERIAS PRIMAS'!$E$2:$E$21</c:f>
            </c:numRef>
          </c:val>
          <c:smooth val="0"/>
          <c:extLst>
            <c:ext xmlns:c16="http://schemas.microsoft.com/office/drawing/2014/chart" uri="{C3380CC4-5D6E-409C-BE32-E72D297353CC}">
              <c16:uniqueId val="{00000002-1A9C-4F5C-8A87-39943239BE09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'MATERIAS PRIMAS'!$B$2:$B$21</c:f>
              <c:strCache>
                <c:ptCount val="20"/>
                <c:pt idx="0">
                  <c:v>TAROMA HAM. BOLSA X 5 KILOS</c:v>
                </c:pt>
                <c:pt idx="1">
                  <c:v>TOCINO </c:v>
                </c:pt>
                <c:pt idx="2">
                  <c:v>REACTYNSH2 TRASGLUTAMINASA BOLSA X 1 KG</c:v>
                </c:pt>
                <c:pt idx="3">
                  <c:v>MEZCLA DE FOSFATOS (CARFOSEL 996). SACO X 25 KILOS.</c:v>
                </c:pt>
                <c:pt idx="4">
                  <c:v>ALMIDON DE PAPA SACO X 25 KILOS .</c:v>
                </c:pt>
                <c:pt idx="5">
                  <c:v>MEZCLA DE FOSFATOS (CARNAL 961). SACO X 25 KILOS.</c:v>
                </c:pt>
                <c:pt idx="6">
                  <c:v>PIEL DE POLLO NACIONAL</c:v>
                </c:pt>
                <c:pt idx="7">
                  <c:v>PROTEÍNA DE SOYA AL 70%. WILCON SJ. SACO X 20 KILOS</c:v>
                </c:pt>
                <c:pt idx="8">
                  <c:v>PROTEÍNA COLAGÉNICA COLLAPRO P -950. SACO X 12,5 KILOS.</c:v>
                </c:pt>
                <c:pt idx="9">
                  <c:v>COLOR NATURAL HEMOGLOBINA. I RED. BOLSA X 1 KILO.</c:v>
                </c:pt>
                <c:pt idx="10">
                  <c:v>HUMO TRUSMOKE OIL EX. GARRAFA X 20 KG</c:v>
                </c:pt>
                <c:pt idx="11">
                  <c:v>SALCHICHÓN AUTÉNTICO X 225 GRAMOS</c:v>
                </c:pt>
                <c:pt idx="12">
                  <c:v>PROTEÍNA DE SOYA AL 70%. ARCON T (Hojuelas). SACO X 11.34 KILOS</c:v>
                </c:pt>
                <c:pt idx="13">
                  <c:v>GRANULOS DE PROTEÍNA. CANASTA X 25 KILOS.</c:v>
                </c:pt>
                <c:pt idx="14">
                  <c:v>SALCHICÓN DE POLLO X 225 GRAMOS</c:v>
                </c:pt>
                <c:pt idx="15">
                  <c:v>SALCHICHA CLASICA FAIZAN X 225 GRAMOS OFERTA</c:v>
                </c:pt>
                <c:pt idx="16">
                  <c:v>PASTA DE POLLO NACIONAL ALIPAQ</c:v>
                </c:pt>
                <c:pt idx="17">
                  <c:v>CONSERVANTE INBAC ACN/NA. CAJA X 25 KILOS.</c:v>
                </c:pt>
                <c:pt idx="18">
                  <c:v>AZÚCAR REFINADA. SACO X 50 KILOS.</c:v>
                </c:pt>
                <c:pt idx="19">
                  <c:v>COLOR NATURAL NARANJA LIQUIDO RA 40 - 3 9827 AF. GALÓN x 4 KILOS.</c:v>
                </c:pt>
              </c:strCache>
            </c:strRef>
          </c:cat>
          <c:val>
            <c:numRef>
              <c:f>'MATERIAS PRIMAS'!$F$2:$F$21</c:f>
            </c:numRef>
          </c:val>
          <c:smooth val="0"/>
          <c:extLst>
            <c:ext xmlns:c16="http://schemas.microsoft.com/office/drawing/2014/chart" uri="{C3380CC4-5D6E-409C-BE32-E72D297353CC}">
              <c16:uniqueId val="{00000003-1A9C-4F5C-8A87-39943239BE09}"/>
            </c:ext>
          </c:extLst>
        </c:ser>
        <c:ser>
          <c:idx val="4"/>
          <c:order val="4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'MATERIAS PRIMAS'!$B$2:$B$21</c:f>
              <c:strCache>
                <c:ptCount val="20"/>
                <c:pt idx="0">
                  <c:v>TAROMA HAM. BOLSA X 5 KILOS</c:v>
                </c:pt>
                <c:pt idx="1">
                  <c:v>TOCINO </c:v>
                </c:pt>
                <c:pt idx="2">
                  <c:v>REACTYNSH2 TRASGLUTAMINASA BOLSA X 1 KG</c:v>
                </c:pt>
                <c:pt idx="3">
                  <c:v>MEZCLA DE FOSFATOS (CARFOSEL 996). SACO X 25 KILOS.</c:v>
                </c:pt>
                <c:pt idx="4">
                  <c:v>ALMIDON DE PAPA SACO X 25 KILOS .</c:v>
                </c:pt>
                <c:pt idx="5">
                  <c:v>MEZCLA DE FOSFATOS (CARNAL 961). SACO X 25 KILOS.</c:v>
                </c:pt>
                <c:pt idx="6">
                  <c:v>PIEL DE POLLO NACIONAL</c:v>
                </c:pt>
                <c:pt idx="7">
                  <c:v>PROTEÍNA DE SOYA AL 70%. WILCON SJ. SACO X 20 KILOS</c:v>
                </c:pt>
                <c:pt idx="8">
                  <c:v>PROTEÍNA COLAGÉNICA COLLAPRO P -950. SACO X 12,5 KILOS.</c:v>
                </c:pt>
                <c:pt idx="9">
                  <c:v>COLOR NATURAL HEMOGLOBINA. I RED. BOLSA X 1 KILO.</c:v>
                </c:pt>
                <c:pt idx="10">
                  <c:v>HUMO TRUSMOKE OIL EX. GARRAFA X 20 KG</c:v>
                </c:pt>
                <c:pt idx="11">
                  <c:v>SALCHICHÓN AUTÉNTICO X 225 GRAMOS</c:v>
                </c:pt>
                <c:pt idx="12">
                  <c:v>PROTEÍNA DE SOYA AL 70%. ARCON T (Hojuelas). SACO X 11.34 KILOS</c:v>
                </c:pt>
                <c:pt idx="13">
                  <c:v>GRANULOS DE PROTEÍNA. CANASTA X 25 KILOS.</c:v>
                </c:pt>
                <c:pt idx="14">
                  <c:v>SALCHICÓN DE POLLO X 225 GRAMOS</c:v>
                </c:pt>
                <c:pt idx="15">
                  <c:v>SALCHICHA CLASICA FAIZAN X 225 GRAMOS OFERTA</c:v>
                </c:pt>
                <c:pt idx="16">
                  <c:v>PASTA DE POLLO NACIONAL ALIPAQ</c:v>
                </c:pt>
                <c:pt idx="17">
                  <c:v>CONSERVANTE INBAC ACN/NA. CAJA X 25 KILOS.</c:v>
                </c:pt>
                <c:pt idx="18">
                  <c:v>AZÚCAR REFINADA. SACO X 50 KILOS.</c:v>
                </c:pt>
                <c:pt idx="19">
                  <c:v>COLOR NATURAL NARANJA LIQUIDO RA 40 - 3 9827 AF. GALÓN x 4 KILOS.</c:v>
                </c:pt>
              </c:strCache>
            </c:strRef>
          </c:cat>
          <c:val>
            <c:numRef>
              <c:f>'MATERIAS PRIMAS'!$G$2:$G$21</c:f>
            </c:numRef>
          </c:val>
          <c:smooth val="0"/>
          <c:extLst>
            <c:ext xmlns:c16="http://schemas.microsoft.com/office/drawing/2014/chart" uri="{C3380CC4-5D6E-409C-BE32-E72D297353CC}">
              <c16:uniqueId val="{00000004-1A9C-4F5C-8A87-39943239BE09}"/>
            </c:ext>
          </c:extLst>
        </c:ser>
        <c:ser>
          <c:idx val="5"/>
          <c:order val="5"/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'MATERIAS PRIMAS'!$B$2:$B$21</c:f>
              <c:strCache>
                <c:ptCount val="20"/>
                <c:pt idx="0">
                  <c:v>TAROMA HAM. BOLSA X 5 KILOS</c:v>
                </c:pt>
                <c:pt idx="1">
                  <c:v>TOCINO </c:v>
                </c:pt>
                <c:pt idx="2">
                  <c:v>REACTYNSH2 TRASGLUTAMINASA BOLSA X 1 KG</c:v>
                </c:pt>
                <c:pt idx="3">
                  <c:v>MEZCLA DE FOSFATOS (CARFOSEL 996). SACO X 25 KILOS.</c:v>
                </c:pt>
                <c:pt idx="4">
                  <c:v>ALMIDON DE PAPA SACO X 25 KILOS .</c:v>
                </c:pt>
                <c:pt idx="5">
                  <c:v>MEZCLA DE FOSFATOS (CARNAL 961). SACO X 25 KILOS.</c:v>
                </c:pt>
                <c:pt idx="6">
                  <c:v>PIEL DE POLLO NACIONAL</c:v>
                </c:pt>
                <c:pt idx="7">
                  <c:v>PROTEÍNA DE SOYA AL 70%. WILCON SJ. SACO X 20 KILOS</c:v>
                </c:pt>
                <c:pt idx="8">
                  <c:v>PROTEÍNA COLAGÉNICA COLLAPRO P -950. SACO X 12,5 KILOS.</c:v>
                </c:pt>
                <c:pt idx="9">
                  <c:v>COLOR NATURAL HEMOGLOBINA. I RED. BOLSA X 1 KILO.</c:v>
                </c:pt>
                <c:pt idx="10">
                  <c:v>HUMO TRUSMOKE OIL EX. GARRAFA X 20 KG</c:v>
                </c:pt>
                <c:pt idx="11">
                  <c:v>SALCHICHÓN AUTÉNTICO X 225 GRAMOS</c:v>
                </c:pt>
                <c:pt idx="12">
                  <c:v>PROTEÍNA DE SOYA AL 70%. ARCON T (Hojuelas). SACO X 11.34 KILOS</c:v>
                </c:pt>
                <c:pt idx="13">
                  <c:v>GRANULOS DE PROTEÍNA. CANASTA X 25 KILOS.</c:v>
                </c:pt>
                <c:pt idx="14">
                  <c:v>SALCHICÓN DE POLLO X 225 GRAMOS</c:v>
                </c:pt>
                <c:pt idx="15">
                  <c:v>SALCHICHA CLASICA FAIZAN X 225 GRAMOS OFERTA</c:v>
                </c:pt>
                <c:pt idx="16">
                  <c:v>PASTA DE POLLO NACIONAL ALIPAQ</c:v>
                </c:pt>
                <c:pt idx="17">
                  <c:v>CONSERVANTE INBAC ACN/NA. CAJA X 25 KILOS.</c:v>
                </c:pt>
                <c:pt idx="18">
                  <c:v>AZÚCAR REFINADA. SACO X 50 KILOS.</c:v>
                </c:pt>
                <c:pt idx="19">
                  <c:v>COLOR NATURAL NARANJA LIQUIDO RA 40 - 3 9827 AF. GALÓN x 4 KILOS.</c:v>
                </c:pt>
              </c:strCache>
            </c:strRef>
          </c:cat>
          <c:val>
            <c:numRef>
              <c:f>'MATERIAS PRIMAS'!$H$2:$H$21</c:f>
            </c:numRef>
          </c:val>
          <c:smooth val="0"/>
          <c:extLst>
            <c:ext xmlns:c16="http://schemas.microsoft.com/office/drawing/2014/chart" uri="{C3380CC4-5D6E-409C-BE32-E72D297353CC}">
              <c16:uniqueId val="{00000005-1A9C-4F5C-8A87-39943239BE09}"/>
            </c:ext>
          </c:extLst>
        </c:ser>
        <c:ser>
          <c:idx val="6"/>
          <c:order val="6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'MATERIAS PRIMAS'!$B$2:$B$21</c:f>
              <c:strCache>
                <c:ptCount val="20"/>
                <c:pt idx="0">
                  <c:v>TAROMA HAM. BOLSA X 5 KILOS</c:v>
                </c:pt>
                <c:pt idx="1">
                  <c:v>TOCINO </c:v>
                </c:pt>
                <c:pt idx="2">
                  <c:v>REACTYNSH2 TRASGLUTAMINASA BOLSA X 1 KG</c:v>
                </c:pt>
                <c:pt idx="3">
                  <c:v>MEZCLA DE FOSFATOS (CARFOSEL 996). SACO X 25 KILOS.</c:v>
                </c:pt>
                <c:pt idx="4">
                  <c:v>ALMIDON DE PAPA SACO X 25 KILOS .</c:v>
                </c:pt>
                <c:pt idx="5">
                  <c:v>MEZCLA DE FOSFATOS (CARNAL 961). SACO X 25 KILOS.</c:v>
                </c:pt>
                <c:pt idx="6">
                  <c:v>PIEL DE POLLO NACIONAL</c:v>
                </c:pt>
                <c:pt idx="7">
                  <c:v>PROTEÍNA DE SOYA AL 70%. WILCON SJ. SACO X 20 KILOS</c:v>
                </c:pt>
                <c:pt idx="8">
                  <c:v>PROTEÍNA COLAGÉNICA COLLAPRO P -950. SACO X 12,5 KILOS.</c:v>
                </c:pt>
                <c:pt idx="9">
                  <c:v>COLOR NATURAL HEMOGLOBINA. I RED. BOLSA X 1 KILO.</c:v>
                </c:pt>
                <c:pt idx="10">
                  <c:v>HUMO TRUSMOKE OIL EX. GARRAFA X 20 KG</c:v>
                </c:pt>
                <c:pt idx="11">
                  <c:v>SALCHICHÓN AUTÉNTICO X 225 GRAMOS</c:v>
                </c:pt>
                <c:pt idx="12">
                  <c:v>PROTEÍNA DE SOYA AL 70%. ARCON T (Hojuelas). SACO X 11.34 KILOS</c:v>
                </c:pt>
                <c:pt idx="13">
                  <c:v>GRANULOS DE PROTEÍNA. CANASTA X 25 KILOS.</c:v>
                </c:pt>
                <c:pt idx="14">
                  <c:v>SALCHICÓN DE POLLO X 225 GRAMOS</c:v>
                </c:pt>
                <c:pt idx="15">
                  <c:v>SALCHICHA CLASICA FAIZAN X 225 GRAMOS OFERTA</c:v>
                </c:pt>
                <c:pt idx="16">
                  <c:v>PASTA DE POLLO NACIONAL ALIPAQ</c:v>
                </c:pt>
                <c:pt idx="17">
                  <c:v>CONSERVANTE INBAC ACN/NA. CAJA X 25 KILOS.</c:v>
                </c:pt>
                <c:pt idx="18">
                  <c:v>AZÚCAR REFINADA. SACO X 50 KILOS.</c:v>
                </c:pt>
                <c:pt idx="19">
                  <c:v>COLOR NATURAL NARANJA LIQUIDO RA 40 - 3 9827 AF. GALÓN x 4 KILOS.</c:v>
                </c:pt>
              </c:strCache>
            </c:strRef>
          </c:cat>
          <c:val>
            <c:numRef>
              <c:f>'MATERIAS PRIMAS'!$I$2:$I$21</c:f>
              <c:numCache>
                <c:formatCode>_(* #,##0.00_);_(* \(#,##0.00\);_(* "-"??_);_(@_)</c:formatCode>
                <c:ptCount val="20"/>
                <c:pt idx="0">
                  <c:v>6.1728582259287208</c:v>
                </c:pt>
                <c:pt idx="1">
                  <c:v>5.7310469314079313</c:v>
                </c:pt>
                <c:pt idx="2">
                  <c:v>5.4201735611696336</c:v>
                </c:pt>
                <c:pt idx="3">
                  <c:v>4.2520173805090025</c:v>
                </c:pt>
                <c:pt idx="4">
                  <c:v>3.7146328762367631</c:v>
                </c:pt>
                <c:pt idx="5">
                  <c:v>3.6319612590799011</c:v>
                </c:pt>
                <c:pt idx="6">
                  <c:v>3.0322791000978242</c:v>
                </c:pt>
                <c:pt idx="7">
                  <c:v>2.8520271134416078</c:v>
                </c:pt>
                <c:pt idx="8">
                  <c:v>2.8505846955550851</c:v>
                </c:pt>
                <c:pt idx="9">
                  <c:v>2.8490939241973194</c:v>
                </c:pt>
                <c:pt idx="10">
                  <c:v>2.8460935722771126</c:v>
                </c:pt>
                <c:pt idx="11">
                  <c:v>2.8210838901262036</c:v>
                </c:pt>
                <c:pt idx="12">
                  <c:v>2.570409543721567</c:v>
                </c:pt>
                <c:pt idx="13">
                  <c:v>1.0003226847370144</c:v>
                </c:pt>
                <c:pt idx="14">
                  <c:v>0.8233532934131631</c:v>
                </c:pt>
                <c:pt idx="15">
                  <c:v>0.74138682948104417</c:v>
                </c:pt>
                <c:pt idx="16">
                  <c:v>0.56849440674857021</c:v>
                </c:pt>
                <c:pt idx="17">
                  <c:v>0.32248805443461492</c:v>
                </c:pt>
                <c:pt idx="18">
                  <c:v>0.14262428687857209</c:v>
                </c:pt>
                <c:pt idx="19" formatCode="_-* #,##0.000_-;\-* #,##0.000_-;_-* &quot;-&quot;??_-;_-@_-">
                  <c:v>1.8650801052046972E-3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9C-4F5C-8A87-39943239B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781808"/>
        <c:axId val="1044782464"/>
      </c:lineChart>
      <c:catAx>
        <c:axId val="1044781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782464"/>
        <c:crosses val="autoZero"/>
        <c:auto val="1"/>
        <c:lblAlgn val="ctr"/>
        <c:lblOffset val="100"/>
        <c:noMultiLvlLbl val="0"/>
      </c:catAx>
      <c:valAx>
        <c:axId val="1044782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78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MPC Y NC SIN VARIACIÓN DE PRECIO </a:t>
            </a:r>
          </a:p>
          <a:p>
            <a:pPr>
              <a:defRPr/>
            </a:pPr>
            <a:r>
              <a:rPr lang="es-CO"/>
              <a:t>AGO - SEP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PRIMAS'!$A$22:$B$62</c15:sqref>
                  </c15:fullRef>
                  <c15:levelRef>
                    <c15:sqref>'MATERIAS PRIMAS'!$B$22:$B$62</c15:sqref>
                  </c15:levelRef>
                </c:ext>
              </c:extLst>
              <c:f>'MATERIAS PRIMAS'!$B$22:$B$62</c:f>
              <c:strCache>
                <c:ptCount val="41"/>
                <c:pt idx="0">
                  <c:v>CONDIMENTO AJIAROMA M - C100. BOLSA X 1 KILO.</c:v>
                </c:pt>
                <c:pt idx="1">
                  <c:v>AGUA POTABLE.</c:v>
                </c:pt>
                <c:pt idx="2">
                  <c:v>AJO MOLIDO DESHIDRATADO B. 1. CAJA X 20 KILOS. (LA CAMPANA)</c:v>
                </c:pt>
                <c:pt idx="3">
                  <c:v>APANADO</c:v>
                </c:pt>
                <c:pt idx="4">
                  <c:v>AROMA SALCHICHON TRADICIONAL 84987B. GARRAFA X 5 KILOS</c:v>
                </c:pt>
                <c:pt idx="5">
                  <c:v>CARRAGENINA CEAMGEL M 9396. SACO X 25 KILOS.</c:v>
                </c:pt>
                <c:pt idx="6">
                  <c:v>CEBOLLA EN POLVO B.1. CAJA X 20 KILOS. (LA CAMPANA)</c:v>
                </c:pt>
                <c:pt idx="7">
                  <c:v>COLOR CARAMELO. GARRAFA X 20 KILOS.</c:v>
                </c:pt>
                <c:pt idx="8">
                  <c:v>COLOR LOY.(NARAN. LIQ. A10-1). TARRO X 1 KILO.</c:v>
                </c:pt>
                <c:pt idx="9">
                  <c:v>COLOR NATURAL NARANJA  PR801 WD. GARRAFA X 10 KILOS.</c:v>
                </c:pt>
                <c:pt idx="10">
                  <c:v>COLOR NATURAL ROJO AC305RWS. GARRAFA X 4 KILOS.</c:v>
                </c:pt>
                <c:pt idx="11">
                  <c:v>COMINO MOLIDO B.1. BOLSA X 1 KILO. (LA CAMPANA)</c:v>
                </c:pt>
                <c:pt idx="12">
                  <c:v>DEXTROSA. BOLSA X 1 KILO.</c:v>
                </c:pt>
                <c:pt idx="13">
                  <c:v>EMULSION (Piel de Cerdo) - Tocino Partes Magras</c:v>
                </c:pt>
                <c:pt idx="14">
                  <c:v>EMULSIÓN ABLANDADA. Disco 6 mm</c:v>
                </c:pt>
                <c:pt idx="15">
                  <c:v>ENTURBIANTE EN POLVO DPA X 1 KILO</c:v>
                </c:pt>
                <c:pt idx="16">
                  <c:v>ERITORBATO DE SODIO. CAJA X 25 KILOS.</c:v>
                </c:pt>
                <c:pt idx="17">
                  <c:v>EXTRACTO PROTEICO LC 300. Saco x 25 kg.</c:v>
                </c:pt>
                <c:pt idx="18">
                  <c:v>GRASA EMPELLA</c:v>
                </c:pt>
                <c:pt idx="19">
                  <c:v>HIELO EN ESCAMAS (BOLSA X 20 KILOS)</c:v>
                </c:pt>
                <c:pt idx="20">
                  <c:v>HUMO CHARDEX EN POLVO X 18 KG</c:v>
                </c:pt>
                <c:pt idx="21">
                  <c:v>HUMO SMOKE OIL. GARRAFA PLÁSTICA X 12 KG.</c:v>
                </c:pt>
                <c:pt idx="22">
                  <c:v>MEZCLA LIQUIDA PARA SABORIZAR SALCHICHA MANGUERA. BOLSA X 8 KILOS</c:v>
                </c:pt>
                <c:pt idx="23">
                  <c:v>MEZCLA LÍQUIDA PARA SABORIZAR SALCHICHA. BOLSA X 2.7 KILOS. CAJA X 24,3 KILOS</c:v>
                </c:pt>
                <c:pt idx="24">
                  <c:v>MEZCLA SABOR MORTADELA DROP TECH</c:v>
                </c:pt>
                <c:pt idx="25">
                  <c:v>PAPADA DE CERDO. Disco 6mm.</c:v>
                </c:pt>
                <c:pt idx="26">
                  <c:v>PIMIENTA MOLIDA BLANCA. BOLSA X 1 KILO. (TECNAS)</c:v>
                </c:pt>
                <c:pt idx="27">
                  <c:v>PIMIENTA NEGRA MOLIDA. BOLSA X 1 KILO. (TECNAS)</c:v>
                </c:pt>
                <c:pt idx="28">
                  <c:v>PREPARADO SABOR  CERVECERO NEO. BOLSA X 7,03 KILOS.</c:v>
                </c:pt>
                <c:pt idx="29">
                  <c:v>PREPARADO SABOR CERVECERO PREMIUM SV</c:v>
                </c:pt>
                <c:pt idx="30">
                  <c:v>PREPARADO SABOR CHORIZO CERDO SEVILLA. PAQUETE X 4,8 KILOS</c:v>
                </c:pt>
                <c:pt idx="31">
                  <c:v>PREPARADO SABOR CHORIZO TERNERA SEVILLA X 3,83 KG</c:v>
                </c:pt>
                <c:pt idx="32">
                  <c:v>PREPARADO SABOR JAMON CALIFORNIAX 1 KG</c:v>
                </c:pt>
                <c:pt idx="33">
                  <c:v>PREPARADO SABOR JAMÓN T 3391 x 4 KG LÍQUIDO</c:v>
                </c:pt>
                <c:pt idx="34">
                  <c:v>PVH LIQUIDA - M - 1222. CANECA X 70 KILOS.</c:v>
                </c:pt>
                <c:pt idx="35">
                  <c:v>SABOR CERDO COCIDO TECNAS X 1 Kg.</c:v>
                </c:pt>
                <c:pt idx="36">
                  <c:v>SABOR ITALIAN MORTADELA FLAVOUR SACO X 15 KILOS</c:v>
                </c:pt>
                <c:pt idx="37">
                  <c:v>SABORIZANTE A POLLO SV. BOLSA X 1 KILO</c:v>
                </c:pt>
                <c:pt idx="38">
                  <c:v>SAL YODADA REFISAL. SACO X 25 KILOS.</c:v>
                </c:pt>
                <c:pt idx="39">
                  <c:v>ADITIVO BURGER MEAT 80-B NATUR. BOLSA X 5 KILOS.</c:v>
                </c:pt>
                <c:pt idx="40">
                  <c:v>BATIDO COMPLETO #1 JOLI. SACO X 25 KILOS.</c:v>
                </c:pt>
              </c:strCache>
            </c:strRef>
          </c:cat>
          <c:val>
            <c:numRef>
              <c:f>'MATERIAS PRIMAS'!$C$22:$C$62</c:f>
            </c:numRef>
          </c:val>
          <c:extLst>
            <c:ext xmlns:c16="http://schemas.microsoft.com/office/drawing/2014/chart" uri="{C3380CC4-5D6E-409C-BE32-E72D297353CC}">
              <c16:uniqueId val="{00000000-B83D-4976-814B-785E9E22E2F6}"/>
            </c:ext>
          </c:extLst>
        </c:ser>
        <c:ser>
          <c:idx val="1"/>
          <c:order val="1"/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PRIMAS'!$A$22:$B$62</c15:sqref>
                  </c15:fullRef>
                  <c15:levelRef>
                    <c15:sqref>'MATERIAS PRIMAS'!$B$22:$B$62</c15:sqref>
                  </c15:levelRef>
                </c:ext>
              </c:extLst>
              <c:f>'MATERIAS PRIMAS'!$B$22:$B$62</c:f>
              <c:strCache>
                <c:ptCount val="41"/>
                <c:pt idx="0">
                  <c:v>CONDIMENTO AJIAROMA M - C100. BOLSA X 1 KILO.</c:v>
                </c:pt>
                <c:pt idx="1">
                  <c:v>AGUA POTABLE.</c:v>
                </c:pt>
                <c:pt idx="2">
                  <c:v>AJO MOLIDO DESHIDRATADO B. 1. CAJA X 20 KILOS. (LA CAMPANA)</c:v>
                </c:pt>
                <c:pt idx="3">
                  <c:v>APANADO</c:v>
                </c:pt>
                <c:pt idx="4">
                  <c:v>AROMA SALCHICHON TRADICIONAL 84987B. GARRAFA X 5 KILOS</c:v>
                </c:pt>
                <c:pt idx="5">
                  <c:v>CARRAGENINA CEAMGEL M 9396. SACO X 25 KILOS.</c:v>
                </c:pt>
                <c:pt idx="6">
                  <c:v>CEBOLLA EN POLVO B.1. CAJA X 20 KILOS. (LA CAMPANA)</c:v>
                </c:pt>
                <c:pt idx="7">
                  <c:v>COLOR CARAMELO. GARRAFA X 20 KILOS.</c:v>
                </c:pt>
                <c:pt idx="8">
                  <c:v>COLOR LOY.(NARAN. LIQ. A10-1). TARRO X 1 KILO.</c:v>
                </c:pt>
                <c:pt idx="9">
                  <c:v>COLOR NATURAL NARANJA  PR801 WD. GARRAFA X 10 KILOS.</c:v>
                </c:pt>
                <c:pt idx="10">
                  <c:v>COLOR NATURAL ROJO AC305RWS. GARRAFA X 4 KILOS.</c:v>
                </c:pt>
                <c:pt idx="11">
                  <c:v>COMINO MOLIDO B.1. BOLSA X 1 KILO. (LA CAMPANA)</c:v>
                </c:pt>
                <c:pt idx="12">
                  <c:v>DEXTROSA. BOLSA X 1 KILO.</c:v>
                </c:pt>
                <c:pt idx="13">
                  <c:v>EMULSION (Piel de Cerdo) - Tocino Partes Magras</c:v>
                </c:pt>
                <c:pt idx="14">
                  <c:v>EMULSIÓN ABLANDADA. Disco 6 mm</c:v>
                </c:pt>
                <c:pt idx="15">
                  <c:v>ENTURBIANTE EN POLVO DPA X 1 KILO</c:v>
                </c:pt>
                <c:pt idx="16">
                  <c:v>ERITORBATO DE SODIO. CAJA X 25 KILOS.</c:v>
                </c:pt>
                <c:pt idx="17">
                  <c:v>EXTRACTO PROTEICO LC 300. Saco x 25 kg.</c:v>
                </c:pt>
                <c:pt idx="18">
                  <c:v>GRASA EMPELLA</c:v>
                </c:pt>
                <c:pt idx="19">
                  <c:v>HIELO EN ESCAMAS (BOLSA X 20 KILOS)</c:v>
                </c:pt>
                <c:pt idx="20">
                  <c:v>HUMO CHARDEX EN POLVO X 18 KG</c:v>
                </c:pt>
                <c:pt idx="21">
                  <c:v>HUMO SMOKE OIL. GARRAFA PLÁSTICA X 12 KG.</c:v>
                </c:pt>
                <c:pt idx="22">
                  <c:v>MEZCLA LIQUIDA PARA SABORIZAR SALCHICHA MANGUERA. BOLSA X 8 KILOS</c:v>
                </c:pt>
                <c:pt idx="23">
                  <c:v>MEZCLA LÍQUIDA PARA SABORIZAR SALCHICHA. BOLSA X 2.7 KILOS. CAJA X 24,3 KILOS</c:v>
                </c:pt>
                <c:pt idx="24">
                  <c:v>MEZCLA SABOR MORTADELA DROP TECH</c:v>
                </c:pt>
                <c:pt idx="25">
                  <c:v>PAPADA DE CERDO. Disco 6mm.</c:v>
                </c:pt>
                <c:pt idx="26">
                  <c:v>PIMIENTA MOLIDA BLANCA. BOLSA X 1 KILO. (TECNAS)</c:v>
                </c:pt>
                <c:pt idx="27">
                  <c:v>PIMIENTA NEGRA MOLIDA. BOLSA X 1 KILO. (TECNAS)</c:v>
                </c:pt>
                <c:pt idx="28">
                  <c:v>PREPARADO SABOR  CERVECERO NEO. BOLSA X 7,03 KILOS.</c:v>
                </c:pt>
                <c:pt idx="29">
                  <c:v>PREPARADO SABOR CERVECERO PREMIUM SV</c:v>
                </c:pt>
                <c:pt idx="30">
                  <c:v>PREPARADO SABOR CHORIZO CERDO SEVILLA. PAQUETE X 4,8 KILOS</c:v>
                </c:pt>
                <c:pt idx="31">
                  <c:v>PREPARADO SABOR CHORIZO TERNERA SEVILLA X 3,83 KG</c:v>
                </c:pt>
                <c:pt idx="32">
                  <c:v>PREPARADO SABOR JAMON CALIFORNIAX 1 KG</c:v>
                </c:pt>
                <c:pt idx="33">
                  <c:v>PREPARADO SABOR JAMÓN T 3391 x 4 KG LÍQUIDO</c:v>
                </c:pt>
                <c:pt idx="34">
                  <c:v>PVH LIQUIDA - M - 1222. CANECA X 70 KILOS.</c:v>
                </c:pt>
                <c:pt idx="35">
                  <c:v>SABOR CERDO COCIDO TECNAS X 1 Kg.</c:v>
                </c:pt>
                <c:pt idx="36">
                  <c:v>SABOR ITALIAN MORTADELA FLAVOUR SACO X 15 KILOS</c:v>
                </c:pt>
                <c:pt idx="37">
                  <c:v>SABORIZANTE A POLLO SV. BOLSA X 1 KILO</c:v>
                </c:pt>
                <c:pt idx="38">
                  <c:v>SAL YODADA REFISAL. SACO X 25 KILOS.</c:v>
                </c:pt>
                <c:pt idx="39">
                  <c:v>ADITIVO BURGER MEAT 80-B NATUR. BOLSA X 5 KILOS.</c:v>
                </c:pt>
                <c:pt idx="40">
                  <c:v>BATIDO COMPLETO #1 JOLI. SACO X 25 KILOS.</c:v>
                </c:pt>
              </c:strCache>
            </c:strRef>
          </c:cat>
          <c:val>
            <c:numRef>
              <c:f>'MATERIAS PRIMAS'!$D$22:$D$62</c:f>
            </c:numRef>
          </c:val>
          <c:extLst>
            <c:ext xmlns:c16="http://schemas.microsoft.com/office/drawing/2014/chart" uri="{C3380CC4-5D6E-409C-BE32-E72D297353CC}">
              <c16:uniqueId val="{00000001-B83D-4976-814B-785E9E22E2F6}"/>
            </c:ext>
          </c:extLst>
        </c:ser>
        <c:ser>
          <c:idx val="2"/>
          <c:order val="2"/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PRIMAS'!$A$22:$B$62</c15:sqref>
                  </c15:fullRef>
                  <c15:levelRef>
                    <c15:sqref>'MATERIAS PRIMAS'!$B$22:$B$62</c15:sqref>
                  </c15:levelRef>
                </c:ext>
              </c:extLst>
              <c:f>'MATERIAS PRIMAS'!$B$22:$B$62</c:f>
              <c:strCache>
                <c:ptCount val="41"/>
                <c:pt idx="0">
                  <c:v>CONDIMENTO AJIAROMA M - C100. BOLSA X 1 KILO.</c:v>
                </c:pt>
                <c:pt idx="1">
                  <c:v>AGUA POTABLE.</c:v>
                </c:pt>
                <c:pt idx="2">
                  <c:v>AJO MOLIDO DESHIDRATADO B. 1. CAJA X 20 KILOS. (LA CAMPANA)</c:v>
                </c:pt>
                <c:pt idx="3">
                  <c:v>APANADO</c:v>
                </c:pt>
                <c:pt idx="4">
                  <c:v>AROMA SALCHICHON TRADICIONAL 84987B. GARRAFA X 5 KILOS</c:v>
                </c:pt>
                <c:pt idx="5">
                  <c:v>CARRAGENINA CEAMGEL M 9396. SACO X 25 KILOS.</c:v>
                </c:pt>
                <c:pt idx="6">
                  <c:v>CEBOLLA EN POLVO B.1. CAJA X 20 KILOS. (LA CAMPANA)</c:v>
                </c:pt>
                <c:pt idx="7">
                  <c:v>COLOR CARAMELO. GARRAFA X 20 KILOS.</c:v>
                </c:pt>
                <c:pt idx="8">
                  <c:v>COLOR LOY.(NARAN. LIQ. A10-1). TARRO X 1 KILO.</c:v>
                </c:pt>
                <c:pt idx="9">
                  <c:v>COLOR NATURAL NARANJA  PR801 WD. GARRAFA X 10 KILOS.</c:v>
                </c:pt>
                <c:pt idx="10">
                  <c:v>COLOR NATURAL ROJO AC305RWS. GARRAFA X 4 KILOS.</c:v>
                </c:pt>
                <c:pt idx="11">
                  <c:v>COMINO MOLIDO B.1. BOLSA X 1 KILO. (LA CAMPANA)</c:v>
                </c:pt>
                <c:pt idx="12">
                  <c:v>DEXTROSA. BOLSA X 1 KILO.</c:v>
                </c:pt>
                <c:pt idx="13">
                  <c:v>EMULSION (Piel de Cerdo) - Tocino Partes Magras</c:v>
                </c:pt>
                <c:pt idx="14">
                  <c:v>EMULSIÓN ABLANDADA. Disco 6 mm</c:v>
                </c:pt>
                <c:pt idx="15">
                  <c:v>ENTURBIANTE EN POLVO DPA X 1 KILO</c:v>
                </c:pt>
                <c:pt idx="16">
                  <c:v>ERITORBATO DE SODIO. CAJA X 25 KILOS.</c:v>
                </c:pt>
                <c:pt idx="17">
                  <c:v>EXTRACTO PROTEICO LC 300. Saco x 25 kg.</c:v>
                </c:pt>
                <c:pt idx="18">
                  <c:v>GRASA EMPELLA</c:v>
                </c:pt>
                <c:pt idx="19">
                  <c:v>HIELO EN ESCAMAS (BOLSA X 20 KILOS)</c:v>
                </c:pt>
                <c:pt idx="20">
                  <c:v>HUMO CHARDEX EN POLVO X 18 KG</c:v>
                </c:pt>
                <c:pt idx="21">
                  <c:v>HUMO SMOKE OIL. GARRAFA PLÁSTICA X 12 KG.</c:v>
                </c:pt>
                <c:pt idx="22">
                  <c:v>MEZCLA LIQUIDA PARA SABORIZAR SALCHICHA MANGUERA. BOLSA X 8 KILOS</c:v>
                </c:pt>
                <c:pt idx="23">
                  <c:v>MEZCLA LÍQUIDA PARA SABORIZAR SALCHICHA. BOLSA X 2.7 KILOS. CAJA X 24,3 KILOS</c:v>
                </c:pt>
                <c:pt idx="24">
                  <c:v>MEZCLA SABOR MORTADELA DROP TECH</c:v>
                </c:pt>
                <c:pt idx="25">
                  <c:v>PAPADA DE CERDO. Disco 6mm.</c:v>
                </c:pt>
                <c:pt idx="26">
                  <c:v>PIMIENTA MOLIDA BLANCA. BOLSA X 1 KILO. (TECNAS)</c:v>
                </c:pt>
                <c:pt idx="27">
                  <c:v>PIMIENTA NEGRA MOLIDA. BOLSA X 1 KILO. (TECNAS)</c:v>
                </c:pt>
                <c:pt idx="28">
                  <c:v>PREPARADO SABOR  CERVECERO NEO. BOLSA X 7,03 KILOS.</c:v>
                </c:pt>
                <c:pt idx="29">
                  <c:v>PREPARADO SABOR CERVECERO PREMIUM SV</c:v>
                </c:pt>
                <c:pt idx="30">
                  <c:v>PREPARADO SABOR CHORIZO CERDO SEVILLA. PAQUETE X 4,8 KILOS</c:v>
                </c:pt>
                <c:pt idx="31">
                  <c:v>PREPARADO SABOR CHORIZO TERNERA SEVILLA X 3,83 KG</c:v>
                </c:pt>
                <c:pt idx="32">
                  <c:v>PREPARADO SABOR JAMON CALIFORNIAX 1 KG</c:v>
                </c:pt>
                <c:pt idx="33">
                  <c:v>PREPARADO SABOR JAMÓN T 3391 x 4 KG LÍQUIDO</c:v>
                </c:pt>
                <c:pt idx="34">
                  <c:v>PVH LIQUIDA - M - 1222. CANECA X 70 KILOS.</c:v>
                </c:pt>
                <c:pt idx="35">
                  <c:v>SABOR CERDO COCIDO TECNAS X 1 Kg.</c:v>
                </c:pt>
                <c:pt idx="36">
                  <c:v>SABOR ITALIAN MORTADELA FLAVOUR SACO X 15 KILOS</c:v>
                </c:pt>
                <c:pt idx="37">
                  <c:v>SABORIZANTE A POLLO SV. BOLSA X 1 KILO</c:v>
                </c:pt>
                <c:pt idx="38">
                  <c:v>SAL YODADA REFISAL. SACO X 25 KILOS.</c:v>
                </c:pt>
                <c:pt idx="39">
                  <c:v>ADITIVO BURGER MEAT 80-B NATUR. BOLSA X 5 KILOS.</c:v>
                </c:pt>
                <c:pt idx="40">
                  <c:v>BATIDO COMPLETO #1 JOLI. SACO X 25 KILOS.</c:v>
                </c:pt>
              </c:strCache>
            </c:strRef>
          </c:cat>
          <c:val>
            <c:numRef>
              <c:f>'MATERIAS PRIMAS'!$E$22:$E$62</c:f>
            </c:numRef>
          </c:val>
          <c:extLst>
            <c:ext xmlns:c16="http://schemas.microsoft.com/office/drawing/2014/chart" uri="{C3380CC4-5D6E-409C-BE32-E72D297353CC}">
              <c16:uniqueId val="{00000002-B83D-4976-814B-785E9E22E2F6}"/>
            </c:ext>
          </c:extLst>
        </c:ser>
        <c:ser>
          <c:idx val="3"/>
          <c:order val="3"/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PRIMAS'!$A$22:$B$62</c15:sqref>
                  </c15:fullRef>
                  <c15:levelRef>
                    <c15:sqref>'MATERIAS PRIMAS'!$B$22:$B$62</c15:sqref>
                  </c15:levelRef>
                </c:ext>
              </c:extLst>
              <c:f>'MATERIAS PRIMAS'!$B$22:$B$62</c:f>
              <c:strCache>
                <c:ptCount val="41"/>
                <c:pt idx="0">
                  <c:v>CONDIMENTO AJIAROMA M - C100. BOLSA X 1 KILO.</c:v>
                </c:pt>
                <c:pt idx="1">
                  <c:v>AGUA POTABLE.</c:v>
                </c:pt>
                <c:pt idx="2">
                  <c:v>AJO MOLIDO DESHIDRATADO B. 1. CAJA X 20 KILOS. (LA CAMPANA)</c:v>
                </c:pt>
                <c:pt idx="3">
                  <c:v>APANADO</c:v>
                </c:pt>
                <c:pt idx="4">
                  <c:v>AROMA SALCHICHON TRADICIONAL 84987B. GARRAFA X 5 KILOS</c:v>
                </c:pt>
                <c:pt idx="5">
                  <c:v>CARRAGENINA CEAMGEL M 9396. SACO X 25 KILOS.</c:v>
                </c:pt>
                <c:pt idx="6">
                  <c:v>CEBOLLA EN POLVO B.1. CAJA X 20 KILOS. (LA CAMPANA)</c:v>
                </c:pt>
                <c:pt idx="7">
                  <c:v>COLOR CARAMELO. GARRAFA X 20 KILOS.</c:v>
                </c:pt>
                <c:pt idx="8">
                  <c:v>COLOR LOY.(NARAN. LIQ. A10-1). TARRO X 1 KILO.</c:v>
                </c:pt>
                <c:pt idx="9">
                  <c:v>COLOR NATURAL NARANJA  PR801 WD. GARRAFA X 10 KILOS.</c:v>
                </c:pt>
                <c:pt idx="10">
                  <c:v>COLOR NATURAL ROJO AC305RWS. GARRAFA X 4 KILOS.</c:v>
                </c:pt>
                <c:pt idx="11">
                  <c:v>COMINO MOLIDO B.1. BOLSA X 1 KILO. (LA CAMPANA)</c:v>
                </c:pt>
                <c:pt idx="12">
                  <c:v>DEXTROSA. BOLSA X 1 KILO.</c:v>
                </c:pt>
                <c:pt idx="13">
                  <c:v>EMULSION (Piel de Cerdo) - Tocino Partes Magras</c:v>
                </c:pt>
                <c:pt idx="14">
                  <c:v>EMULSIÓN ABLANDADA. Disco 6 mm</c:v>
                </c:pt>
                <c:pt idx="15">
                  <c:v>ENTURBIANTE EN POLVO DPA X 1 KILO</c:v>
                </c:pt>
                <c:pt idx="16">
                  <c:v>ERITORBATO DE SODIO. CAJA X 25 KILOS.</c:v>
                </c:pt>
                <c:pt idx="17">
                  <c:v>EXTRACTO PROTEICO LC 300. Saco x 25 kg.</c:v>
                </c:pt>
                <c:pt idx="18">
                  <c:v>GRASA EMPELLA</c:v>
                </c:pt>
                <c:pt idx="19">
                  <c:v>HIELO EN ESCAMAS (BOLSA X 20 KILOS)</c:v>
                </c:pt>
                <c:pt idx="20">
                  <c:v>HUMO CHARDEX EN POLVO X 18 KG</c:v>
                </c:pt>
                <c:pt idx="21">
                  <c:v>HUMO SMOKE OIL. GARRAFA PLÁSTICA X 12 KG.</c:v>
                </c:pt>
                <c:pt idx="22">
                  <c:v>MEZCLA LIQUIDA PARA SABORIZAR SALCHICHA MANGUERA. BOLSA X 8 KILOS</c:v>
                </c:pt>
                <c:pt idx="23">
                  <c:v>MEZCLA LÍQUIDA PARA SABORIZAR SALCHICHA. BOLSA X 2.7 KILOS. CAJA X 24,3 KILOS</c:v>
                </c:pt>
                <c:pt idx="24">
                  <c:v>MEZCLA SABOR MORTADELA DROP TECH</c:v>
                </c:pt>
                <c:pt idx="25">
                  <c:v>PAPADA DE CERDO. Disco 6mm.</c:v>
                </c:pt>
                <c:pt idx="26">
                  <c:v>PIMIENTA MOLIDA BLANCA. BOLSA X 1 KILO. (TECNAS)</c:v>
                </c:pt>
                <c:pt idx="27">
                  <c:v>PIMIENTA NEGRA MOLIDA. BOLSA X 1 KILO. (TECNAS)</c:v>
                </c:pt>
                <c:pt idx="28">
                  <c:v>PREPARADO SABOR  CERVECERO NEO. BOLSA X 7,03 KILOS.</c:v>
                </c:pt>
                <c:pt idx="29">
                  <c:v>PREPARADO SABOR CERVECERO PREMIUM SV</c:v>
                </c:pt>
                <c:pt idx="30">
                  <c:v>PREPARADO SABOR CHORIZO CERDO SEVILLA. PAQUETE X 4,8 KILOS</c:v>
                </c:pt>
                <c:pt idx="31">
                  <c:v>PREPARADO SABOR CHORIZO TERNERA SEVILLA X 3,83 KG</c:v>
                </c:pt>
                <c:pt idx="32">
                  <c:v>PREPARADO SABOR JAMON CALIFORNIAX 1 KG</c:v>
                </c:pt>
                <c:pt idx="33">
                  <c:v>PREPARADO SABOR JAMÓN T 3391 x 4 KG LÍQUIDO</c:v>
                </c:pt>
                <c:pt idx="34">
                  <c:v>PVH LIQUIDA - M - 1222. CANECA X 70 KILOS.</c:v>
                </c:pt>
                <c:pt idx="35">
                  <c:v>SABOR CERDO COCIDO TECNAS X 1 Kg.</c:v>
                </c:pt>
                <c:pt idx="36">
                  <c:v>SABOR ITALIAN MORTADELA FLAVOUR SACO X 15 KILOS</c:v>
                </c:pt>
                <c:pt idx="37">
                  <c:v>SABORIZANTE A POLLO SV. BOLSA X 1 KILO</c:v>
                </c:pt>
                <c:pt idx="38">
                  <c:v>SAL YODADA REFISAL. SACO X 25 KILOS.</c:v>
                </c:pt>
                <c:pt idx="39">
                  <c:v>ADITIVO BURGER MEAT 80-B NATUR. BOLSA X 5 KILOS.</c:v>
                </c:pt>
                <c:pt idx="40">
                  <c:v>BATIDO COMPLETO #1 JOLI. SACO X 25 KILOS.</c:v>
                </c:pt>
              </c:strCache>
            </c:strRef>
          </c:cat>
          <c:val>
            <c:numRef>
              <c:f>'MATERIAS PRIMAS'!$F$22:$F$62</c:f>
            </c:numRef>
          </c:val>
          <c:extLst>
            <c:ext xmlns:c16="http://schemas.microsoft.com/office/drawing/2014/chart" uri="{C3380CC4-5D6E-409C-BE32-E72D297353CC}">
              <c16:uniqueId val="{00000003-B83D-4976-814B-785E9E22E2F6}"/>
            </c:ext>
          </c:extLst>
        </c:ser>
        <c:ser>
          <c:idx val="4"/>
          <c:order val="4"/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PRIMAS'!$A$22:$B$62</c15:sqref>
                  </c15:fullRef>
                  <c15:levelRef>
                    <c15:sqref>'MATERIAS PRIMAS'!$B$22:$B$62</c15:sqref>
                  </c15:levelRef>
                </c:ext>
              </c:extLst>
              <c:f>'MATERIAS PRIMAS'!$B$22:$B$62</c:f>
              <c:strCache>
                <c:ptCount val="41"/>
                <c:pt idx="0">
                  <c:v>CONDIMENTO AJIAROMA M - C100. BOLSA X 1 KILO.</c:v>
                </c:pt>
                <c:pt idx="1">
                  <c:v>AGUA POTABLE.</c:v>
                </c:pt>
                <c:pt idx="2">
                  <c:v>AJO MOLIDO DESHIDRATADO B. 1. CAJA X 20 KILOS. (LA CAMPANA)</c:v>
                </c:pt>
                <c:pt idx="3">
                  <c:v>APANADO</c:v>
                </c:pt>
                <c:pt idx="4">
                  <c:v>AROMA SALCHICHON TRADICIONAL 84987B. GARRAFA X 5 KILOS</c:v>
                </c:pt>
                <c:pt idx="5">
                  <c:v>CARRAGENINA CEAMGEL M 9396. SACO X 25 KILOS.</c:v>
                </c:pt>
                <c:pt idx="6">
                  <c:v>CEBOLLA EN POLVO B.1. CAJA X 20 KILOS. (LA CAMPANA)</c:v>
                </c:pt>
                <c:pt idx="7">
                  <c:v>COLOR CARAMELO. GARRAFA X 20 KILOS.</c:v>
                </c:pt>
                <c:pt idx="8">
                  <c:v>COLOR LOY.(NARAN. LIQ. A10-1). TARRO X 1 KILO.</c:v>
                </c:pt>
                <c:pt idx="9">
                  <c:v>COLOR NATURAL NARANJA  PR801 WD. GARRAFA X 10 KILOS.</c:v>
                </c:pt>
                <c:pt idx="10">
                  <c:v>COLOR NATURAL ROJO AC305RWS. GARRAFA X 4 KILOS.</c:v>
                </c:pt>
                <c:pt idx="11">
                  <c:v>COMINO MOLIDO B.1. BOLSA X 1 KILO. (LA CAMPANA)</c:v>
                </c:pt>
                <c:pt idx="12">
                  <c:v>DEXTROSA. BOLSA X 1 KILO.</c:v>
                </c:pt>
                <c:pt idx="13">
                  <c:v>EMULSION (Piel de Cerdo) - Tocino Partes Magras</c:v>
                </c:pt>
                <c:pt idx="14">
                  <c:v>EMULSIÓN ABLANDADA. Disco 6 mm</c:v>
                </c:pt>
                <c:pt idx="15">
                  <c:v>ENTURBIANTE EN POLVO DPA X 1 KILO</c:v>
                </c:pt>
                <c:pt idx="16">
                  <c:v>ERITORBATO DE SODIO. CAJA X 25 KILOS.</c:v>
                </c:pt>
                <c:pt idx="17">
                  <c:v>EXTRACTO PROTEICO LC 300. Saco x 25 kg.</c:v>
                </c:pt>
                <c:pt idx="18">
                  <c:v>GRASA EMPELLA</c:v>
                </c:pt>
                <c:pt idx="19">
                  <c:v>HIELO EN ESCAMAS (BOLSA X 20 KILOS)</c:v>
                </c:pt>
                <c:pt idx="20">
                  <c:v>HUMO CHARDEX EN POLVO X 18 KG</c:v>
                </c:pt>
                <c:pt idx="21">
                  <c:v>HUMO SMOKE OIL. GARRAFA PLÁSTICA X 12 KG.</c:v>
                </c:pt>
                <c:pt idx="22">
                  <c:v>MEZCLA LIQUIDA PARA SABORIZAR SALCHICHA MANGUERA. BOLSA X 8 KILOS</c:v>
                </c:pt>
                <c:pt idx="23">
                  <c:v>MEZCLA LÍQUIDA PARA SABORIZAR SALCHICHA. BOLSA X 2.7 KILOS. CAJA X 24,3 KILOS</c:v>
                </c:pt>
                <c:pt idx="24">
                  <c:v>MEZCLA SABOR MORTADELA DROP TECH</c:v>
                </c:pt>
                <c:pt idx="25">
                  <c:v>PAPADA DE CERDO. Disco 6mm.</c:v>
                </c:pt>
                <c:pt idx="26">
                  <c:v>PIMIENTA MOLIDA BLANCA. BOLSA X 1 KILO. (TECNAS)</c:v>
                </c:pt>
                <c:pt idx="27">
                  <c:v>PIMIENTA NEGRA MOLIDA. BOLSA X 1 KILO. (TECNAS)</c:v>
                </c:pt>
                <c:pt idx="28">
                  <c:v>PREPARADO SABOR  CERVECERO NEO. BOLSA X 7,03 KILOS.</c:v>
                </c:pt>
                <c:pt idx="29">
                  <c:v>PREPARADO SABOR CERVECERO PREMIUM SV</c:v>
                </c:pt>
                <c:pt idx="30">
                  <c:v>PREPARADO SABOR CHORIZO CERDO SEVILLA. PAQUETE X 4,8 KILOS</c:v>
                </c:pt>
                <c:pt idx="31">
                  <c:v>PREPARADO SABOR CHORIZO TERNERA SEVILLA X 3,83 KG</c:v>
                </c:pt>
                <c:pt idx="32">
                  <c:v>PREPARADO SABOR JAMON CALIFORNIAX 1 KG</c:v>
                </c:pt>
                <c:pt idx="33">
                  <c:v>PREPARADO SABOR JAMÓN T 3391 x 4 KG LÍQUIDO</c:v>
                </c:pt>
                <c:pt idx="34">
                  <c:v>PVH LIQUIDA - M - 1222. CANECA X 70 KILOS.</c:v>
                </c:pt>
                <c:pt idx="35">
                  <c:v>SABOR CERDO COCIDO TECNAS X 1 Kg.</c:v>
                </c:pt>
                <c:pt idx="36">
                  <c:v>SABOR ITALIAN MORTADELA FLAVOUR SACO X 15 KILOS</c:v>
                </c:pt>
                <c:pt idx="37">
                  <c:v>SABORIZANTE A POLLO SV. BOLSA X 1 KILO</c:v>
                </c:pt>
                <c:pt idx="38">
                  <c:v>SAL YODADA REFISAL. SACO X 25 KILOS.</c:v>
                </c:pt>
                <c:pt idx="39">
                  <c:v>ADITIVO BURGER MEAT 80-B NATUR. BOLSA X 5 KILOS.</c:v>
                </c:pt>
                <c:pt idx="40">
                  <c:v>BATIDO COMPLETO #1 JOLI. SACO X 25 KILOS.</c:v>
                </c:pt>
              </c:strCache>
            </c:strRef>
          </c:cat>
          <c:val>
            <c:numRef>
              <c:f>'MATERIAS PRIMAS'!$G$22:$G$62</c:f>
            </c:numRef>
          </c:val>
          <c:extLst>
            <c:ext xmlns:c16="http://schemas.microsoft.com/office/drawing/2014/chart" uri="{C3380CC4-5D6E-409C-BE32-E72D297353CC}">
              <c16:uniqueId val="{00000004-B83D-4976-814B-785E9E22E2F6}"/>
            </c:ext>
          </c:extLst>
        </c:ser>
        <c:ser>
          <c:idx val="5"/>
          <c:order val="5"/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PRIMAS'!$A$22:$B$62</c15:sqref>
                  </c15:fullRef>
                  <c15:levelRef>
                    <c15:sqref>'MATERIAS PRIMAS'!$B$22:$B$62</c15:sqref>
                  </c15:levelRef>
                </c:ext>
              </c:extLst>
              <c:f>'MATERIAS PRIMAS'!$B$22:$B$62</c:f>
              <c:strCache>
                <c:ptCount val="41"/>
                <c:pt idx="0">
                  <c:v>CONDIMENTO AJIAROMA M - C100. BOLSA X 1 KILO.</c:v>
                </c:pt>
                <c:pt idx="1">
                  <c:v>AGUA POTABLE.</c:v>
                </c:pt>
                <c:pt idx="2">
                  <c:v>AJO MOLIDO DESHIDRATADO B. 1. CAJA X 20 KILOS. (LA CAMPANA)</c:v>
                </c:pt>
                <c:pt idx="3">
                  <c:v>APANADO</c:v>
                </c:pt>
                <c:pt idx="4">
                  <c:v>AROMA SALCHICHON TRADICIONAL 84987B. GARRAFA X 5 KILOS</c:v>
                </c:pt>
                <c:pt idx="5">
                  <c:v>CARRAGENINA CEAMGEL M 9396. SACO X 25 KILOS.</c:v>
                </c:pt>
                <c:pt idx="6">
                  <c:v>CEBOLLA EN POLVO B.1. CAJA X 20 KILOS. (LA CAMPANA)</c:v>
                </c:pt>
                <c:pt idx="7">
                  <c:v>COLOR CARAMELO. GARRAFA X 20 KILOS.</c:v>
                </c:pt>
                <c:pt idx="8">
                  <c:v>COLOR LOY.(NARAN. LIQ. A10-1). TARRO X 1 KILO.</c:v>
                </c:pt>
                <c:pt idx="9">
                  <c:v>COLOR NATURAL NARANJA  PR801 WD. GARRAFA X 10 KILOS.</c:v>
                </c:pt>
                <c:pt idx="10">
                  <c:v>COLOR NATURAL ROJO AC305RWS. GARRAFA X 4 KILOS.</c:v>
                </c:pt>
                <c:pt idx="11">
                  <c:v>COMINO MOLIDO B.1. BOLSA X 1 KILO. (LA CAMPANA)</c:v>
                </c:pt>
                <c:pt idx="12">
                  <c:v>DEXTROSA. BOLSA X 1 KILO.</c:v>
                </c:pt>
                <c:pt idx="13">
                  <c:v>EMULSION (Piel de Cerdo) - Tocino Partes Magras</c:v>
                </c:pt>
                <c:pt idx="14">
                  <c:v>EMULSIÓN ABLANDADA. Disco 6 mm</c:v>
                </c:pt>
                <c:pt idx="15">
                  <c:v>ENTURBIANTE EN POLVO DPA X 1 KILO</c:v>
                </c:pt>
                <c:pt idx="16">
                  <c:v>ERITORBATO DE SODIO. CAJA X 25 KILOS.</c:v>
                </c:pt>
                <c:pt idx="17">
                  <c:v>EXTRACTO PROTEICO LC 300. Saco x 25 kg.</c:v>
                </c:pt>
                <c:pt idx="18">
                  <c:v>GRASA EMPELLA</c:v>
                </c:pt>
                <c:pt idx="19">
                  <c:v>HIELO EN ESCAMAS (BOLSA X 20 KILOS)</c:v>
                </c:pt>
                <c:pt idx="20">
                  <c:v>HUMO CHARDEX EN POLVO X 18 KG</c:v>
                </c:pt>
                <c:pt idx="21">
                  <c:v>HUMO SMOKE OIL. GARRAFA PLÁSTICA X 12 KG.</c:v>
                </c:pt>
                <c:pt idx="22">
                  <c:v>MEZCLA LIQUIDA PARA SABORIZAR SALCHICHA MANGUERA. BOLSA X 8 KILOS</c:v>
                </c:pt>
                <c:pt idx="23">
                  <c:v>MEZCLA LÍQUIDA PARA SABORIZAR SALCHICHA. BOLSA X 2.7 KILOS. CAJA X 24,3 KILOS</c:v>
                </c:pt>
                <c:pt idx="24">
                  <c:v>MEZCLA SABOR MORTADELA DROP TECH</c:v>
                </c:pt>
                <c:pt idx="25">
                  <c:v>PAPADA DE CERDO. Disco 6mm.</c:v>
                </c:pt>
                <c:pt idx="26">
                  <c:v>PIMIENTA MOLIDA BLANCA. BOLSA X 1 KILO. (TECNAS)</c:v>
                </c:pt>
                <c:pt idx="27">
                  <c:v>PIMIENTA NEGRA MOLIDA. BOLSA X 1 KILO. (TECNAS)</c:v>
                </c:pt>
                <c:pt idx="28">
                  <c:v>PREPARADO SABOR  CERVECERO NEO. BOLSA X 7,03 KILOS.</c:v>
                </c:pt>
                <c:pt idx="29">
                  <c:v>PREPARADO SABOR CERVECERO PREMIUM SV</c:v>
                </c:pt>
                <c:pt idx="30">
                  <c:v>PREPARADO SABOR CHORIZO CERDO SEVILLA. PAQUETE X 4,8 KILOS</c:v>
                </c:pt>
                <c:pt idx="31">
                  <c:v>PREPARADO SABOR CHORIZO TERNERA SEVILLA X 3,83 KG</c:v>
                </c:pt>
                <c:pt idx="32">
                  <c:v>PREPARADO SABOR JAMON CALIFORNIAX 1 KG</c:v>
                </c:pt>
                <c:pt idx="33">
                  <c:v>PREPARADO SABOR JAMÓN T 3391 x 4 KG LÍQUIDO</c:v>
                </c:pt>
                <c:pt idx="34">
                  <c:v>PVH LIQUIDA - M - 1222. CANECA X 70 KILOS.</c:v>
                </c:pt>
                <c:pt idx="35">
                  <c:v>SABOR CERDO COCIDO TECNAS X 1 Kg.</c:v>
                </c:pt>
                <c:pt idx="36">
                  <c:v>SABOR ITALIAN MORTADELA FLAVOUR SACO X 15 KILOS</c:v>
                </c:pt>
                <c:pt idx="37">
                  <c:v>SABORIZANTE A POLLO SV. BOLSA X 1 KILO</c:v>
                </c:pt>
                <c:pt idx="38">
                  <c:v>SAL YODADA REFISAL. SACO X 25 KILOS.</c:v>
                </c:pt>
                <c:pt idx="39">
                  <c:v>ADITIVO BURGER MEAT 80-B NATUR. BOLSA X 5 KILOS.</c:v>
                </c:pt>
                <c:pt idx="40">
                  <c:v>BATIDO COMPLETO #1 JOLI. SACO X 25 KILOS.</c:v>
                </c:pt>
              </c:strCache>
            </c:strRef>
          </c:cat>
          <c:val>
            <c:numRef>
              <c:f>'MATERIAS PRIMAS'!$H$22:$H$62</c:f>
            </c:numRef>
          </c:val>
          <c:extLst>
            <c:ext xmlns:c16="http://schemas.microsoft.com/office/drawing/2014/chart" uri="{C3380CC4-5D6E-409C-BE32-E72D297353CC}">
              <c16:uniqueId val="{00000005-B83D-4976-814B-785E9E22E2F6}"/>
            </c:ext>
          </c:extLst>
        </c:ser>
        <c:ser>
          <c:idx val="6"/>
          <c:order val="6"/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PRIMAS'!$A$22:$B$62</c15:sqref>
                  </c15:fullRef>
                  <c15:levelRef>
                    <c15:sqref>'MATERIAS PRIMAS'!$B$22:$B$62</c15:sqref>
                  </c15:levelRef>
                </c:ext>
              </c:extLst>
              <c:f>'MATERIAS PRIMAS'!$B$22:$B$62</c:f>
              <c:strCache>
                <c:ptCount val="41"/>
                <c:pt idx="0">
                  <c:v>CONDIMENTO AJIAROMA M - C100. BOLSA X 1 KILO.</c:v>
                </c:pt>
                <c:pt idx="1">
                  <c:v>AGUA POTABLE.</c:v>
                </c:pt>
                <c:pt idx="2">
                  <c:v>AJO MOLIDO DESHIDRATADO B. 1. CAJA X 20 KILOS. (LA CAMPANA)</c:v>
                </c:pt>
                <c:pt idx="3">
                  <c:v>APANADO</c:v>
                </c:pt>
                <c:pt idx="4">
                  <c:v>AROMA SALCHICHON TRADICIONAL 84987B. GARRAFA X 5 KILOS</c:v>
                </c:pt>
                <c:pt idx="5">
                  <c:v>CARRAGENINA CEAMGEL M 9396. SACO X 25 KILOS.</c:v>
                </c:pt>
                <c:pt idx="6">
                  <c:v>CEBOLLA EN POLVO B.1. CAJA X 20 KILOS. (LA CAMPANA)</c:v>
                </c:pt>
                <c:pt idx="7">
                  <c:v>COLOR CARAMELO. GARRAFA X 20 KILOS.</c:v>
                </c:pt>
                <c:pt idx="8">
                  <c:v>COLOR LOY.(NARAN. LIQ. A10-1). TARRO X 1 KILO.</c:v>
                </c:pt>
                <c:pt idx="9">
                  <c:v>COLOR NATURAL NARANJA  PR801 WD. GARRAFA X 10 KILOS.</c:v>
                </c:pt>
                <c:pt idx="10">
                  <c:v>COLOR NATURAL ROJO AC305RWS. GARRAFA X 4 KILOS.</c:v>
                </c:pt>
                <c:pt idx="11">
                  <c:v>COMINO MOLIDO B.1. BOLSA X 1 KILO. (LA CAMPANA)</c:v>
                </c:pt>
                <c:pt idx="12">
                  <c:v>DEXTROSA. BOLSA X 1 KILO.</c:v>
                </c:pt>
                <c:pt idx="13">
                  <c:v>EMULSION (Piel de Cerdo) - Tocino Partes Magras</c:v>
                </c:pt>
                <c:pt idx="14">
                  <c:v>EMULSIÓN ABLANDADA. Disco 6 mm</c:v>
                </c:pt>
                <c:pt idx="15">
                  <c:v>ENTURBIANTE EN POLVO DPA X 1 KILO</c:v>
                </c:pt>
                <c:pt idx="16">
                  <c:v>ERITORBATO DE SODIO. CAJA X 25 KILOS.</c:v>
                </c:pt>
                <c:pt idx="17">
                  <c:v>EXTRACTO PROTEICO LC 300. Saco x 25 kg.</c:v>
                </c:pt>
                <c:pt idx="18">
                  <c:v>GRASA EMPELLA</c:v>
                </c:pt>
                <c:pt idx="19">
                  <c:v>HIELO EN ESCAMAS (BOLSA X 20 KILOS)</c:v>
                </c:pt>
                <c:pt idx="20">
                  <c:v>HUMO CHARDEX EN POLVO X 18 KG</c:v>
                </c:pt>
                <c:pt idx="21">
                  <c:v>HUMO SMOKE OIL. GARRAFA PLÁSTICA X 12 KG.</c:v>
                </c:pt>
                <c:pt idx="22">
                  <c:v>MEZCLA LIQUIDA PARA SABORIZAR SALCHICHA MANGUERA. BOLSA X 8 KILOS</c:v>
                </c:pt>
                <c:pt idx="23">
                  <c:v>MEZCLA LÍQUIDA PARA SABORIZAR SALCHICHA. BOLSA X 2.7 KILOS. CAJA X 24,3 KILOS</c:v>
                </c:pt>
                <c:pt idx="24">
                  <c:v>MEZCLA SABOR MORTADELA DROP TECH</c:v>
                </c:pt>
                <c:pt idx="25">
                  <c:v>PAPADA DE CERDO. Disco 6mm.</c:v>
                </c:pt>
                <c:pt idx="26">
                  <c:v>PIMIENTA MOLIDA BLANCA. BOLSA X 1 KILO. (TECNAS)</c:v>
                </c:pt>
                <c:pt idx="27">
                  <c:v>PIMIENTA NEGRA MOLIDA. BOLSA X 1 KILO. (TECNAS)</c:v>
                </c:pt>
                <c:pt idx="28">
                  <c:v>PREPARADO SABOR  CERVECERO NEO. BOLSA X 7,03 KILOS.</c:v>
                </c:pt>
                <c:pt idx="29">
                  <c:v>PREPARADO SABOR CERVECERO PREMIUM SV</c:v>
                </c:pt>
                <c:pt idx="30">
                  <c:v>PREPARADO SABOR CHORIZO CERDO SEVILLA. PAQUETE X 4,8 KILOS</c:v>
                </c:pt>
                <c:pt idx="31">
                  <c:v>PREPARADO SABOR CHORIZO TERNERA SEVILLA X 3,83 KG</c:v>
                </c:pt>
                <c:pt idx="32">
                  <c:v>PREPARADO SABOR JAMON CALIFORNIAX 1 KG</c:v>
                </c:pt>
                <c:pt idx="33">
                  <c:v>PREPARADO SABOR JAMÓN T 3391 x 4 KG LÍQUIDO</c:v>
                </c:pt>
                <c:pt idx="34">
                  <c:v>PVH LIQUIDA - M - 1222. CANECA X 70 KILOS.</c:v>
                </c:pt>
                <c:pt idx="35">
                  <c:v>SABOR CERDO COCIDO TECNAS X 1 Kg.</c:v>
                </c:pt>
                <c:pt idx="36">
                  <c:v>SABOR ITALIAN MORTADELA FLAVOUR SACO X 15 KILOS</c:v>
                </c:pt>
                <c:pt idx="37">
                  <c:v>SABORIZANTE A POLLO SV. BOLSA X 1 KILO</c:v>
                </c:pt>
                <c:pt idx="38">
                  <c:v>SAL YODADA REFISAL. SACO X 25 KILOS.</c:v>
                </c:pt>
                <c:pt idx="39">
                  <c:v>ADITIVO BURGER MEAT 80-B NATUR. BOLSA X 5 KILOS.</c:v>
                </c:pt>
                <c:pt idx="40">
                  <c:v>BATIDO COMPLETO #1 JOLI. SACO X 25 KILOS.</c:v>
                </c:pt>
              </c:strCache>
            </c:strRef>
          </c:cat>
          <c:val>
            <c:numRef>
              <c:f>'MATERIAS PRIMAS'!$I$22:$I$62</c:f>
              <c:numCache>
                <c:formatCode>_(* #,##0.00_);_(* \(#,##0.00\);_(* "-"??_);_(@_)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3D-4976-814B-785E9E22E2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040348304"/>
        <c:axId val="1040349288"/>
      </c:barChart>
      <c:catAx>
        <c:axId val="10403483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349288"/>
        <c:crosses val="autoZero"/>
        <c:auto val="1"/>
        <c:lblAlgn val="ctr"/>
        <c:lblOffset val="100"/>
        <c:noMultiLvlLbl val="0"/>
      </c:catAx>
      <c:valAx>
        <c:axId val="1040349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034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% DE VARIACIÓN AL ALZA </a:t>
            </a:r>
            <a:endParaRPr lang="es-CO">
              <a:effectLst/>
            </a:endParaRPr>
          </a:p>
          <a:p>
            <a:pPr>
              <a:defRPr/>
            </a:pPr>
            <a:r>
              <a:rPr lang="es-CO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MP AGO - SEP 2022</a:t>
            </a:r>
            <a:endParaRPr lang="es-C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1757088056300653E-2"/>
          <c:y val="0.12919191919191922"/>
          <c:w val="0.92505609875688621"/>
          <c:h val="0.84858585858585855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PRIMAS'!$A$63:$B$72</c15:sqref>
                  </c15:fullRef>
                  <c15:levelRef>
                    <c15:sqref>'MATERIAS PRIMAS'!$B$63:$B$72</c15:sqref>
                  </c15:levelRef>
                </c:ext>
              </c:extLst>
              <c:f>'MATERIAS PRIMAS'!$B$63:$B$72</c:f>
              <c:strCache>
                <c:ptCount val="10"/>
                <c:pt idx="0">
                  <c:v>CONDIMENTO AJIAROMA M - M100. BOLSA X 1 KILO</c:v>
                </c:pt>
                <c:pt idx="1">
                  <c:v>MORTADELA SELECCIONADA X 225 GRAMOS OFERTA</c:v>
                </c:pt>
                <c:pt idx="2">
                  <c:v>PLASMA APROPORK. SACO X 20 KILOS.</c:v>
                </c:pt>
                <c:pt idx="3">
                  <c:v>SAL CURANTE AL 12 %. SACO X 25 KILOS.</c:v>
                </c:pt>
                <c:pt idx="4">
                  <c:v>PASTA DE POLLO IMPORTADA TYSON USA</c:v>
                </c:pt>
                <c:pt idx="5">
                  <c:v>PIERNA DE CERDO</c:v>
                </c:pt>
                <c:pt idx="6">
                  <c:v>BRAZUELO DE CERDO.</c:v>
                </c:pt>
                <c:pt idx="7">
                  <c:v>PP BATIDO PREPARADO</c:v>
                </c:pt>
                <c:pt idx="8">
                  <c:v>CARNE OSCURA</c:v>
                </c:pt>
                <c:pt idx="9">
                  <c:v>REPELE (CHARQUEADO)</c:v>
                </c:pt>
              </c:strCache>
            </c:strRef>
          </c:cat>
          <c:val>
            <c:numRef>
              <c:f>'MATERIAS PRIMAS'!$C$63:$C$72</c:f>
            </c:numRef>
          </c:val>
          <c:smooth val="0"/>
          <c:extLst>
            <c:ext xmlns:c16="http://schemas.microsoft.com/office/drawing/2014/chart" uri="{C3380CC4-5D6E-409C-BE32-E72D297353CC}">
              <c16:uniqueId val="{00000000-C26C-43F4-B593-468E3DF1BC41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PRIMAS'!$A$63:$B$72</c15:sqref>
                  </c15:fullRef>
                  <c15:levelRef>
                    <c15:sqref>'MATERIAS PRIMAS'!$B$63:$B$72</c15:sqref>
                  </c15:levelRef>
                </c:ext>
              </c:extLst>
              <c:f>'MATERIAS PRIMAS'!$B$63:$B$72</c:f>
              <c:strCache>
                <c:ptCount val="10"/>
                <c:pt idx="0">
                  <c:v>CONDIMENTO AJIAROMA M - M100. BOLSA X 1 KILO</c:v>
                </c:pt>
                <c:pt idx="1">
                  <c:v>MORTADELA SELECCIONADA X 225 GRAMOS OFERTA</c:v>
                </c:pt>
                <c:pt idx="2">
                  <c:v>PLASMA APROPORK. SACO X 20 KILOS.</c:v>
                </c:pt>
                <c:pt idx="3">
                  <c:v>SAL CURANTE AL 12 %. SACO X 25 KILOS.</c:v>
                </c:pt>
                <c:pt idx="4">
                  <c:v>PASTA DE POLLO IMPORTADA TYSON USA</c:v>
                </c:pt>
                <c:pt idx="5">
                  <c:v>PIERNA DE CERDO</c:v>
                </c:pt>
                <c:pt idx="6">
                  <c:v>BRAZUELO DE CERDO.</c:v>
                </c:pt>
                <c:pt idx="7">
                  <c:v>PP BATIDO PREPARADO</c:v>
                </c:pt>
                <c:pt idx="8">
                  <c:v>CARNE OSCURA</c:v>
                </c:pt>
                <c:pt idx="9">
                  <c:v>REPELE (CHARQUEADO)</c:v>
                </c:pt>
              </c:strCache>
            </c:strRef>
          </c:cat>
          <c:val>
            <c:numRef>
              <c:f>'MATERIAS PRIMAS'!$D$63:$D$72</c:f>
            </c:numRef>
          </c:val>
          <c:smooth val="0"/>
          <c:extLst>
            <c:ext xmlns:c16="http://schemas.microsoft.com/office/drawing/2014/chart" uri="{C3380CC4-5D6E-409C-BE32-E72D297353CC}">
              <c16:uniqueId val="{00000001-C26C-43F4-B593-468E3DF1BC41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PRIMAS'!$A$63:$B$72</c15:sqref>
                  </c15:fullRef>
                  <c15:levelRef>
                    <c15:sqref>'MATERIAS PRIMAS'!$B$63:$B$72</c15:sqref>
                  </c15:levelRef>
                </c:ext>
              </c:extLst>
              <c:f>'MATERIAS PRIMAS'!$B$63:$B$72</c:f>
              <c:strCache>
                <c:ptCount val="10"/>
                <c:pt idx="0">
                  <c:v>CONDIMENTO AJIAROMA M - M100. BOLSA X 1 KILO</c:v>
                </c:pt>
                <c:pt idx="1">
                  <c:v>MORTADELA SELECCIONADA X 225 GRAMOS OFERTA</c:v>
                </c:pt>
                <c:pt idx="2">
                  <c:v>PLASMA APROPORK. SACO X 20 KILOS.</c:v>
                </c:pt>
                <c:pt idx="3">
                  <c:v>SAL CURANTE AL 12 %. SACO X 25 KILOS.</c:v>
                </c:pt>
                <c:pt idx="4">
                  <c:v>PASTA DE POLLO IMPORTADA TYSON USA</c:v>
                </c:pt>
                <c:pt idx="5">
                  <c:v>PIERNA DE CERDO</c:v>
                </c:pt>
                <c:pt idx="6">
                  <c:v>BRAZUELO DE CERDO.</c:v>
                </c:pt>
                <c:pt idx="7">
                  <c:v>PP BATIDO PREPARADO</c:v>
                </c:pt>
                <c:pt idx="8">
                  <c:v>CARNE OSCURA</c:v>
                </c:pt>
                <c:pt idx="9">
                  <c:v>REPELE (CHARQUEADO)</c:v>
                </c:pt>
              </c:strCache>
            </c:strRef>
          </c:cat>
          <c:val>
            <c:numRef>
              <c:f>'MATERIAS PRIMAS'!$E$63:$E$72</c:f>
            </c:numRef>
          </c:val>
          <c:smooth val="0"/>
          <c:extLst>
            <c:ext xmlns:c16="http://schemas.microsoft.com/office/drawing/2014/chart" uri="{C3380CC4-5D6E-409C-BE32-E72D297353CC}">
              <c16:uniqueId val="{00000002-C26C-43F4-B593-468E3DF1BC41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PRIMAS'!$A$63:$B$72</c15:sqref>
                  </c15:fullRef>
                  <c15:levelRef>
                    <c15:sqref>'MATERIAS PRIMAS'!$B$63:$B$72</c15:sqref>
                  </c15:levelRef>
                </c:ext>
              </c:extLst>
              <c:f>'MATERIAS PRIMAS'!$B$63:$B$72</c:f>
              <c:strCache>
                <c:ptCount val="10"/>
                <c:pt idx="0">
                  <c:v>CONDIMENTO AJIAROMA M - M100. BOLSA X 1 KILO</c:v>
                </c:pt>
                <c:pt idx="1">
                  <c:v>MORTADELA SELECCIONADA X 225 GRAMOS OFERTA</c:v>
                </c:pt>
                <c:pt idx="2">
                  <c:v>PLASMA APROPORK. SACO X 20 KILOS.</c:v>
                </c:pt>
                <c:pt idx="3">
                  <c:v>SAL CURANTE AL 12 %. SACO X 25 KILOS.</c:v>
                </c:pt>
                <c:pt idx="4">
                  <c:v>PASTA DE POLLO IMPORTADA TYSON USA</c:v>
                </c:pt>
                <c:pt idx="5">
                  <c:v>PIERNA DE CERDO</c:v>
                </c:pt>
                <c:pt idx="6">
                  <c:v>BRAZUELO DE CERDO.</c:v>
                </c:pt>
                <c:pt idx="7">
                  <c:v>PP BATIDO PREPARADO</c:v>
                </c:pt>
                <c:pt idx="8">
                  <c:v>CARNE OSCURA</c:v>
                </c:pt>
                <c:pt idx="9">
                  <c:v>REPELE (CHARQUEADO)</c:v>
                </c:pt>
              </c:strCache>
            </c:strRef>
          </c:cat>
          <c:val>
            <c:numRef>
              <c:f>'MATERIAS PRIMAS'!$F$63:$F$72</c:f>
            </c:numRef>
          </c:val>
          <c:smooth val="0"/>
          <c:extLst>
            <c:ext xmlns:c16="http://schemas.microsoft.com/office/drawing/2014/chart" uri="{C3380CC4-5D6E-409C-BE32-E72D297353CC}">
              <c16:uniqueId val="{00000003-C26C-43F4-B593-468E3DF1BC41}"/>
            </c:ext>
          </c:extLst>
        </c:ser>
        <c:ser>
          <c:idx val="4"/>
          <c:order val="4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PRIMAS'!$A$63:$B$72</c15:sqref>
                  </c15:fullRef>
                  <c15:levelRef>
                    <c15:sqref>'MATERIAS PRIMAS'!$B$63:$B$72</c15:sqref>
                  </c15:levelRef>
                </c:ext>
              </c:extLst>
              <c:f>'MATERIAS PRIMAS'!$B$63:$B$72</c:f>
              <c:strCache>
                <c:ptCount val="10"/>
                <c:pt idx="0">
                  <c:v>CONDIMENTO AJIAROMA M - M100. BOLSA X 1 KILO</c:v>
                </c:pt>
                <c:pt idx="1">
                  <c:v>MORTADELA SELECCIONADA X 225 GRAMOS OFERTA</c:v>
                </c:pt>
                <c:pt idx="2">
                  <c:v>PLASMA APROPORK. SACO X 20 KILOS.</c:v>
                </c:pt>
                <c:pt idx="3">
                  <c:v>SAL CURANTE AL 12 %. SACO X 25 KILOS.</c:v>
                </c:pt>
                <c:pt idx="4">
                  <c:v>PASTA DE POLLO IMPORTADA TYSON USA</c:v>
                </c:pt>
                <c:pt idx="5">
                  <c:v>PIERNA DE CERDO</c:v>
                </c:pt>
                <c:pt idx="6">
                  <c:v>BRAZUELO DE CERDO.</c:v>
                </c:pt>
                <c:pt idx="7">
                  <c:v>PP BATIDO PREPARADO</c:v>
                </c:pt>
                <c:pt idx="8">
                  <c:v>CARNE OSCURA</c:v>
                </c:pt>
                <c:pt idx="9">
                  <c:v>REPELE (CHARQUEADO)</c:v>
                </c:pt>
              </c:strCache>
            </c:strRef>
          </c:cat>
          <c:val>
            <c:numRef>
              <c:f>'MATERIAS PRIMAS'!$G$63:$G$72</c:f>
            </c:numRef>
          </c:val>
          <c:smooth val="0"/>
          <c:extLst>
            <c:ext xmlns:c16="http://schemas.microsoft.com/office/drawing/2014/chart" uri="{C3380CC4-5D6E-409C-BE32-E72D297353CC}">
              <c16:uniqueId val="{00000004-C26C-43F4-B593-468E3DF1BC41}"/>
            </c:ext>
          </c:extLst>
        </c:ser>
        <c:ser>
          <c:idx val="5"/>
          <c:order val="5"/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PRIMAS'!$A$63:$B$72</c15:sqref>
                  </c15:fullRef>
                  <c15:levelRef>
                    <c15:sqref>'MATERIAS PRIMAS'!$B$63:$B$72</c15:sqref>
                  </c15:levelRef>
                </c:ext>
              </c:extLst>
              <c:f>'MATERIAS PRIMAS'!$B$63:$B$72</c:f>
              <c:strCache>
                <c:ptCount val="10"/>
                <c:pt idx="0">
                  <c:v>CONDIMENTO AJIAROMA M - M100. BOLSA X 1 KILO</c:v>
                </c:pt>
                <c:pt idx="1">
                  <c:v>MORTADELA SELECCIONADA X 225 GRAMOS OFERTA</c:v>
                </c:pt>
                <c:pt idx="2">
                  <c:v>PLASMA APROPORK. SACO X 20 KILOS.</c:v>
                </c:pt>
                <c:pt idx="3">
                  <c:v>SAL CURANTE AL 12 %. SACO X 25 KILOS.</c:v>
                </c:pt>
                <c:pt idx="4">
                  <c:v>PASTA DE POLLO IMPORTADA TYSON USA</c:v>
                </c:pt>
                <c:pt idx="5">
                  <c:v>PIERNA DE CERDO</c:v>
                </c:pt>
                <c:pt idx="6">
                  <c:v>BRAZUELO DE CERDO.</c:v>
                </c:pt>
                <c:pt idx="7">
                  <c:v>PP BATIDO PREPARADO</c:v>
                </c:pt>
                <c:pt idx="8">
                  <c:v>CARNE OSCURA</c:v>
                </c:pt>
                <c:pt idx="9">
                  <c:v>REPELE (CHARQUEADO)</c:v>
                </c:pt>
              </c:strCache>
            </c:strRef>
          </c:cat>
          <c:val>
            <c:numRef>
              <c:f>'MATERIAS PRIMAS'!$H$63:$H$72</c:f>
            </c:numRef>
          </c:val>
          <c:smooth val="0"/>
          <c:extLst>
            <c:ext xmlns:c16="http://schemas.microsoft.com/office/drawing/2014/chart" uri="{C3380CC4-5D6E-409C-BE32-E72D297353CC}">
              <c16:uniqueId val="{00000005-C26C-43F4-B593-468E3DF1BC41}"/>
            </c:ext>
          </c:extLst>
        </c:ser>
        <c:ser>
          <c:idx val="6"/>
          <c:order val="6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'MATERIAS PRIMAS'!$A$63:$B$72</c15:sqref>
                  </c15:fullRef>
                  <c15:levelRef>
                    <c15:sqref>'MATERIAS PRIMAS'!$B$63:$B$72</c15:sqref>
                  </c15:levelRef>
                </c:ext>
              </c:extLst>
              <c:f>'MATERIAS PRIMAS'!$B$63:$B$72</c:f>
              <c:strCache>
                <c:ptCount val="10"/>
                <c:pt idx="0">
                  <c:v>CONDIMENTO AJIAROMA M - M100. BOLSA X 1 KILO</c:v>
                </c:pt>
                <c:pt idx="1">
                  <c:v>MORTADELA SELECCIONADA X 225 GRAMOS OFERTA</c:v>
                </c:pt>
                <c:pt idx="2">
                  <c:v>PLASMA APROPORK. SACO X 20 KILOS.</c:v>
                </c:pt>
                <c:pt idx="3">
                  <c:v>SAL CURANTE AL 12 %. SACO X 25 KILOS.</c:v>
                </c:pt>
                <c:pt idx="4">
                  <c:v>PASTA DE POLLO IMPORTADA TYSON USA</c:v>
                </c:pt>
                <c:pt idx="5">
                  <c:v>PIERNA DE CERDO</c:v>
                </c:pt>
                <c:pt idx="6">
                  <c:v>BRAZUELO DE CERDO.</c:v>
                </c:pt>
                <c:pt idx="7">
                  <c:v>PP BATIDO PREPARADO</c:v>
                </c:pt>
                <c:pt idx="8">
                  <c:v>CARNE OSCURA</c:v>
                </c:pt>
                <c:pt idx="9">
                  <c:v>REPELE (CHARQUEADO)</c:v>
                </c:pt>
              </c:strCache>
            </c:strRef>
          </c:cat>
          <c:val>
            <c:numRef>
              <c:f>'MATERIAS PRIMAS'!$I$63:$I$72</c:f>
              <c:numCache>
                <c:formatCode>_(* #,##0.00_);_(* \(#,##0.00\);_(* "-"??_);_(@_)</c:formatCode>
                <c:ptCount val="10"/>
                <c:pt idx="0">
                  <c:v>-1.0629090301719657E-2</c:v>
                </c:pt>
                <c:pt idx="1">
                  <c:v>-4.7732696897369919E-2</c:v>
                </c:pt>
                <c:pt idx="2">
                  <c:v>-1.0081334153509687</c:v>
                </c:pt>
                <c:pt idx="3">
                  <c:v>-2.1143304620203622</c:v>
                </c:pt>
                <c:pt idx="4">
                  <c:v>-3.6113025499655436</c:v>
                </c:pt>
                <c:pt idx="5">
                  <c:v>-8.08199503851678</c:v>
                </c:pt>
                <c:pt idx="6">
                  <c:v>-8.5619285120531998</c:v>
                </c:pt>
                <c:pt idx="7">
                  <c:v>-20.625</c:v>
                </c:pt>
                <c:pt idx="8">
                  <c:v>-54.666666666666671</c:v>
                </c:pt>
                <c:pt idx="9">
                  <c:v>-56.98057404046515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6C-43F4-B593-468E3DF1B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7501864"/>
        <c:axId val="897499568"/>
      </c:lineChart>
      <c:catAx>
        <c:axId val="8975018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7499568"/>
        <c:crosses val="autoZero"/>
        <c:auto val="1"/>
        <c:lblAlgn val="ctr"/>
        <c:lblOffset val="100"/>
        <c:noMultiLvlLbl val="0"/>
      </c:catAx>
      <c:valAx>
        <c:axId val="897499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7501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DE VARIACIÓN AL ALZA </a:t>
            </a:r>
          </a:p>
          <a:p>
            <a:pPr>
              <a:defRPr/>
            </a:pPr>
            <a:r>
              <a:rPr lang="es-CO"/>
              <a:t>ME AGO - SEP 2022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2167344466557049E-2"/>
          <c:y val="0.15876767676767678"/>
          <c:w val="0.92611104381183118"/>
          <c:h val="0.38583981547761076"/>
        </c:manualLayout>
      </c:layout>
      <c:lineChart>
        <c:grouping val="standard"/>
        <c:varyColors val="0"/>
        <c:ser>
          <c:idx val="0"/>
          <c:order val="0"/>
          <c:tx>
            <c:strRef>
              <c:f>'MATERIAL DE EMPAQUE'!$C$1</c:f>
              <c:strCache>
                <c:ptCount val="1"/>
                <c:pt idx="0">
                  <c:v> CATIDAD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'MATERIAL DE EMPAQUE'!$B$2:$B$34</c:f>
              <c:strCache>
                <c:ptCount val="33"/>
                <c:pt idx="0">
                  <c:v>Grapas Poly-Clip GMBH 15-08 5 x 1,5 Carrete x 5,500 unidades</c:v>
                </c:pt>
                <c:pt idx="1">
                  <c:v>Grapas Poly-Clip GMBH R-ID M 07-150 Carrete x 6,800 unidades</c:v>
                </c:pt>
                <c:pt idx="2">
                  <c:v>Caja Koba Salchichón Tradicional Viandé x 500 gramos (15 unidades)</c:v>
                </c:pt>
                <c:pt idx="3">
                  <c:v>Caja Koba Salchicha Tradicional Viandé x 450 gramos.  (22 unidades)</c:v>
                </c:pt>
                <c:pt idx="4">
                  <c:v>Lámina Inferior Sudpack GVP 130-323 mm (5.0 mils). 1 Rollo x 350 metros</c:v>
                </c:pt>
                <c:pt idx="5">
                  <c:v>Lámina Inferior Sudpack GVP 130-423 mm (5.0 mils). 1 Rollo x 350 metros</c:v>
                </c:pt>
                <c:pt idx="6">
                  <c:v>Lámina Superior Impresa Mega Combo Faizán x 900 gramos </c:v>
                </c:pt>
                <c:pt idx="7">
                  <c:v>Clips HC25-3218T. Carrete x 2,400 unidades.</c:v>
                </c:pt>
                <c:pt idx="8">
                  <c:v>Fibrosa FVP CLS 140 B5 4 H5 Natural Corrugado. (Viandé)</c:v>
                </c:pt>
                <c:pt idx="9">
                  <c:v>Tubular Salchichón Tradicional x 750 Gramos Cal 44</c:v>
                </c:pt>
                <c:pt idx="10">
                  <c:v>Funda Celulosa Nojax 20 x 100 Tubo x 30,48 metros. Caja x 200 tubos x 6,096 metros</c:v>
                </c:pt>
                <c:pt idx="11">
                  <c:v>Tubular Salchichón Pollo Bakel x 225 Gramos. Cal 40</c:v>
                </c:pt>
                <c:pt idx="12">
                  <c:v>Tubular Salchichón Tradicional Viande x 500 Gramos. Cal 44</c:v>
                </c:pt>
                <c:pt idx="13">
                  <c:v>Tubular Salchichón Cervecero 1.500 gramos</c:v>
                </c:pt>
                <c:pt idx="14">
                  <c:v>Lámina Superior Mortadela Seleccionada Viandé x 225 gramos x 17 unidades. Ancho = 415 mm. (Pet / coextrusión HBA 70 micras).</c:v>
                </c:pt>
                <c:pt idx="15">
                  <c:v>Lámina Superior Impresa Salchicha Viandé x 225 gramos x 8 unidades. Ancho = 415 mm. (Pet / coextrusión HBA 70 micras).</c:v>
                </c:pt>
                <c:pt idx="16">
                  <c:v>Funda Celulosa 23 USA x 4 CE S (Cartón x 7.680 metros x 300 tubos,C/tubo x 25.6 metros. 6 caddy x 50 tubos)</c:v>
                </c:pt>
                <c:pt idx="17">
                  <c:v>Tubular Salchichón Cervecero x 750 gramos</c:v>
                </c:pt>
                <c:pt idx="18">
                  <c:v>Tubular Salchichón Cervecero x 500 gramos</c:v>
                </c:pt>
                <c:pt idx="19">
                  <c:v>Lámina Inferior Modflex 180 micras (280m/rollo). 7 mils - 423 mm</c:v>
                </c:pt>
                <c:pt idx="20">
                  <c:v>Tubular Salchichón Pollo X 225 gramos Cal 40 </c:v>
                </c:pt>
                <c:pt idx="21">
                  <c:v>Tubular Salchichón Auténtico x 225 gramos. Cal 40 </c:v>
                </c:pt>
                <c:pt idx="22">
                  <c:v>Funda Celulosa 18 x 100 (Cartón x 9.144 metros x 300 tubos,C/tubo x 30.48 metros. 6 caddy x 50 tubos)</c:v>
                </c:pt>
                <c:pt idx="23">
                  <c:v>Etiqueta Megasalchicha x 560 gramos x 6 unidades</c:v>
                </c:pt>
                <c:pt idx="24">
                  <c:v>Tubular Salchichón Pollo Bakel x 500 Gramos. Cal 44</c:v>
                </c:pt>
                <c:pt idx="25">
                  <c:v>Polijax 20 X 110 Impresa. Tubo x 33.53 metros. Caja x 300 tubos x 10.058 metros</c:v>
                </c:pt>
                <c:pt idx="26">
                  <c:v>Funda Celulosa 20 x 100 CE FP CLR </c:v>
                </c:pt>
                <c:pt idx="27">
                  <c:v>Fibrosa FVP CLS 95 B3 4 H3 Natural Corrugado. (Mortadela)</c:v>
                </c:pt>
                <c:pt idx="28">
                  <c:v>Funda Colageno NDX 26/60 (cartón x 4,718 metros x 258 tubos, C/tubo x 18.29 metros. 6 Caddy x 43 tubos C/U)</c:v>
                </c:pt>
                <c:pt idx="29">
                  <c:v>Lámina Inferior Sudpack GVA 200 BT 323 MM (8.MILS) 1 Rollo x 300 metros</c:v>
                </c:pt>
                <c:pt idx="30">
                  <c:v>Fibrosa FVP CLS 95 B3 4 H3 Natural Corrugada x 25 metros.</c:v>
                </c:pt>
                <c:pt idx="31">
                  <c:v>Tubular Salchichón Cervecero Viande x 225 Gramos. Cal 40</c:v>
                </c:pt>
                <c:pt idx="32">
                  <c:v>Lámina Superior Impresa Salchicha x 225 gramos x 9 unidades. Sin Código. Ancho = 415 mm. (Pet / coextrusión HBA 70 micras).</c:v>
                </c:pt>
              </c:strCache>
            </c:strRef>
          </c:cat>
          <c:val>
            <c:numRef>
              <c:f>'MATERIAL DE EMPAQUE'!$C$2:$C$34</c:f>
            </c:numRef>
          </c:val>
          <c:smooth val="0"/>
          <c:extLst>
            <c:ext xmlns:c16="http://schemas.microsoft.com/office/drawing/2014/chart" uri="{C3380CC4-5D6E-409C-BE32-E72D297353CC}">
              <c16:uniqueId val="{00000000-5EF9-4392-96DE-A5E9AE134BE3}"/>
            </c:ext>
          </c:extLst>
        </c:ser>
        <c:ser>
          <c:idx val="1"/>
          <c:order val="1"/>
          <c:tx>
            <c:strRef>
              <c:f>'MATERIAL DE EMPAQUE'!$D$1</c:f>
              <c:strCache>
                <c:ptCount val="1"/>
                <c:pt idx="0">
                  <c:v> SEP -        COP / Kg 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'MATERIAL DE EMPAQUE'!$B$2:$B$34</c:f>
              <c:strCache>
                <c:ptCount val="33"/>
                <c:pt idx="0">
                  <c:v>Grapas Poly-Clip GMBH 15-08 5 x 1,5 Carrete x 5,500 unidades</c:v>
                </c:pt>
                <c:pt idx="1">
                  <c:v>Grapas Poly-Clip GMBH R-ID M 07-150 Carrete x 6,800 unidades</c:v>
                </c:pt>
                <c:pt idx="2">
                  <c:v>Caja Koba Salchichón Tradicional Viandé x 500 gramos (15 unidades)</c:v>
                </c:pt>
                <c:pt idx="3">
                  <c:v>Caja Koba Salchicha Tradicional Viandé x 450 gramos.  (22 unidades)</c:v>
                </c:pt>
                <c:pt idx="4">
                  <c:v>Lámina Inferior Sudpack GVP 130-323 mm (5.0 mils). 1 Rollo x 350 metros</c:v>
                </c:pt>
                <c:pt idx="5">
                  <c:v>Lámina Inferior Sudpack GVP 130-423 mm (5.0 mils). 1 Rollo x 350 metros</c:v>
                </c:pt>
                <c:pt idx="6">
                  <c:v>Lámina Superior Impresa Mega Combo Faizán x 900 gramos </c:v>
                </c:pt>
                <c:pt idx="7">
                  <c:v>Clips HC25-3218T. Carrete x 2,400 unidades.</c:v>
                </c:pt>
                <c:pt idx="8">
                  <c:v>Fibrosa FVP CLS 140 B5 4 H5 Natural Corrugado. (Viandé)</c:v>
                </c:pt>
                <c:pt idx="9">
                  <c:v>Tubular Salchichón Tradicional x 750 Gramos Cal 44</c:v>
                </c:pt>
                <c:pt idx="10">
                  <c:v>Funda Celulosa Nojax 20 x 100 Tubo x 30,48 metros. Caja x 200 tubos x 6,096 metros</c:v>
                </c:pt>
                <c:pt idx="11">
                  <c:v>Tubular Salchichón Pollo Bakel x 225 Gramos. Cal 40</c:v>
                </c:pt>
                <c:pt idx="12">
                  <c:v>Tubular Salchichón Tradicional Viande x 500 Gramos. Cal 44</c:v>
                </c:pt>
                <c:pt idx="13">
                  <c:v>Tubular Salchichón Cervecero 1.500 gramos</c:v>
                </c:pt>
                <c:pt idx="14">
                  <c:v>Lámina Superior Mortadela Seleccionada Viandé x 225 gramos x 17 unidades. Ancho = 415 mm. (Pet / coextrusión HBA 70 micras).</c:v>
                </c:pt>
                <c:pt idx="15">
                  <c:v>Lámina Superior Impresa Salchicha Viandé x 225 gramos x 8 unidades. Ancho = 415 mm. (Pet / coextrusión HBA 70 micras).</c:v>
                </c:pt>
                <c:pt idx="16">
                  <c:v>Funda Celulosa 23 USA x 4 CE S (Cartón x 7.680 metros x 300 tubos,C/tubo x 25.6 metros. 6 caddy x 50 tubos)</c:v>
                </c:pt>
                <c:pt idx="17">
                  <c:v>Tubular Salchichón Cervecero x 750 gramos</c:v>
                </c:pt>
                <c:pt idx="18">
                  <c:v>Tubular Salchichón Cervecero x 500 gramos</c:v>
                </c:pt>
                <c:pt idx="19">
                  <c:v>Lámina Inferior Modflex 180 micras (280m/rollo). 7 mils - 423 mm</c:v>
                </c:pt>
                <c:pt idx="20">
                  <c:v>Tubular Salchichón Pollo X 225 gramos Cal 40 </c:v>
                </c:pt>
                <c:pt idx="21">
                  <c:v>Tubular Salchichón Auténtico x 225 gramos. Cal 40 </c:v>
                </c:pt>
                <c:pt idx="22">
                  <c:v>Funda Celulosa 18 x 100 (Cartón x 9.144 metros x 300 tubos,C/tubo x 30.48 metros. 6 caddy x 50 tubos)</c:v>
                </c:pt>
                <c:pt idx="23">
                  <c:v>Etiqueta Megasalchicha x 560 gramos x 6 unidades</c:v>
                </c:pt>
                <c:pt idx="24">
                  <c:v>Tubular Salchichón Pollo Bakel x 500 Gramos. Cal 44</c:v>
                </c:pt>
                <c:pt idx="25">
                  <c:v>Polijax 20 X 110 Impresa. Tubo x 33.53 metros. Caja x 300 tubos x 10.058 metros</c:v>
                </c:pt>
                <c:pt idx="26">
                  <c:v>Funda Celulosa 20 x 100 CE FP CLR </c:v>
                </c:pt>
                <c:pt idx="27">
                  <c:v>Fibrosa FVP CLS 95 B3 4 H3 Natural Corrugado. (Mortadela)</c:v>
                </c:pt>
                <c:pt idx="28">
                  <c:v>Funda Colageno NDX 26/60 (cartón x 4,718 metros x 258 tubos, C/tubo x 18.29 metros. 6 Caddy x 43 tubos C/U)</c:v>
                </c:pt>
                <c:pt idx="29">
                  <c:v>Lámina Inferior Sudpack GVA 200 BT 323 MM (8.MILS) 1 Rollo x 300 metros</c:v>
                </c:pt>
                <c:pt idx="30">
                  <c:v>Fibrosa FVP CLS 95 B3 4 H3 Natural Corrugada x 25 metros.</c:v>
                </c:pt>
                <c:pt idx="31">
                  <c:v>Tubular Salchichón Cervecero Viande x 225 Gramos. Cal 40</c:v>
                </c:pt>
                <c:pt idx="32">
                  <c:v>Lámina Superior Impresa Salchicha x 225 gramos x 9 unidades. Sin Código. Ancho = 415 mm. (Pet / coextrusión HBA 70 micras).</c:v>
                </c:pt>
              </c:strCache>
            </c:strRef>
          </c:cat>
          <c:val>
            <c:numRef>
              <c:f>'MATERIAL DE EMPAQUE'!$D$2:$D$34</c:f>
            </c:numRef>
          </c:val>
          <c:smooth val="0"/>
          <c:extLst>
            <c:ext xmlns:c16="http://schemas.microsoft.com/office/drawing/2014/chart" uri="{C3380CC4-5D6E-409C-BE32-E72D297353CC}">
              <c16:uniqueId val="{00000001-5EF9-4392-96DE-A5E9AE134BE3}"/>
            </c:ext>
          </c:extLst>
        </c:ser>
        <c:ser>
          <c:idx val="2"/>
          <c:order val="2"/>
          <c:tx>
            <c:strRef>
              <c:f>'MATERIAL DE EMPAQUE'!$E$1</c:f>
              <c:strCache>
                <c:ptCount val="1"/>
                <c:pt idx="0">
                  <c:v> SEP - 
COP / APP 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'MATERIAL DE EMPAQUE'!$B$2:$B$34</c:f>
              <c:strCache>
                <c:ptCount val="33"/>
                <c:pt idx="0">
                  <c:v>Grapas Poly-Clip GMBH 15-08 5 x 1,5 Carrete x 5,500 unidades</c:v>
                </c:pt>
                <c:pt idx="1">
                  <c:v>Grapas Poly-Clip GMBH R-ID M 07-150 Carrete x 6,800 unidades</c:v>
                </c:pt>
                <c:pt idx="2">
                  <c:v>Caja Koba Salchichón Tradicional Viandé x 500 gramos (15 unidades)</c:v>
                </c:pt>
                <c:pt idx="3">
                  <c:v>Caja Koba Salchicha Tradicional Viandé x 450 gramos.  (22 unidades)</c:v>
                </c:pt>
                <c:pt idx="4">
                  <c:v>Lámina Inferior Sudpack GVP 130-323 mm (5.0 mils). 1 Rollo x 350 metros</c:v>
                </c:pt>
                <c:pt idx="5">
                  <c:v>Lámina Inferior Sudpack GVP 130-423 mm (5.0 mils). 1 Rollo x 350 metros</c:v>
                </c:pt>
                <c:pt idx="6">
                  <c:v>Lámina Superior Impresa Mega Combo Faizán x 900 gramos </c:v>
                </c:pt>
                <c:pt idx="7">
                  <c:v>Clips HC25-3218T. Carrete x 2,400 unidades.</c:v>
                </c:pt>
                <c:pt idx="8">
                  <c:v>Fibrosa FVP CLS 140 B5 4 H5 Natural Corrugado. (Viandé)</c:v>
                </c:pt>
                <c:pt idx="9">
                  <c:v>Tubular Salchichón Tradicional x 750 Gramos Cal 44</c:v>
                </c:pt>
                <c:pt idx="10">
                  <c:v>Funda Celulosa Nojax 20 x 100 Tubo x 30,48 metros. Caja x 200 tubos x 6,096 metros</c:v>
                </c:pt>
                <c:pt idx="11">
                  <c:v>Tubular Salchichón Pollo Bakel x 225 Gramos. Cal 40</c:v>
                </c:pt>
                <c:pt idx="12">
                  <c:v>Tubular Salchichón Tradicional Viande x 500 Gramos. Cal 44</c:v>
                </c:pt>
                <c:pt idx="13">
                  <c:v>Tubular Salchichón Cervecero 1.500 gramos</c:v>
                </c:pt>
                <c:pt idx="14">
                  <c:v>Lámina Superior Mortadela Seleccionada Viandé x 225 gramos x 17 unidades. Ancho = 415 mm. (Pet / coextrusión HBA 70 micras).</c:v>
                </c:pt>
                <c:pt idx="15">
                  <c:v>Lámina Superior Impresa Salchicha Viandé x 225 gramos x 8 unidades. Ancho = 415 mm. (Pet / coextrusión HBA 70 micras).</c:v>
                </c:pt>
                <c:pt idx="16">
                  <c:v>Funda Celulosa 23 USA x 4 CE S (Cartón x 7.680 metros x 300 tubos,C/tubo x 25.6 metros. 6 caddy x 50 tubos)</c:v>
                </c:pt>
                <c:pt idx="17">
                  <c:v>Tubular Salchichón Cervecero x 750 gramos</c:v>
                </c:pt>
                <c:pt idx="18">
                  <c:v>Tubular Salchichón Cervecero x 500 gramos</c:v>
                </c:pt>
                <c:pt idx="19">
                  <c:v>Lámina Inferior Modflex 180 micras (280m/rollo). 7 mils - 423 mm</c:v>
                </c:pt>
                <c:pt idx="20">
                  <c:v>Tubular Salchichón Pollo X 225 gramos Cal 40 </c:v>
                </c:pt>
                <c:pt idx="21">
                  <c:v>Tubular Salchichón Auténtico x 225 gramos. Cal 40 </c:v>
                </c:pt>
                <c:pt idx="22">
                  <c:v>Funda Celulosa 18 x 100 (Cartón x 9.144 metros x 300 tubos,C/tubo x 30.48 metros. 6 caddy x 50 tubos)</c:v>
                </c:pt>
                <c:pt idx="23">
                  <c:v>Etiqueta Megasalchicha x 560 gramos x 6 unidades</c:v>
                </c:pt>
                <c:pt idx="24">
                  <c:v>Tubular Salchichón Pollo Bakel x 500 Gramos. Cal 44</c:v>
                </c:pt>
                <c:pt idx="25">
                  <c:v>Polijax 20 X 110 Impresa. Tubo x 33.53 metros. Caja x 300 tubos x 10.058 metros</c:v>
                </c:pt>
                <c:pt idx="26">
                  <c:v>Funda Celulosa 20 x 100 CE FP CLR </c:v>
                </c:pt>
                <c:pt idx="27">
                  <c:v>Fibrosa FVP CLS 95 B3 4 H3 Natural Corrugado. (Mortadela)</c:v>
                </c:pt>
                <c:pt idx="28">
                  <c:v>Funda Colageno NDX 26/60 (cartón x 4,718 metros x 258 tubos, C/tubo x 18.29 metros. 6 Caddy x 43 tubos C/U)</c:v>
                </c:pt>
                <c:pt idx="29">
                  <c:v>Lámina Inferior Sudpack GVA 200 BT 323 MM (8.MILS) 1 Rollo x 300 metros</c:v>
                </c:pt>
                <c:pt idx="30">
                  <c:v>Fibrosa FVP CLS 95 B3 4 H3 Natural Corrugada x 25 metros.</c:v>
                </c:pt>
                <c:pt idx="31">
                  <c:v>Tubular Salchichón Cervecero Viande x 225 Gramos. Cal 40</c:v>
                </c:pt>
                <c:pt idx="32">
                  <c:v>Lámina Superior Impresa Salchicha x 225 gramos x 9 unidades. Sin Código. Ancho = 415 mm. (Pet / coextrusión HBA 70 micras).</c:v>
                </c:pt>
              </c:strCache>
            </c:strRef>
          </c:cat>
          <c:val>
            <c:numRef>
              <c:f>'MATERIAL DE EMPAQUE'!$E$2:$E$34</c:f>
            </c:numRef>
          </c:val>
          <c:smooth val="0"/>
          <c:extLst>
            <c:ext xmlns:c16="http://schemas.microsoft.com/office/drawing/2014/chart" uri="{C3380CC4-5D6E-409C-BE32-E72D297353CC}">
              <c16:uniqueId val="{00000002-5EF9-4392-96DE-A5E9AE134BE3}"/>
            </c:ext>
          </c:extLst>
        </c:ser>
        <c:ser>
          <c:idx val="3"/>
          <c:order val="3"/>
          <c:tx>
            <c:strRef>
              <c:f>'MATERIAL DE EMPAQUE'!$F$1</c:f>
              <c:strCache>
                <c:ptCount val="1"/>
                <c:pt idx="0">
                  <c:v>AGO -       COP / Kg 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'MATERIAL DE EMPAQUE'!$B$2:$B$34</c:f>
              <c:strCache>
                <c:ptCount val="33"/>
                <c:pt idx="0">
                  <c:v>Grapas Poly-Clip GMBH 15-08 5 x 1,5 Carrete x 5,500 unidades</c:v>
                </c:pt>
                <c:pt idx="1">
                  <c:v>Grapas Poly-Clip GMBH R-ID M 07-150 Carrete x 6,800 unidades</c:v>
                </c:pt>
                <c:pt idx="2">
                  <c:v>Caja Koba Salchichón Tradicional Viandé x 500 gramos (15 unidades)</c:v>
                </c:pt>
                <c:pt idx="3">
                  <c:v>Caja Koba Salchicha Tradicional Viandé x 450 gramos.  (22 unidades)</c:v>
                </c:pt>
                <c:pt idx="4">
                  <c:v>Lámina Inferior Sudpack GVP 130-323 mm (5.0 mils). 1 Rollo x 350 metros</c:v>
                </c:pt>
                <c:pt idx="5">
                  <c:v>Lámina Inferior Sudpack GVP 130-423 mm (5.0 mils). 1 Rollo x 350 metros</c:v>
                </c:pt>
                <c:pt idx="6">
                  <c:v>Lámina Superior Impresa Mega Combo Faizán x 900 gramos </c:v>
                </c:pt>
                <c:pt idx="7">
                  <c:v>Clips HC25-3218T. Carrete x 2,400 unidades.</c:v>
                </c:pt>
                <c:pt idx="8">
                  <c:v>Fibrosa FVP CLS 140 B5 4 H5 Natural Corrugado. (Viandé)</c:v>
                </c:pt>
                <c:pt idx="9">
                  <c:v>Tubular Salchichón Tradicional x 750 Gramos Cal 44</c:v>
                </c:pt>
                <c:pt idx="10">
                  <c:v>Funda Celulosa Nojax 20 x 100 Tubo x 30,48 metros. Caja x 200 tubos x 6,096 metros</c:v>
                </c:pt>
                <c:pt idx="11">
                  <c:v>Tubular Salchichón Pollo Bakel x 225 Gramos. Cal 40</c:v>
                </c:pt>
                <c:pt idx="12">
                  <c:v>Tubular Salchichón Tradicional Viande x 500 Gramos. Cal 44</c:v>
                </c:pt>
                <c:pt idx="13">
                  <c:v>Tubular Salchichón Cervecero 1.500 gramos</c:v>
                </c:pt>
                <c:pt idx="14">
                  <c:v>Lámina Superior Mortadela Seleccionada Viandé x 225 gramos x 17 unidades. Ancho = 415 mm. (Pet / coextrusión HBA 70 micras).</c:v>
                </c:pt>
                <c:pt idx="15">
                  <c:v>Lámina Superior Impresa Salchicha Viandé x 225 gramos x 8 unidades. Ancho = 415 mm. (Pet / coextrusión HBA 70 micras).</c:v>
                </c:pt>
                <c:pt idx="16">
                  <c:v>Funda Celulosa 23 USA x 4 CE S (Cartón x 7.680 metros x 300 tubos,C/tubo x 25.6 metros. 6 caddy x 50 tubos)</c:v>
                </c:pt>
                <c:pt idx="17">
                  <c:v>Tubular Salchichón Cervecero x 750 gramos</c:v>
                </c:pt>
                <c:pt idx="18">
                  <c:v>Tubular Salchichón Cervecero x 500 gramos</c:v>
                </c:pt>
                <c:pt idx="19">
                  <c:v>Lámina Inferior Modflex 180 micras (280m/rollo). 7 mils - 423 mm</c:v>
                </c:pt>
                <c:pt idx="20">
                  <c:v>Tubular Salchichón Pollo X 225 gramos Cal 40 </c:v>
                </c:pt>
                <c:pt idx="21">
                  <c:v>Tubular Salchichón Auténtico x 225 gramos. Cal 40 </c:v>
                </c:pt>
                <c:pt idx="22">
                  <c:v>Funda Celulosa 18 x 100 (Cartón x 9.144 metros x 300 tubos,C/tubo x 30.48 metros. 6 caddy x 50 tubos)</c:v>
                </c:pt>
                <c:pt idx="23">
                  <c:v>Etiqueta Megasalchicha x 560 gramos x 6 unidades</c:v>
                </c:pt>
                <c:pt idx="24">
                  <c:v>Tubular Salchichón Pollo Bakel x 500 Gramos. Cal 44</c:v>
                </c:pt>
                <c:pt idx="25">
                  <c:v>Polijax 20 X 110 Impresa. Tubo x 33.53 metros. Caja x 300 tubos x 10.058 metros</c:v>
                </c:pt>
                <c:pt idx="26">
                  <c:v>Funda Celulosa 20 x 100 CE FP CLR </c:v>
                </c:pt>
                <c:pt idx="27">
                  <c:v>Fibrosa FVP CLS 95 B3 4 H3 Natural Corrugado. (Mortadela)</c:v>
                </c:pt>
                <c:pt idx="28">
                  <c:v>Funda Colageno NDX 26/60 (cartón x 4,718 metros x 258 tubos, C/tubo x 18.29 metros. 6 Caddy x 43 tubos C/U)</c:v>
                </c:pt>
                <c:pt idx="29">
                  <c:v>Lámina Inferior Sudpack GVA 200 BT 323 MM (8.MILS) 1 Rollo x 300 metros</c:v>
                </c:pt>
                <c:pt idx="30">
                  <c:v>Fibrosa FVP CLS 95 B3 4 H3 Natural Corrugada x 25 metros.</c:v>
                </c:pt>
                <c:pt idx="31">
                  <c:v>Tubular Salchichón Cervecero Viande x 225 Gramos. Cal 40</c:v>
                </c:pt>
                <c:pt idx="32">
                  <c:v>Lámina Superior Impresa Salchicha x 225 gramos x 9 unidades. Sin Código. Ancho = 415 mm. (Pet / coextrusión HBA 70 micras).</c:v>
                </c:pt>
              </c:strCache>
            </c:strRef>
          </c:cat>
          <c:val>
            <c:numRef>
              <c:f>'MATERIAL DE EMPAQUE'!$F$2:$F$34</c:f>
            </c:numRef>
          </c:val>
          <c:smooth val="0"/>
          <c:extLst>
            <c:ext xmlns:c16="http://schemas.microsoft.com/office/drawing/2014/chart" uri="{C3380CC4-5D6E-409C-BE32-E72D297353CC}">
              <c16:uniqueId val="{00000003-5EF9-4392-96DE-A5E9AE134BE3}"/>
            </c:ext>
          </c:extLst>
        </c:ser>
        <c:ser>
          <c:idx val="4"/>
          <c:order val="4"/>
          <c:tx>
            <c:strRef>
              <c:f>'MATERIAL DE EMPAQUE'!$G$1</c:f>
              <c:strCache>
                <c:ptCount val="1"/>
                <c:pt idx="0">
                  <c:v>AGO - 
COP / APP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'MATERIAL DE EMPAQUE'!$B$2:$B$34</c:f>
              <c:strCache>
                <c:ptCount val="33"/>
                <c:pt idx="0">
                  <c:v>Grapas Poly-Clip GMBH 15-08 5 x 1,5 Carrete x 5,500 unidades</c:v>
                </c:pt>
                <c:pt idx="1">
                  <c:v>Grapas Poly-Clip GMBH R-ID M 07-150 Carrete x 6,800 unidades</c:v>
                </c:pt>
                <c:pt idx="2">
                  <c:v>Caja Koba Salchichón Tradicional Viandé x 500 gramos (15 unidades)</c:v>
                </c:pt>
                <c:pt idx="3">
                  <c:v>Caja Koba Salchicha Tradicional Viandé x 450 gramos.  (22 unidades)</c:v>
                </c:pt>
                <c:pt idx="4">
                  <c:v>Lámina Inferior Sudpack GVP 130-323 mm (5.0 mils). 1 Rollo x 350 metros</c:v>
                </c:pt>
                <c:pt idx="5">
                  <c:v>Lámina Inferior Sudpack GVP 130-423 mm (5.0 mils). 1 Rollo x 350 metros</c:v>
                </c:pt>
                <c:pt idx="6">
                  <c:v>Lámina Superior Impresa Mega Combo Faizán x 900 gramos </c:v>
                </c:pt>
                <c:pt idx="7">
                  <c:v>Clips HC25-3218T. Carrete x 2,400 unidades.</c:v>
                </c:pt>
                <c:pt idx="8">
                  <c:v>Fibrosa FVP CLS 140 B5 4 H5 Natural Corrugado. (Viandé)</c:v>
                </c:pt>
                <c:pt idx="9">
                  <c:v>Tubular Salchichón Tradicional x 750 Gramos Cal 44</c:v>
                </c:pt>
                <c:pt idx="10">
                  <c:v>Funda Celulosa Nojax 20 x 100 Tubo x 30,48 metros. Caja x 200 tubos x 6,096 metros</c:v>
                </c:pt>
                <c:pt idx="11">
                  <c:v>Tubular Salchichón Pollo Bakel x 225 Gramos. Cal 40</c:v>
                </c:pt>
                <c:pt idx="12">
                  <c:v>Tubular Salchichón Tradicional Viande x 500 Gramos. Cal 44</c:v>
                </c:pt>
                <c:pt idx="13">
                  <c:v>Tubular Salchichón Cervecero 1.500 gramos</c:v>
                </c:pt>
                <c:pt idx="14">
                  <c:v>Lámina Superior Mortadela Seleccionada Viandé x 225 gramos x 17 unidades. Ancho = 415 mm. (Pet / coextrusión HBA 70 micras).</c:v>
                </c:pt>
                <c:pt idx="15">
                  <c:v>Lámina Superior Impresa Salchicha Viandé x 225 gramos x 8 unidades. Ancho = 415 mm. (Pet / coextrusión HBA 70 micras).</c:v>
                </c:pt>
                <c:pt idx="16">
                  <c:v>Funda Celulosa 23 USA x 4 CE S (Cartón x 7.680 metros x 300 tubos,C/tubo x 25.6 metros. 6 caddy x 50 tubos)</c:v>
                </c:pt>
                <c:pt idx="17">
                  <c:v>Tubular Salchichón Cervecero x 750 gramos</c:v>
                </c:pt>
                <c:pt idx="18">
                  <c:v>Tubular Salchichón Cervecero x 500 gramos</c:v>
                </c:pt>
                <c:pt idx="19">
                  <c:v>Lámina Inferior Modflex 180 micras (280m/rollo). 7 mils - 423 mm</c:v>
                </c:pt>
                <c:pt idx="20">
                  <c:v>Tubular Salchichón Pollo X 225 gramos Cal 40 </c:v>
                </c:pt>
                <c:pt idx="21">
                  <c:v>Tubular Salchichón Auténtico x 225 gramos. Cal 40 </c:v>
                </c:pt>
                <c:pt idx="22">
                  <c:v>Funda Celulosa 18 x 100 (Cartón x 9.144 metros x 300 tubos,C/tubo x 30.48 metros. 6 caddy x 50 tubos)</c:v>
                </c:pt>
                <c:pt idx="23">
                  <c:v>Etiqueta Megasalchicha x 560 gramos x 6 unidades</c:v>
                </c:pt>
                <c:pt idx="24">
                  <c:v>Tubular Salchichón Pollo Bakel x 500 Gramos. Cal 44</c:v>
                </c:pt>
                <c:pt idx="25">
                  <c:v>Polijax 20 X 110 Impresa. Tubo x 33.53 metros. Caja x 300 tubos x 10.058 metros</c:v>
                </c:pt>
                <c:pt idx="26">
                  <c:v>Funda Celulosa 20 x 100 CE FP CLR </c:v>
                </c:pt>
                <c:pt idx="27">
                  <c:v>Fibrosa FVP CLS 95 B3 4 H3 Natural Corrugado. (Mortadela)</c:v>
                </c:pt>
                <c:pt idx="28">
                  <c:v>Funda Colageno NDX 26/60 (cartón x 4,718 metros x 258 tubos, C/tubo x 18.29 metros. 6 Caddy x 43 tubos C/U)</c:v>
                </c:pt>
                <c:pt idx="29">
                  <c:v>Lámina Inferior Sudpack GVA 200 BT 323 MM (8.MILS) 1 Rollo x 300 metros</c:v>
                </c:pt>
                <c:pt idx="30">
                  <c:v>Fibrosa FVP CLS 95 B3 4 H3 Natural Corrugada x 25 metros.</c:v>
                </c:pt>
                <c:pt idx="31">
                  <c:v>Tubular Salchichón Cervecero Viande x 225 Gramos. Cal 40</c:v>
                </c:pt>
                <c:pt idx="32">
                  <c:v>Lámina Superior Impresa Salchicha x 225 gramos x 9 unidades. Sin Código. Ancho = 415 mm. (Pet / coextrusión HBA 70 micras).</c:v>
                </c:pt>
              </c:strCache>
            </c:strRef>
          </c:cat>
          <c:val>
            <c:numRef>
              <c:f>'MATERIAL DE EMPAQUE'!$G$2:$G$34</c:f>
            </c:numRef>
          </c:val>
          <c:smooth val="0"/>
          <c:extLst>
            <c:ext xmlns:c16="http://schemas.microsoft.com/office/drawing/2014/chart" uri="{C3380CC4-5D6E-409C-BE32-E72D297353CC}">
              <c16:uniqueId val="{00000004-5EF9-4392-96DE-A5E9AE134BE3}"/>
            </c:ext>
          </c:extLst>
        </c:ser>
        <c:ser>
          <c:idx val="5"/>
          <c:order val="5"/>
          <c:tx>
            <c:strRef>
              <c:f>'MATERIAL DE EMPAQUE'!$H$1</c:f>
              <c:strCache>
                <c:ptCount val="1"/>
                <c:pt idx="0">
                  <c:v> %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'MATERIAL DE EMPAQUE'!$B$2:$B$34</c:f>
              <c:strCache>
                <c:ptCount val="33"/>
                <c:pt idx="0">
                  <c:v>Grapas Poly-Clip GMBH 15-08 5 x 1,5 Carrete x 5,500 unidades</c:v>
                </c:pt>
                <c:pt idx="1">
                  <c:v>Grapas Poly-Clip GMBH R-ID M 07-150 Carrete x 6,800 unidades</c:v>
                </c:pt>
                <c:pt idx="2">
                  <c:v>Caja Koba Salchichón Tradicional Viandé x 500 gramos (15 unidades)</c:v>
                </c:pt>
                <c:pt idx="3">
                  <c:v>Caja Koba Salchicha Tradicional Viandé x 450 gramos.  (22 unidades)</c:v>
                </c:pt>
                <c:pt idx="4">
                  <c:v>Lámina Inferior Sudpack GVP 130-323 mm (5.0 mils). 1 Rollo x 350 metros</c:v>
                </c:pt>
                <c:pt idx="5">
                  <c:v>Lámina Inferior Sudpack GVP 130-423 mm (5.0 mils). 1 Rollo x 350 metros</c:v>
                </c:pt>
                <c:pt idx="6">
                  <c:v>Lámina Superior Impresa Mega Combo Faizán x 900 gramos </c:v>
                </c:pt>
                <c:pt idx="7">
                  <c:v>Clips HC25-3218T. Carrete x 2,400 unidades.</c:v>
                </c:pt>
                <c:pt idx="8">
                  <c:v>Fibrosa FVP CLS 140 B5 4 H5 Natural Corrugado. (Viandé)</c:v>
                </c:pt>
                <c:pt idx="9">
                  <c:v>Tubular Salchichón Tradicional x 750 Gramos Cal 44</c:v>
                </c:pt>
                <c:pt idx="10">
                  <c:v>Funda Celulosa Nojax 20 x 100 Tubo x 30,48 metros. Caja x 200 tubos x 6,096 metros</c:v>
                </c:pt>
                <c:pt idx="11">
                  <c:v>Tubular Salchichón Pollo Bakel x 225 Gramos. Cal 40</c:v>
                </c:pt>
                <c:pt idx="12">
                  <c:v>Tubular Salchichón Tradicional Viande x 500 Gramos. Cal 44</c:v>
                </c:pt>
                <c:pt idx="13">
                  <c:v>Tubular Salchichón Cervecero 1.500 gramos</c:v>
                </c:pt>
                <c:pt idx="14">
                  <c:v>Lámina Superior Mortadela Seleccionada Viandé x 225 gramos x 17 unidades. Ancho = 415 mm. (Pet / coextrusión HBA 70 micras).</c:v>
                </c:pt>
                <c:pt idx="15">
                  <c:v>Lámina Superior Impresa Salchicha Viandé x 225 gramos x 8 unidades. Ancho = 415 mm. (Pet / coextrusión HBA 70 micras).</c:v>
                </c:pt>
                <c:pt idx="16">
                  <c:v>Funda Celulosa 23 USA x 4 CE S (Cartón x 7.680 metros x 300 tubos,C/tubo x 25.6 metros. 6 caddy x 50 tubos)</c:v>
                </c:pt>
                <c:pt idx="17">
                  <c:v>Tubular Salchichón Cervecero x 750 gramos</c:v>
                </c:pt>
                <c:pt idx="18">
                  <c:v>Tubular Salchichón Cervecero x 500 gramos</c:v>
                </c:pt>
                <c:pt idx="19">
                  <c:v>Lámina Inferior Modflex 180 micras (280m/rollo). 7 mils - 423 mm</c:v>
                </c:pt>
                <c:pt idx="20">
                  <c:v>Tubular Salchichón Pollo X 225 gramos Cal 40 </c:v>
                </c:pt>
                <c:pt idx="21">
                  <c:v>Tubular Salchichón Auténtico x 225 gramos. Cal 40 </c:v>
                </c:pt>
                <c:pt idx="22">
                  <c:v>Funda Celulosa 18 x 100 (Cartón x 9.144 metros x 300 tubos,C/tubo x 30.48 metros. 6 caddy x 50 tubos)</c:v>
                </c:pt>
                <c:pt idx="23">
                  <c:v>Etiqueta Megasalchicha x 560 gramos x 6 unidades</c:v>
                </c:pt>
                <c:pt idx="24">
                  <c:v>Tubular Salchichón Pollo Bakel x 500 Gramos. Cal 44</c:v>
                </c:pt>
                <c:pt idx="25">
                  <c:v>Polijax 20 X 110 Impresa. Tubo x 33.53 metros. Caja x 300 tubos x 10.058 metros</c:v>
                </c:pt>
                <c:pt idx="26">
                  <c:v>Funda Celulosa 20 x 100 CE FP CLR </c:v>
                </c:pt>
                <c:pt idx="27">
                  <c:v>Fibrosa FVP CLS 95 B3 4 H3 Natural Corrugado. (Mortadela)</c:v>
                </c:pt>
                <c:pt idx="28">
                  <c:v>Funda Colageno NDX 26/60 (cartón x 4,718 metros x 258 tubos, C/tubo x 18.29 metros. 6 Caddy x 43 tubos C/U)</c:v>
                </c:pt>
                <c:pt idx="29">
                  <c:v>Lámina Inferior Sudpack GVA 200 BT 323 MM (8.MILS) 1 Rollo x 300 metros</c:v>
                </c:pt>
                <c:pt idx="30">
                  <c:v>Fibrosa FVP CLS 95 B3 4 H3 Natural Corrugada x 25 metros.</c:v>
                </c:pt>
                <c:pt idx="31">
                  <c:v>Tubular Salchichón Cervecero Viande x 225 Gramos. Cal 40</c:v>
                </c:pt>
                <c:pt idx="32">
                  <c:v>Lámina Superior Impresa Salchicha x 225 gramos x 9 unidades. Sin Código. Ancho = 415 mm. (Pet / coextrusión HBA 70 micras).</c:v>
                </c:pt>
              </c:strCache>
            </c:strRef>
          </c:cat>
          <c:val>
            <c:numRef>
              <c:f>'MATERIAL DE EMPAQUE'!$H$2:$H$34</c:f>
              <c:numCache>
                <c:formatCode>_(* #,##0.00_);_(* \(#,##0.00\);_(* "-"??_);_(@_)</c:formatCode>
                <c:ptCount val="33"/>
                <c:pt idx="0">
                  <c:v>22.727272727272734</c:v>
                </c:pt>
                <c:pt idx="1">
                  <c:v>22.727272727272734</c:v>
                </c:pt>
                <c:pt idx="2">
                  <c:v>20.029563932002944</c:v>
                </c:pt>
                <c:pt idx="3">
                  <c:v>20.026437541308667</c:v>
                </c:pt>
                <c:pt idx="4">
                  <c:v>20</c:v>
                </c:pt>
                <c:pt idx="5">
                  <c:v>10.657596371882079</c:v>
                </c:pt>
                <c:pt idx="6">
                  <c:v>10.041841004184107</c:v>
                </c:pt>
                <c:pt idx="7">
                  <c:v>9.6153846153846274</c:v>
                </c:pt>
                <c:pt idx="8">
                  <c:v>9.1864224137931103</c:v>
                </c:pt>
                <c:pt idx="9">
                  <c:v>7.2566371681415944</c:v>
                </c:pt>
                <c:pt idx="10">
                  <c:v>6.25</c:v>
                </c:pt>
                <c:pt idx="11">
                  <c:v>4.2769857433808482</c:v>
                </c:pt>
                <c:pt idx="12">
                  <c:v>3.5714285714285836</c:v>
                </c:pt>
                <c:pt idx="13">
                  <c:v>3.5149384885764476</c:v>
                </c:pt>
                <c:pt idx="14">
                  <c:v>3.4168564920273354</c:v>
                </c:pt>
                <c:pt idx="15">
                  <c:v>3.1818181818181728</c:v>
                </c:pt>
                <c:pt idx="16">
                  <c:v>2.9661016949152526</c:v>
                </c:pt>
                <c:pt idx="17">
                  <c:v>2.8862478777589047</c:v>
                </c:pt>
                <c:pt idx="18">
                  <c:v>2.8485757121439121</c:v>
                </c:pt>
                <c:pt idx="19">
                  <c:v>2.8423772609819054</c:v>
                </c:pt>
                <c:pt idx="20">
                  <c:v>2.8318584070796504</c:v>
                </c:pt>
                <c:pt idx="21">
                  <c:v>2.8318584070796504</c:v>
                </c:pt>
                <c:pt idx="22">
                  <c:v>2.7777777777777715</c:v>
                </c:pt>
                <c:pt idx="23">
                  <c:v>2.6785714285714164</c:v>
                </c:pt>
                <c:pt idx="24">
                  <c:v>2.4904214559387015</c:v>
                </c:pt>
                <c:pt idx="25">
                  <c:v>2.409638554216869</c:v>
                </c:pt>
                <c:pt idx="26">
                  <c:v>2.2727272727272663</c:v>
                </c:pt>
                <c:pt idx="27">
                  <c:v>2.2604951560818023</c:v>
                </c:pt>
                <c:pt idx="28">
                  <c:v>2.2222222222222143</c:v>
                </c:pt>
                <c:pt idx="29">
                  <c:v>2.1168890934192319</c:v>
                </c:pt>
                <c:pt idx="30">
                  <c:v>1.5499732763228309</c:v>
                </c:pt>
                <c:pt idx="31">
                  <c:v>0.85106382978723616</c:v>
                </c:pt>
                <c:pt idx="32">
                  <c:v>0.59602649006622244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F9-4392-96DE-A5E9AE134B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8197352"/>
        <c:axId val="788201944"/>
      </c:lineChart>
      <c:catAx>
        <c:axId val="788197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8201944"/>
        <c:crosses val="autoZero"/>
        <c:auto val="0"/>
        <c:lblAlgn val="ctr"/>
        <c:lblOffset val="100"/>
        <c:noMultiLvlLbl val="0"/>
      </c:catAx>
      <c:valAx>
        <c:axId val="7882019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8197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0" baseline="0">
                <a:effectLst/>
              </a:rPr>
              <a:t>ME SIN VARIACIÓN DE PRECIO </a:t>
            </a:r>
            <a:endParaRPr lang="es-CO">
              <a:effectLst/>
            </a:endParaRPr>
          </a:p>
          <a:p>
            <a:pPr>
              <a:defRPr/>
            </a:pPr>
            <a:r>
              <a:rPr lang="es-CO" sz="1800" b="1" i="0" baseline="0">
                <a:effectLst/>
              </a:rPr>
              <a:t>AGO - SEP 2022</a:t>
            </a:r>
            <a:endParaRPr lang="es-C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'MATERIAL DE EMPAQUE'!$B$35:$B$71</c:f>
              <c:strCache>
                <c:ptCount val="37"/>
                <c:pt idx="0">
                  <c:v>Multiflex 180 mm. Transparente sin impresión. Para Milanesa. </c:v>
                </c:pt>
                <c:pt idx="1">
                  <c:v>Funda Colágeno NDX F 25/50 Cierre de Bola x 258 Tubos</c:v>
                </c:pt>
                <c:pt idx="2">
                  <c:v>Lazos Poly-Clip LTDA GSA22 Rollo x 3.500 unidades de Lazadas</c:v>
                </c:pt>
                <c:pt idx="3">
                  <c:v>FIBROSA T-SHIRR BTC CLR REG 1 1/2 x 150 35ST Smoke-E3</c:v>
                </c:pt>
                <c:pt idx="4">
                  <c:v>Funda Celulosa 19 x 100 CE FP CLR </c:v>
                </c:pt>
                <c:pt idx="5">
                  <c:v>Lámina Superior Impresa Jamón de Cerdo Premium x 200 gramos x 10 tajadas. Ancho 415 mm. PET // Coext. HBA (PE-EVOH) Abre fácil Pig. Blanco. 60 micras.</c:v>
                </c:pt>
                <c:pt idx="6">
                  <c:v>Lámina Superior Impresa Jamón de Cerdo Premium x 400 gramos x 20 tajadas. Ancho 415 mm. PET // Coext. HBA (PE-EVOH) Abre fácil Pig. Blanco. 60 micras.</c:v>
                </c:pt>
                <c:pt idx="7">
                  <c:v>Etiqueta Chorizo Faizan x 250 gramos x 5 unidades</c:v>
                </c:pt>
                <c:pt idx="8">
                  <c:v>Etiqueta Chorizo Faizan x 500 gramos x 10 unidades</c:v>
                </c:pt>
                <c:pt idx="9">
                  <c:v>Bolsa Impresa Amarilla Hamburguesa  x 900 gramos x 10 unidades. Canal Moderno. Bolsa Flex Up Pet//PEBD 70 micras</c:v>
                </c:pt>
                <c:pt idx="10">
                  <c:v>Bolsa Amarilla Impresa Milanesa x 1.800 gramos x 15 Unidades. Canal Intitucional. Bolsa Plana Pet//PEDB 70 micras</c:v>
                </c:pt>
                <c:pt idx="11">
                  <c:v>Bolsa Impresa Roja Hamburguesa  x 450 gramos x 5 unidades. Canal Moderno. Bolsa Flex Up Pet//PEBD 80 micras</c:v>
                </c:pt>
                <c:pt idx="12">
                  <c:v>Lámina Superior Impresa Salchicha SúperPerro x 2.500 gramos x 50 unidades.</c:v>
                </c:pt>
                <c:pt idx="13">
                  <c:v>Lámina Superior Impresa Salchicha Miniperro x 1.000 gramos x 40 unidades.</c:v>
                </c:pt>
                <c:pt idx="14">
                  <c:v>Etiqueta Chorizo Ternera x 120 gramos x 2 unidades. </c:v>
                </c:pt>
                <c:pt idx="15">
                  <c:v>Lámina Superior Impresa Chorizo Con Ternera x 480 gramos x 8 unidades</c:v>
                </c:pt>
                <c:pt idx="16">
                  <c:v>Lámina Superior Impresa Chorizo Con Ternera x 1,020 gramos x 17 unidades</c:v>
                </c:pt>
                <c:pt idx="17">
                  <c:v>Lámina Superior Impresa Salchicha Viandé x 450 gramos x 16 unidades. Ancho = 415 mm. (Pet / coextrusión HBA 70 micras).</c:v>
                </c:pt>
                <c:pt idx="18">
                  <c:v>Lámina Inferior Sudpack GVA 200 BT 423 MM (8.MILS) 1 Rollo x 300 metros</c:v>
                </c:pt>
                <c:pt idx="19">
                  <c:v>Lámina Superior Impresa Mortadela x 225 gramos x 14 unidades. Con Código. Ancho = 415 mm. (Pet / coextrusión HBA 70 micras).</c:v>
                </c:pt>
                <c:pt idx="20">
                  <c:v>Lámina Superior Impresa Jamón Viande x 300 gramos x 12 unidades.  Ancho = 415 mm. (Pet / coextrusión HBA 70 micras).</c:v>
                </c:pt>
                <c:pt idx="21">
                  <c:v> Etiqueta Jamon Sanduche X 500 </c:v>
                </c:pt>
                <c:pt idx="22">
                  <c:v>Etiqueta Salchicha Premium Gruecitas x 480 gramos x 14 unidades.</c:v>
                </c:pt>
                <c:pt idx="23">
                  <c:v>Lámina Superior Impresa Super Combo Tradicional Viandé x 900 gramos x 9 unidades. Ancho = 45 cms. (Pet / coextrusión HBA 73 micras).</c:v>
                </c:pt>
                <c:pt idx="24">
                  <c:v>Lámina Jamón Tipo Sanduche Faizán x 500 g</c:v>
                </c:pt>
                <c:pt idx="25">
                  <c:v>Lámina Superior Impresa Transparente ECOWEB M/PAUV 60 mm (2 mils) 30,1 cm. 1 Rollo x 800 metros </c:v>
                </c:pt>
                <c:pt idx="26">
                  <c:v>Lámina Superior Impresa Transparente ECOWEB M/PAUV 42 Micras. 301 MM. 1 Rollo x 1500 metros </c:v>
                </c:pt>
                <c:pt idx="27">
                  <c:v>Lámina Impresa Salchichón Cervecero Tajado x 50 gramos x 1,000 metros x 302 mm .</c:v>
                </c:pt>
                <c:pt idx="28">
                  <c:v>Bolsa AD BCO Impresa FAIZAN 23x25 + 4 cm en 1.0 ML</c:v>
                </c:pt>
                <c:pt idx="29">
                  <c:v>Separador 15 cm x 15 cm Impreso Highpack</c:v>
                </c:pt>
                <c:pt idx="30">
                  <c:v>Etiqueta Salchicha Clásica x 450 gramos </c:v>
                </c:pt>
                <c:pt idx="31">
                  <c:v>Etiqueta Salchicha Desayuno Premium x 125 Gramos x 5 Unidades</c:v>
                </c:pt>
                <c:pt idx="32">
                  <c:v>Caja Hamburguesa x 2.700 gramos</c:v>
                </c:pt>
                <c:pt idx="33">
                  <c:v>Caja Koba Salchichón de Pollo Brakel x 500 gramos (15 unidades)</c:v>
                </c:pt>
                <c:pt idx="34">
                  <c:v>Caja Koba Jamón de Cerdo Viandé x 300 gramos (32 unidades)</c:v>
                </c:pt>
                <c:pt idx="35">
                  <c:v>Caja Koba Super Combo Tradicional Viandé (9 unidades)</c:v>
                </c:pt>
                <c:pt idx="36">
                  <c:v>Etiqueta Salchicha Perro Caliente x 480 gramos x 12 unidades</c:v>
                </c:pt>
              </c:strCache>
            </c:strRef>
          </c:cat>
          <c:val>
            <c:numRef>
              <c:f>'MATERIAL DE EMPAQUE'!$C$35:$C$71</c:f>
            </c:numRef>
          </c:val>
          <c:extLst>
            <c:ext xmlns:c16="http://schemas.microsoft.com/office/drawing/2014/chart" uri="{C3380CC4-5D6E-409C-BE32-E72D297353CC}">
              <c16:uniqueId val="{00000000-FBC2-461E-B743-A09CCD63390F}"/>
            </c:ext>
          </c:extLst>
        </c:ser>
        <c:ser>
          <c:idx val="1"/>
          <c:order val="1"/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'MATERIAL DE EMPAQUE'!$B$35:$B$71</c:f>
              <c:strCache>
                <c:ptCount val="37"/>
                <c:pt idx="0">
                  <c:v>Multiflex 180 mm. Transparente sin impresión. Para Milanesa. </c:v>
                </c:pt>
                <c:pt idx="1">
                  <c:v>Funda Colágeno NDX F 25/50 Cierre de Bola x 258 Tubos</c:v>
                </c:pt>
                <c:pt idx="2">
                  <c:v>Lazos Poly-Clip LTDA GSA22 Rollo x 3.500 unidades de Lazadas</c:v>
                </c:pt>
                <c:pt idx="3">
                  <c:v>FIBROSA T-SHIRR BTC CLR REG 1 1/2 x 150 35ST Smoke-E3</c:v>
                </c:pt>
                <c:pt idx="4">
                  <c:v>Funda Celulosa 19 x 100 CE FP CLR </c:v>
                </c:pt>
                <c:pt idx="5">
                  <c:v>Lámina Superior Impresa Jamón de Cerdo Premium x 200 gramos x 10 tajadas. Ancho 415 mm. PET // Coext. HBA (PE-EVOH) Abre fácil Pig. Blanco. 60 micras.</c:v>
                </c:pt>
                <c:pt idx="6">
                  <c:v>Lámina Superior Impresa Jamón de Cerdo Premium x 400 gramos x 20 tajadas. Ancho 415 mm. PET // Coext. HBA (PE-EVOH) Abre fácil Pig. Blanco. 60 micras.</c:v>
                </c:pt>
                <c:pt idx="7">
                  <c:v>Etiqueta Chorizo Faizan x 250 gramos x 5 unidades</c:v>
                </c:pt>
                <c:pt idx="8">
                  <c:v>Etiqueta Chorizo Faizan x 500 gramos x 10 unidades</c:v>
                </c:pt>
                <c:pt idx="9">
                  <c:v>Bolsa Impresa Amarilla Hamburguesa  x 900 gramos x 10 unidades. Canal Moderno. Bolsa Flex Up Pet//PEBD 70 micras</c:v>
                </c:pt>
                <c:pt idx="10">
                  <c:v>Bolsa Amarilla Impresa Milanesa x 1.800 gramos x 15 Unidades. Canal Intitucional. Bolsa Plana Pet//PEDB 70 micras</c:v>
                </c:pt>
                <c:pt idx="11">
                  <c:v>Bolsa Impresa Roja Hamburguesa  x 450 gramos x 5 unidades. Canal Moderno. Bolsa Flex Up Pet//PEBD 80 micras</c:v>
                </c:pt>
                <c:pt idx="12">
                  <c:v>Lámina Superior Impresa Salchicha SúperPerro x 2.500 gramos x 50 unidades.</c:v>
                </c:pt>
                <c:pt idx="13">
                  <c:v>Lámina Superior Impresa Salchicha Miniperro x 1.000 gramos x 40 unidades.</c:v>
                </c:pt>
                <c:pt idx="14">
                  <c:v>Etiqueta Chorizo Ternera x 120 gramos x 2 unidades. </c:v>
                </c:pt>
                <c:pt idx="15">
                  <c:v>Lámina Superior Impresa Chorizo Con Ternera x 480 gramos x 8 unidades</c:v>
                </c:pt>
                <c:pt idx="16">
                  <c:v>Lámina Superior Impresa Chorizo Con Ternera x 1,020 gramos x 17 unidades</c:v>
                </c:pt>
                <c:pt idx="17">
                  <c:v>Lámina Superior Impresa Salchicha Viandé x 450 gramos x 16 unidades. Ancho = 415 mm. (Pet / coextrusión HBA 70 micras).</c:v>
                </c:pt>
                <c:pt idx="18">
                  <c:v>Lámina Inferior Sudpack GVA 200 BT 423 MM (8.MILS) 1 Rollo x 300 metros</c:v>
                </c:pt>
                <c:pt idx="19">
                  <c:v>Lámina Superior Impresa Mortadela x 225 gramos x 14 unidades. Con Código. Ancho = 415 mm. (Pet / coextrusión HBA 70 micras).</c:v>
                </c:pt>
                <c:pt idx="20">
                  <c:v>Lámina Superior Impresa Jamón Viande x 300 gramos x 12 unidades.  Ancho = 415 mm. (Pet / coextrusión HBA 70 micras).</c:v>
                </c:pt>
                <c:pt idx="21">
                  <c:v> Etiqueta Jamon Sanduche X 500 </c:v>
                </c:pt>
                <c:pt idx="22">
                  <c:v>Etiqueta Salchicha Premium Gruecitas x 480 gramos x 14 unidades.</c:v>
                </c:pt>
                <c:pt idx="23">
                  <c:v>Lámina Superior Impresa Super Combo Tradicional Viandé x 900 gramos x 9 unidades. Ancho = 45 cms. (Pet / coextrusión HBA 73 micras).</c:v>
                </c:pt>
                <c:pt idx="24">
                  <c:v>Lámina Jamón Tipo Sanduche Faizán x 500 g</c:v>
                </c:pt>
                <c:pt idx="25">
                  <c:v>Lámina Superior Impresa Transparente ECOWEB M/PAUV 60 mm (2 mils) 30,1 cm. 1 Rollo x 800 metros </c:v>
                </c:pt>
                <c:pt idx="26">
                  <c:v>Lámina Superior Impresa Transparente ECOWEB M/PAUV 42 Micras. 301 MM. 1 Rollo x 1500 metros </c:v>
                </c:pt>
                <c:pt idx="27">
                  <c:v>Lámina Impresa Salchichón Cervecero Tajado x 50 gramos x 1,000 metros x 302 mm .</c:v>
                </c:pt>
                <c:pt idx="28">
                  <c:v>Bolsa AD BCO Impresa FAIZAN 23x25 + 4 cm en 1.0 ML</c:v>
                </c:pt>
                <c:pt idx="29">
                  <c:v>Separador 15 cm x 15 cm Impreso Highpack</c:v>
                </c:pt>
                <c:pt idx="30">
                  <c:v>Etiqueta Salchicha Clásica x 450 gramos </c:v>
                </c:pt>
                <c:pt idx="31">
                  <c:v>Etiqueta Salchicha Desayuno Premium x 125 Gramos x 5 Unidades</c:v>
                </c:pt>
                <c:pt idx="32">
                  <c:v>Caja Hamburguesa x 2.700 gramos</c:v>
                </c:pt>
                <c:pt idx="33">
                  <c:v>Caja Koba Salchichón de Pollo Brakel x 500 gramos (15 unidades)</c:v>
                </c:pt>
                <c:pt idx="34">
                  <c:v>Caja Koba Jamón de Cerdo Viandé x 300 gramos (32 unidades)</c:v>
                </c:pt>
                <c:pt idx="35">
                  <c:v>Caja Koba Super Combo Tradicional Viandé (9 unidades)</c:v>
                </c:pt>
                <c:pt idx="36">
                  <c:v>Etiqueta Salchicha Perro Caliente x 480 gramos x 12 unidades</c:v>
                </c:pt>
              </c:strCache>
            </c:strRef>
          </c:cat>
          <c:val>
            <c:numRef>
              <c:f>'MATERIAL DE EMPAQUE'!$D$35:$D$71</c:f>
            </c:numRef>
          </c:val>
          <c:extLst>
            <c:ext xmlns:c16="http://schemas.microsoft.com/office/drawing/2014/chart" uri="{C3380CC4-5D6E-409C-BE32-E72D297353CC}">
              <c16:uniqueId val="{00000001-FBC2-461E-B743-A09CCD63390F}"/>
            </c:ext>
          </c:extLst>
        </c:ser>
        <c:ser>
          <c:idx val="2"/>
          <c:order val="2"/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'MATERIAL DE EMPAQUE'!$B$35:$B$71</c:f>
              <c:strCache>
                <c:ptCount val="37"/>
                <c:pt idx="0">
                  <c:v>Multiflex 180 mm. Transparente sin impresión. Para Milanesa. </c:v>
                </c:pt>
                <c:pt idx="1">
                  <c:v>Funda Colágeno NDX F 25/50 Cierre de Bola x 258 Tubos</c:v>
                </c:pt>
                <c:pt idx="2">
                  <c:v>Lazos Poly-Clip LTDA GSA22 Rollo x 3.500 unidades de Lazadas</c:v>
                </c:pt>
                <c:pt idx="3">
                  <c:v>FIBROSA T-SHIRR BTC CLR REG 1 1/2 x 150 35ST Smoke-E3</c:v>
                </c:pt>
                <c:pt idx="4">
                  <c:v>Funda Celulosa 19 x 100 CE FP CLR </c:v>
                </c:pt>
                <c:pt idx="5">
                  <c:v>Lámina Superior Impresa Jamón de Cerdo Premium x 200 gramos x 10 tajadas. Ancho 415 mm. PET // Coext. HBA (PE-EVOH) Abre fácil Pig. Blanco. 60 micras.</c:v>
                </c:pt>
                <c:pt idx="6">
                  <c:v>Lámina Superior Impresa Jamón de Cerdo Premium x 400 gramos x 20 tajadas. Ancho 415 mm. PET // Coext. HBA (PE-EVOH) Abre fácil Pig. Blanco. 60 micras.</c:v>
                </c:pt>
                <c:pt idx="7">
                  <c:v>Etiqueta Chorizo Faizan x 250 gramos x 5 unidades</c:v>
                </c:pt>
                <c:pt idx="8">
                  <c:v>Etiqueta Chorizo Faizan x 500 gramos x 10 unidades</c:v>
                </c:pt>
                <c:pt idx="9">
                  <c:v>Bolsa Impresa Amarilla Hamburguesa  x 900 gramos x 10 unidades. Canal Moderno. Bolsa Flex Up Pet//PEBD 70 micras</c:v>
                </c:pt>
                <c:pt idx="10">
                  <c:v>Bolsa Amarilla Impresa Milanesa x 1.800 gramos x 15 Unidades. Canal Intitucional. Bolsa Plana Pet//PEDB 70 micras</c:v>
                </c:pt>
                <c:pt idx="11">
                  <c:v>Bolsa Impresa Roja Hamburguesa  x 450 gramos x 5 unidades. Canal Moderno. Bolsa Flex Up Pet//PEBD 80 micras</c:v>
                </c:pt>
                <c:pt idx="12">
                  <c:v>Lámina Superior Impresa Salchicha SúperPerro x 2.500 gramos x 50 unidades.</c:v>
                </c:pt>
                <c:pt idx="13">
                  <c:v>Lámina Superior Impresa Salchicha Miniperro x 1.000 gramos x 40 unidades.</c:v>
                </c:pt>
                <c:pt idx="14">
                  <c:v>Etiqueta Chorizo Ternera x 120 gramos x 2 unidades. </c:v>
                </c:pt>
                <c:pt idx="15">
                  <c:v>Lámina Superior Impresa Chorizo Con Ternera x 480 gramos x 8 unidades</c:v>
                </c:pt>
                <c:pt idx="16">
                  <c:v>Lámina Superior Impresa Chorizo Con Ternera x 1,020 gramos x 17 unidades</c:v>
                </c:pt>
                <c:pt idx="17">
                  <c:v>Lámina Superior Impresa Salchicha Viandé x 450 gramos x 16 unidades. Ancho = 415 mm. (Pet / coextrusión HBA 70 micras).</c:v>
                </c:pt>
                <c:pt idx="18">
                  <c:v>Lámina Inferior Sudpack GVA 200 BT 423 MM (8.MILS) 1 Rollo x 300 metros</c:v>
                </c:pt>
                <c:pt idx="19">
                  <c:v>Lámina Superior Impresa Mortadela x 225 gramos x 14 unidades. Con Código. Ancho = 415 mm. (Pet / coextrusión HBA 70 micras).</c:v>
                </c:pt>
                <c:pt idx="20">
                  <c:v>Lámina Superior Impresa Jamón Viande x 300 gramos x 12 unidades.  Ancho = 415 mm. (Pet / coextrusión HBA 70 micras).</c:v>
                </c:pt>
                <c:pt idx="21">
                  <c:v> Etiqueta Jamon Sanduche X 500 </c:v>
                </c:pt>
                <c:pt idx="22">
                  <c:v>Etiqueta Salchicha Premium Gruecitas x 480 gramos x 14 unidades.</c:v>
                </c:pt>
                <c:pt idx="23">
                  <c:v>Lámina Superior Impresa Super Combo Tradicional Viandé x 900 gramos x 9 unidades. Ancho = 45 cms. (Pet / coextrusión HBA 73 micras).</c:v>
                </c:pt>
                <c:pt idx="24">
                  <c:v>Lámina Jamón Tipo Sanduche Faizán x 500 g</c:v>
                </c:pt>
                <c:pt idx="25">
                  <c:v>Lámina Superior Impresa Transparente ECOWEB M/PAUV 60 mm (2 mils) 30,1 cm. 1 Rollo x 800 metros </c:v>
                </c:pt>
                <c:pt idx="26">
                  <c:v>Lámina Superior Impresa Transparente ECOWEB M/PAUV 42 Micras. 301 MM. 1 Rollo x 1500 metros </c:v>
                </c:pt>
                <c:pt idx="27">
                  <c:v>Lámina Impresa Salchichón Cervecero Tajado x 50 gramos x 1,000 metros x 302 mm .</c:v>
                </c:pt>
                <c:pt idx="28">
                  <c:v>Bolsa AD BCO Impresa FAIZAN 23x25 + 4 cm en 1.0 ML</c:v>
                </c:pt>
                <c:pt idx="29">
                  <c:v>Separador 15 cm x 15 cm Impreso Highpack</c:v>
                </c:pt>
                <c:pt idx="30">
                  <c:v>Etiqueta Salchicha Clásica x 450 gramos </c:v>
                </c:pt>
                <c:pt idx="31">
                  <c:v>Etiqueta Salchicha Desayuno Premium x 125 Gramos x 5 Unidades</c:v>
                </c:pt>
                <c:pt idx="32">
                  <c:v>Caja Hamburguesa x 2.700 gramos</c:v>
                </c:pt>
                <c:pt idx="33">
                  <c:v>Caja Koba Salchichón de Pollo Brakel x 500 gramos (15 unidades)</c:v>
                </c:pt>
                <c:pt idx="34">
                  <c:v>Caja Koba Jamón de Cerdo Viandé x 300 gramos (32 unidades)</c:v>
                </c:pt>
                <c:pt idx="35">
                  <c:v>Caja Koba Super Combo Tradicional Viandé (9 unidades)</c:v>
                </c:pt>
                <c:pt idx="36">
                  <c:v>Etiqueta Salchicha Perro Caliente x 480 gramos x 12 unidades</c:v>
                </c:pt>
              </c:strCache>
            </c:strRef>
          </c:cat>
          <c:val>
            <c:numRef>
              <c:f>'MATERIAL DE EMPAQUE'!$E$35:$E$71</c:f>
            </c:numRef>
          </c:val>
          <c:extLst>
            <c:ext xmlns:c16="http://schemas.microsoft.com/office/drawing/2014/chart" uri="{C3380CC4-5D6E-409C-BE32-E72D297353CC}">
              <c16:uniqueId val="{00000002-FBC2-461E-B743-A09CCD63390F}"/>
            </c:ext>
          </c:extLst>
        </c:ser>
        <c:ser>
          <c:idx val="3"/>
          <c:order val="3"/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'MATERIAL DE EMPAQUE'!$B$35:$B$71</c:f>
              <c:strCache>
                <c:ptCount val="37"/>
                <c:pt idx="0">
                  <c:v>Multiflex 180 mm. Transparente sin impresión. Para Milanesa. </c:v>
                </c:pt>
                <c:pt idx="1">
                  <c:v>Funda Colágeno NDX F 25/50 Cierre de Bola x 258 Tubos</c:v>
                </c:pt>
                <c:pt idx="2">
                  <c:v>Lazos Poly-Clip LTDA GSA22 Rollo x 3.500 unidades de Lazadas</c:v>
                </c:pt>
                <c:pt idx="3">
                  <c:v>FIBROSA T-SHIRR BTC CLR REG 1 1/2 x 150 35ST Smoke-E3</c:v>
                </c:pt>
                <c:pt idx="4">
                  <c:v>Funda Celulosa 19 x 100 CE FP CLR </c:v>
                </c:pt>
                <c:pt idx="5">
                  <c:v>Lámina Superior Impresa Jamón de Cerdo Premium x 200 gramos x 10 tajadas. Ancho 415 mm. PET // Coext. HBA (PE-EVOH) Abre fácil Pig. Blanco. 60 micras.</c:v>
                </c:pt>
                <c:pt idx="6">
                  <c:v>Lámina Superior Impresa Jamón de Cerdo Premium x 400 gramos x 20 tajadas. Ancho 415 mm. PET // Coext. HBA (PE-EVOH) Abre fácil Pig. Blanco. 60 micras.</c:v>
                </c:pt>
                <c:pt idx="7">
                  <c:v>Etiqueta Chorizo Faizan x 250 gramos x 5 unidades</c:v>
                </c:pt>
                <c:pt idx="8">
                  <c:v>Etiqueta Chorizo Faizan x 500 gramos x 10 unidades</c:v>
                </c:pt>
                <c:pt idx="9">
                  <c:v>Bolsa Impresa Amarilla Hamburguesa  x 900 gramos x 10 unidades. Canal Moderno. Bolsa Flex Up Pet//PEBD 70 micras</c:v>
                </c:pt>
                <c:pt idx="10">
                  <c:v>Bolsa Amarilla Impresa Milanesa x 1.800 gramos x 15 Unidades. Canal Intitucional. Bolsa Plana Pet//PEDB 70 micras</c:v>
                </c:pt>
                <c:pt idx="11">
                  <c:v>Bolsa Impresa Roja Hamburguesa  x 450 gramos x 5 unidades. Canal Moderno. Bolsa Flex Up Pet//PEBD 80 micras</c:v>
                </c:pt>
                <c:pt idx="12">
                  <c:v>Lámina Superior Impresa Salchicha SúperPerro x 2.500 gramos x 50 unidades.</c:v>
                </c:pt>
                <c:pt idx="13">
                  <c:v>Lámina Superior Impresa Salchicha Miniperro x 1.000 gramos x 40 unidades.</c:v>
                </c:pt>
                <c:pt idx="14">
                  <c:v>Etiqueta Chorizo Ternera x 120 gramos x 2 unidades. </c:v>
                </c:pt>
                <c:pt idx="15">
                  <c:v>Lámina Superior Impresa Chorizo Con Ternera x 480 gramos x 8 unidades</c:v>
                </c:pt>
                <c:pt idx="16">
                  <c:v>Lámina Superior Impresa Chorizo Con Ternera x 1,020 gramos x 17 unidades</c:v>
                </c:pt>
                <c:pt idx="17">
                  <c:v>Lámina Superior Impresa Salchicha Viandé x 450 gramos x 16 unidades. Ancho = 415 mm. (Pet / coextrusión HBA 70 micras).</c:v>
                </c:pt>
                <c:pt idx="18">
                  <c:v>Lámina Inferior Sudpack GVA 200 BT 423 MM (8.MILS) 1 Rollo x 300 metros</c:v>
                </c:pt>
                <c:pt idx="19">
                  <c:v>Lámina Superior Impresa Mortadela x 225 gramos x 14 unidades. Con Código. Ancho = 415 mm. (Pet / coextrusión HBA 70 micras).</c:v>
                </c:pt>
                <c:pt idx="20">
                  <c:v>Lámina Superior Impresa Jamón Viande x 300 gramos x 12 unidades.  Ancho = 415 mm. (Pet / coextrusión HBA 70 micras).</c:v>
                </c:pt>
                <c:pt idx="21">
                  <c:v> Etiqueta Jamon Sanduche X 500 </c:v>
                </c:pt>
                <c:pt idx="22">
                  <c:v>Etiqueta Salchicha Premium Gruecitas x 480 gramos x 14 unidades.</c:v>
                </c:pt>
                <c:pt idx="23">
                  <c:v>Lámina Superior Impresa Super Combo Tradicional Viandé x 900 gramos x 9 unidades. Ancho = 45 cms. (Pet / coextrusión HBA 73 micras).</c:v>
                </c:pt>
                <c:pt idx="24">
                  <c:v>Lámina Jamón Tipo Sanduche Faizán x 500 g</c:v>
                </c:pt>
                <c:pt idx="25">
                  <c:v>Lámina Superior Impresa Transparente ECOWEB M/PAUV 60 mm (2 mils) 30,1 cm. 1 Rollo x 800 metros </c:v>
                </c:pt>
                <c:pt idx="26">
                  <c:v>Lámina Superior Impresa Transparente ECOWEB M/PAUV 42 Micras. 301 MM. 1 Rollo x 1500 metros </c:v>
                </c:pt>
                <c:pt idx="27">
                  <c:v>Lámina Impresa Salchichón Cervecero Tajado x 50 gramos x 1,000 metros x 302 mm .</c:v>
                </c:pt>
                <c:pt idx="28">
                  <c:v>Bolsa AD BCO Impresa FAIZAN 23x25 + 4 cm en 1.0 ML</c:v>
                </c:pt>
                <c:pt idx="29">
                  <c:v>Separador 15 cm x 15 cm Impreso Highpack</c:v>
                </c:pt>
                <c:pt idx="30">
                  <c:v>Etiqueta Salchicha Clásica x 450 gramos </c:v>
                </c:pt>
                <c:pt idx="31">
                  <c:v>Etiqueta Salchicha Desayuno Premium x 125 Gramos x 5 Unidades</c:v>
                </c:pt>
                <c:pt idx="32">
                  <c:v>Caja Hamburguesa x 2.700 gramos</c:v>
                </c:pt>
                <c:pt idx="33">
                  <c:v>Caja Koba Salchichón de Pollo Brakel x 500 gramos (15 unidades)</c:v>
                </c:pt>
                <c:pt idx="34">
                  <c:v>Caja Koba Jamón de Cerdo Viandé x 300 gramos (32 unidades)</c:v>
                </c:pt>
                <c:pt idx="35">
                  <c:v>Caja Koba Super Combo Tradicional Viandé (9 unidades)</c:v>
                </c:pt>
                <c:pt idx="36">
                  <c:v>Etiqueta Salchicha Perro Caliente x 480 gramos x 12 unidades</c:v>
                </c:pt>
              </c:strCache>
            </c:strRef>
          </c:cat>
          <c:val>
            <c:numRef>
              <c:f>'MATERIAL DE EMPAQUE'!$F$35:$F$71</c:f>
            </c:numRef>
          </c:val>
          <c:extLst>
            <c:ext xmlns:c16="http://schemas.microsoft.com/office/drawing/2014/chart" uri="{C3380CC4-5D6E-409C-BE32-E72D297353CC}">
              <c16:uniqueId val="{00000003-FBC2-461E-B743-A09CCD63390F}"/>
            </c:ext>
          </c:extLst>
        </c:ser>
        <c:ser>
          <c:idx val="4"/>
          <c:order val="4"/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'MATERIAL DE EMPAQUE'!$B$35:$B$71</c:f>
              <c:strCache>
                <c:ptCount val="37"/>
                <c:pt idx="0">
                  <c:v>Multiflex 180 mm. Transparente sin impresión. Para Milanesa. </c:v>
                </c:pt>
                <c:pt idx="1">
                  <c:v>Funda Colágeno NDX F 25/50 Cierre de Bola x 258 Tubos</c:v>
                </c:pt>
                <c:pt idx="2">
                  <c:v>Lazos Poly-Clip LTDA GSA22 Rollo x 3.500 unidades de Lazadas</c:v>
                </c:pt>
                <c:pt idx="3">
                  <c:v>FIBROSA T-SHIRR BTC CLR REG 1 1/2 x 150 35ST Smoke-E3</c:v>
                </c:pt>
                <c:pt idx="4">
                  <c:v>Funda Celulosa 19 x 100 CE FP CLR </c:v>
                </c:pt>
                <c:pt idx="5">
                  <c:v>Lámina Superior Impresa Jamón de Cerdo Premium x 200 gramos x 10 tajadas. Ancho 415 mm. PET // Coext. HBA (PE-EVOH) Abre fácil Pig. Blanco. 60 micras.</c:v>
                </c:pt>
                <c:pt idx="6">
                  <c:v>Lámina Superior Impresa Jamón de Cerdo Premium x 400 gramos x 20 tajadas. Ancho 415 mm. PET // Coext. HBA (PE-EVOH) Abre fácil Pig. Blanco. 60 micras.</c:v>
                </c:pt>
                <c:pt idx="7">
                  <c:v>Etiqueta Chorizo Faizan x 250 gramos x 5 unidades</c:v>
                </c:pt>
                <c:pt idx="8">
                  <c:v>Etiqueta Chorizo Faizan x 500 gramos x 10 unidades</c:v>
                </c:pt>
                <c:pt idx="9">
                  <c:v>Bolsa Impresa Amarilla Hamburguesa  x 900 gramos x 10 unidades. Canal Moderno. Bolsa Flex Up Pet//PEBD 70 micras</c:v>
                </c:pt>
                <c:pt idx="10">
                  <c:v>Bolsa Amarilla Impresa Milanesa x 1.800 gramos x 15 Unidades. Canal Intitucional. Bolsa Plana Pet//PEDB 70 micras</c:v>
                </c:pt>
                <c:pt idx="11">
                  <c:v>Bolsa Impresa Roja Hamburguesa  x 450 gramos x 5 unidades. Canal Moderno. Bolsa Flex Up Pet//PEBD 80 micras</c:v>
                </c:pt>
                <c:pt idx="12">
                  <c:v>Lámina Superior Impresa Salchicha SúperPerro x 2.500 gramos x 50 unidades.</c:v>
                </c:pt>
                <c:pt idx="13">
                  <c:v>Lámina Superior Impresa Salchicha Miniperro x 1.000 gramos x 40 unidades.</c:v>
                </c:pt>
                <c:pt idx="14">
                  <c:v>Etiqueta Chorizo Ternera x 120 gramos x 2 unidades. </c:v>
                </c:pt>
                <c:pt idx="15">
                  <c:v>Lámina Superior Impresa Chorizo Con Ternera x 480 gramos x 8 unidades</c:v>
                </c:pt>
                <c:pt idx="16">
                  <c:v>Lámina Superior Impresa Chorizo Con Ternera x 1,020 gramos x 17 unidades</c:v>
                </c:pt>
                <c:pt idx="17">
                  <c:v>Lámina Superior Impresa Salchicha Viandé x 450 gramos x 16 unidades. Ancho = 415 mm. (Pet / coextrusión HBA 70 micras).</c:v>
                </c:pt>
                <c:pt idx="18">
                  <c:v>Lámina Inferior Sudpack GVA 200 BT 423 MM (8.MILS) 1 Rollo x 300 metros</c:v>
                </c:pt>
                <c:pt idx="19">
                  <c:v>Lámina Superior Impresa Mortadela x 225 gramos x 14 unidades. Con Código. Ancho = 415 mm. (Pet / coextrusión HBA 70 micras).</c:v>
                </c:pt>
                <c:pt idx="20">
                  <c:v>Lámina Superior Impresa Jamón Viande x 300 gramos x 12 unidades.  Ancho = 415 mm. (Pet / coextrusión HBA 70 micras).</c:v>
                </c:pt>
                <c:pt idx="21">
                  <c:v> Etiqueta Jamon Sanduche X 500 </c:v>
                </c:pt>
                <c:pt idx="22">
                  <c:v>Etiqueta Salchicha Premium Gruecitas x 480 gramos x 14 unidades.</c:v>
                </c:pt>
                <c:pt idx="23">
                  <c:v>Lámina Superior Impresa Super Combo Tradicional Viandé x 900 gramos x 9 unidades. Ancho = 45 cms. (Pet / coextrusión HBA 73 micras).</c:v>
                </c:pt>
                <c:pt idx="24">
                  <c:v>Lámina Jamón Tipo Sanduche Faizán x 500 g</c:v>
                </c:pt>
                <c:pt idx="25">
                  <c:v>Lámina Superior Impresa Transparente ECOWEB M/PAUV 60 mm (2 mils) 30,1 cm. 1 Rollo x 800 metros </c:v>
                </c:pt>
                <c:pt idx="26">
                  <c:v>Lámina Superior Impresa Transparente ECOWEB M/PAUV 42 Micras. 301 MM. 1 Rollo x 1500 metros </c:v>
                </c:pt>
                <c:pt idx="27">
                  <c:v>Lámina Impresa Salchichón Cervecero Tajado x 50 gramos x 1,000 metros x 302 mm .</c:v>
                </c:pt>
                <c:pt idx="28">
                  <c:v>Bolsa AD BCO Impresa FAIZAN 23x25 + 4 cm en 1.0 ML</c:v>
                </c:pt>
                <c:pt idx="29">
                  <c:v>Separador 15 cm x 15 cm Impreso Highpack</c:v>
                </c:pt>
                <c:pt idx="30">
                  <c:v>Etiqueta Salchicha Clásica x 450 gramos </c:v>
                </c:pt>
                <c:pt idx="31">
                  <c:v>Etiqueta Salchicha Desayuno Premium x 125 Gramos x 5 Unidades</c:v>
                </c:pt>
                <c:pt idx="32">
                  <c:v>Caja Hamburguesa x 2.700 gramos</c:v>
                </c:pt>
                <c:pt idx="33">
                  <c:v>Caja Koba Salchichón de Pollo Brakel x 500 gramos (15 unidades)</c:v>
                </c:pt>
                <c:pt idx="34">
                  <c:v>Caja Koba Jamón de Cerdo Viandé x 300 gramos (32 unidades)</c:v>
                </c:pt>
                <c:pt idx="35">
                  <c:v>Caja Koba Super Combo Tradicional Viandé (9 unidades)</c:v>
                </c:pt>
                <c:pt idx="36">
                  <c:v>Etiqueta Salchicha Perro Caliente x 480 gramos x 12 unidades</c:v>
                </c:pt>
              </c:strCache>
            </c:strRef>
          </c:cat>
          <c:val>
            <c:numRef>
              <c:f>'MATERIAL DE EMPAQUE'!$G$35:$G$71</c:f>
            </c:numRef>
          </c:val>
          <c:extLst>
            <c:ext xmlns:c16="http://schemas.microsoft.com/office/drawing/2014/chart" uri="{C3380CC4-5D6E-409C-BE32-E72D297353CC}">
              <c16:uniqueId val="{00000004-FBC2-461E-B743-A09CCD63390F}"/>
            </c:ext>
          </c:extLst>
        </c:ser>
        <c:ser>
          <c:idx val="5"/>
          <c:order val="5"/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'MATERIAL DE EMPAQUE'!$B$35:$B$71</c:f>
              <c:strCache>
                <c:ptCount val="37"/>
                <c:pt idx="0">
                  <c:v>Multiflex 180 mm. Transparente sin impresión. Para Milanesa. </c:v>
                </c:pt>
                <c:pt idx="1">
                  <c:v>Funda Colágeno NDX F 25/50 Cierre de Bola x 258 Tubos</c:v>
                </c:pt>
                <c:pt idx="2">
                  <c:v>Lazos Poly-Clip LTDA GSA22 Rollo x 3.500 unidades de Lazadas</c:v>
                </c:pt>
                <c:pt idx="3">
                  <c:v>FIBROSA T-SHIRR BTC CLR REG 1 1/2 x 150 35ST Smoke-E3</c:v>
                </c:pt>
                <c:pt idx="4">
                  <c:v>Funda Celulosa 19 x 100 CE FP CLR </c:v>
                </c:pt>
                <c:pt idx="5">
                  <c:v>Lámina Superior Impresa Jamón de Cerdo Premium x 200 gramos x 10 tajadas. Ancho 415 mm. PET // Coext. HBA (PE-EVOH) Abre fácil Pig. Blanco. 60 micras.</c:v>
                </c:pt>
                <c:pt idx="6">
                  <c:v>Lámina Superior Impresa Jamón de Cerdo Premium x 400 gramos x 20 tajadas. Ancho 415 mm. PET // Coext. HBA (PE-EVOH) Abre fácil Pig. Blanco. 60 micras.</c:v>
                </c:pt>
                <c:pt idx="7">
                  <c:v>Etiqueta Chorizo Faizan x 250 gramos x 5 unidades</c:v>
                </c:pt>
                <c:pt idx="8">
                  <c:v>Etiqueta Chorizo Faizan x 500 gramos x 10 unidades</c:v>
                </c:pt>
                <c:pt idx="9">
                  <c:v>Bolsa Impresa Amarilla Hamburguesa  x 900 gramos x 10 unidades. Canal Moderno. Bolsa Flex Up Pet//PEBD 70 micras</c:v>
                </c:pt>
                <c:pt idx="10">
                  <c:v>Bolsa Amarilla Impresa Milanesa x 1.800 gramos x 15 Unidades. Canal Intitucional. Bolsa Plana Pet//PEDB 70 micras</c:v>
                </c:pt>
                <c:pt idx="11">
                  <c:v>Bolsa Impresa Roja Hamburguesa  x 450 gramos x 5 unidades. Canal Moderno. Bolsa Flex Up Pet//PEBD 80 micras</c:v>
                </c:pt>
                <c:pt idx="12">
                  <c:v>Lámina Superior Impresa Salchicha SúperPerro x 2.500 gramos x 50 unidades.</c:v>
                </c:pt>
                <c:pt idx="13">
                  <c:v>Lámina Superior Impresa Salchicha Miniperro x 1.000 gramos x 40 unidades.</c:v>
                </c:pt>
                <c:pt idx="14">
                  <c:v>Etiqueta Chorizo Ternera x 120 gramos x 2 unidades. </c:v>
                </c:pt>
                <c:pt idx="15">
                  <c:v>Lámina Superior Impresa Chorizo Con Ternera x 480 gramos x 8 unidades</c:v>
                </c:pt>
                <c:pt idx="16">
                  <c:v>Lámina Superior Impresa Chorizo Con Ternera x 1,020 gramos x 17 unidades</c:v>
                </c:pt>
                <c:pt idx="17">
                  <c:v>Lámina Superior Impresa Salchicha Viandé x 450 gramos x 16 unidades. Ancho = 415 mm. (Pet / coextrusión HBA 70 micras).</c:v>
                </c:pt>
                <c:pt idx="18">
                  <c:v>Lámina Inferior Sudpack GVA 200 BT 423 MM (8.MILS) 1 Rollo x 300 metros</c:v>
                </c:pt>
                <c:pt idx="19">
                  <c:v>Lámina Superior Impresa Mortadela x 225 gramos x 14 unidades. Con Código. Ancho = 415 mm. (Pet / coextrusión HBA 70 micras).</c:v>
                </c:pt>
                <c:pt idx="20">
                  <c:v>Lámina Superior Impresa Jamón Viande x 300 gramos x 12 unidades.  Ancho = 415 mm. (Pet / coextrusión HBA 70 micras).</c:v>
                </c:pt>
                <c:pt idx="21">
                  <c:v> Etiqueta Jamon Sanduche X 500 </c:v>
                </c:pt>
                <c:pt idx="22">
                  <c:v>Etiqueta Salchicha Premium Gruecitas x 480 gramos x 14 unidades.</c:v>
                </c:pt>
                <c:pt idx="23">
                  <c:v>Lámina Superior Impresa Super Combo Tradicional Viandé x 900 gramos x 9 unidades. Ancho = 45 cms. (Pet / coextrusión HBA 73 micras).</c:v>
                </c:pt>
                <c:pt idx="24">
                  <c:v>Lámina Jamón Tipo Sanduche Faizán x 500 g</c:v>
                </c:pt>
                <c:pt idx="25">
                  <c:v>Lámina Superior Impresa Transparente ECOWEB M/PAUV 60 mm (2 mils) 30,1 cm. 1 Rollo x 800 metros </c:v>
                </c:pt>
                <c:pt idx="26">
                  <c:v>Lámina Superior Impresa Transparente ECOWEB M/PAUV 42 Micras. 301 MM. 1 Rollo x 1500 metros </c:v>
                </c:pt>
                <c:pt idx="27">
                  <c:v>Lámina Impresa Salchichón Cervecero Tajado x 50 gramos x 1,000 metros x 302 mm .</c:v>
                </c:pt>
                <c:pt idx="28">
                  <c:v>Bolsa AD BCO Impresa FAIZAN 23x25 + 4 cm en 1.0 ML</c:v>
                </c:pt>
                <c:pt idx="29">
                  <c:v>Separador 15 cm x 15 cm Impreso Highpack</c:v>
                </c:pt>
                <c:pt idx="30">
                  <c:v>Etiqueta Salchicha Clásica x 450 gramos </c:v>
                </c:pt>
                <c:pt idx="31">
                  <c:v>Etiqueta Salchicha Desayuno Premium x 125 Gramos x 5 Unidades</c:v>
                </c:pt>
                <c:pt idx="32">
                  <c:v>Caja Hamburguesa x 2.700 gramos</c:v>
                </c:pt>
                <c:pt idx="33">
                  <c:v>Caja Koba Salchichón de Pollo Brakel x 500 gramos (15 unidades)</c:v>
                </c:pt>
                <c:pt idx="34">
                  <c:v>Caja Koba Jamón de Cerdo Viandé x 300 gramos (32 unidades)</c:v>
                </c:pt>
                <c:pt idx="35">
                  <c:v>Caja Koba Super Combo Tradicional Viandé (9 unidades)</c:v>
                </c:pt>
                <c:pt idx="36">
                  <c:v>Etiqueta Salchicha Perro Caliente x 480 gramos x 12 unidades</c:v>
                </c:pt>
              </c:strCache>
            </c:strRef>
          </c:cat>
          <c:val>
            <c:numRef>
              <c:f>'MATERIAL DE EMPAQUE'!$H$35:$H$71</c:f>
              <c:numCache>
                <c:formatCode>_(* #,##0.00_);_(* \(#,##0.00\);_(* "-"??_);_(@_)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C2-461E-B743-A09CCD633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044822480"/>
        <c:axId val="1044822808"/>
      </c:barChart>
      <c:catAx>
        <c:axId val="1044822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822808"/>
        <c:crosses val="autoZero"/>
        <c:auto val="1"/>
        <c:lblAlgn val="ctr"/>
        <c:lblOffset val="100"/>
        <c:noMultiLvlLbl val="0"/>
      </c:catAx>
      <c:valAx>
        <c:axId val="1044822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82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'D1'!$C$26</c:f>
              <c:strCache>
                <c:ptCount val="1"/>
                <c:pt idx="0">
                  <c:v> MB-JUN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'D1'!$B$27:$B$31</c:f>
              <c:strCache>
                <c:ptCount val="5"/>
                <c:pt idx="0">
                  <c:v>LINEA SALCHICHAS</c:v>
                </c:pt>
                <c:pt idx="1">
                  <c:v>LINEA CHORIZOS</c:v>
                </c:pt>
                <c:pt idx="2">
                  <c:v>LINEA SALCHICHICHONES</c:v>
                </c:pt>
                <c:pt idx="3">
                  <c:v>LINEA JAMONES</c:v>
                </c:pt>
                <c:pt idx="4">
                  <c:v>LINEA OFERTAS</c:v>
                </c:pt>
              </c:strCache>
            </c:strRef>
          </c:cat>
          <c:val>
            <c:numRef>
              <c:f>'D1'!$C$27:$C$31</c:f>
              <c:numCache>
                <c:formatCode>0.00%</c:formatCode>
                <c:ptCount val="5"/>
                <c:pt idx="0">
                  <c:v>0.38994235633084401</c:v>
                </c:pt>
                <c:pt idx="1">
                  <c:v>0.33651683978513625</c:v>
                </c:pt>
                <c:pt idx="2">
                  <c:v>0.39737096719773657</c:v>
                </c:pt>
                <c:pt idx="3">
                  <c:v>0.36652172367927632</c:v>
                </c:pt>
                <c:pt idx="4">
                  <c:v>0.33424603760030297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9-44C3-B67C-C15CA3258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28157504"/>
        <c:axId val="28165184"/>
      </c:barChart>
      <c:lineChart>
        <c:grouping val="standard"/>
        <c:varyColors val="0"/>
        <c:ser>
          <c:idx val="1"/>
          <c:order val="1"/>
          <c:tx>
            <c:strRef>
              <c:f>'D1'!$D$26</c:f>
              <c:strCache>
                <c:ptCount val="1"/>
                <c:pt idx="0">
                  <c:v>META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'D1'!$B$27:$B$31</c:f>
              <c:strCache>
                <c:ptCount val="5"/>
                <c:pt idx="0">
                  <c:v>LINEA SALCHICHAS</c:v>
                </c:pt>
                <c:pt idx="1">
                  <c:v>LINEA CHORIZOS</c:v>
                </c:pt>
                <c:pt idx="2">
                  <c:v>LINEA SALCHICHICHONES</c:v>
                </c:pt>
                <c:pt idx="3">
                  <c:v>LINEA JAMONES</c:v>
                </c:pt>
                <c:pt idx="4">
                  <c:v>LINEA OFERTAS</c:v>
                </c:pt>
              </c:strCache>
            </c:strRef>
          </c:cat>
          <c:val>
            <c:numRef>
              <c:f>'D1'!$D$27:$D$31</c:f>
              <c:numCache>
                <c:formatCode>0%</c:formatCode>
                <c:ptCount val="5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49-44C3-B67C-C15CA3258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57504"/>
        <c:axId val="28165184"/>
      </c:lineChart>
      <c:catAx>
        <c:axId val="2815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165184"/>
        <c:crosses val="autoZero"/>
        <c:auto val="1"/>
        <c:lblAlgn val="ctr"/>
        <c:lblOffset val="100"/>
        <c:noMultiLvlLbl val="0"/>
      </c:catAx>
      <c:valAx>
        <c:axId val="281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2000"/>
                  <a:t>% MB ESTÁNDAR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157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FAZAN!$C$77</c:f>
              <c:strCache>
                <c:ptCount val="1"/>
                <c:pt idx="0">
                  <c:v> MB-JUN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FAZAN!$B$78:$B$84</c:f>
              <c:strCache>
                <c:ptCount val="7"/>
                <c:pt idx="0">
                  <c:v>LINEA SALCHICHAS</c:v>
                </c:pt>
                <c:pt idx="1">
                  <c:v>LINEA CHORIZOS</c:v>
                </c:pt>
                <c:pt idx="2">
                  <c:v>LINEA SALCHICHONES</c:v>
                </c:pt>
                <c:pt idx="3">
                  <c:v>LINEA TAJADOS</c:v>
                </c:pt>
                <c:pt idx="4">
                  <c:v>LINEA HAMBURGUESAS</c:v>
                </c:pt>
                <c:pt idx="5">
                  <c:v>LINEA OFERTAS</c:v>
                </c:pt>
                <c:pt idx="6">
                  <c:v>LINEA TOCINOS</c:v>
                </c:pt>
              </c:strCache>
            </c:strRef>
          </c:cat>
          <c:val>
            <c:numRef>
              <c:f>FAZAN!$C$78:$C$84</c:f>
              <c:numCache>
                <c:formatCode>0.00%</c:formatCode>
                <c:ptCount val="7"/>
                <c:pt idx="0">
                  <c:v>0.51029931210683377</c:v>
                </c:pt>
                <c:pt idx="1">
                  <c:v>0.47141656909261054</c:v>
                </c:pt>
                <c:pt idx="2">
                  <c:v>0.55966632432529284</c:v>
                </c:pt>
                <c:pt idx="3">
                  <c:v>0.56323597189476937</c:v>
                </c:pt>
                <c:pt idx="4">
                  <c:v>0.44091654296205302</c:v>
                </c:pt>
                <c:pt idx="5">
                  <c:v>0.97784913513693439</c:v>
                </c:pt>
                <c:pt idx="6">
                  <c:v>0.51578900791539661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2-4698-8181-F4F186015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28094624"/>
        <c:axId val="28101824"/>
      </c:barChart>
      <c:lineChart>
        <c:grouping val="standard"/>
        <c:varyColors val="0"/>
        <c:ser>
          <c:idx val="1"/>
          <c:order val="1"/>
          <c:tx>
            <c:strRef>
              <c:f>FAZAN!$D$77</c:f>
              <c:strCache>
                <c:ptCount val="1"/>
                <c:pt idx="0">
                  <c:v>META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FAZAN!$B$78:$B$84</c:f>
              <c:strCache>
                <c:ptCount val="7"/>
                <c:pt idx="0">
                  <c:v>LINEA SALCHICHAS</c:v>
                </c:pt>
                <c:pt idx="1">
                  <c:v>LINEA CHORIZOS</c:v>
                </c:pt>
                <c:pt idx="2">
                  <c:v>LINEA SALCHICHONES</c:v>
                </c:pt>
                <c:pt idx="3">
                  <c:v>LINEA TAJADOS</c:v>
                </c:pt>
                <c:pt idx="4">
                  <c:v>LINEA HAMBURGUESAS</c:v>
                </c:pt>
                <c:pt idx="5">
                  <c:v>LINEA OFERTAS</c:v>
                </c:pt>
                <c:pt idx="6">
                  <c:v>LINEA TOCINOS</c:v>
                </c:pt>
              </c:strCache>
            </c:strRef>
          </c:cat>
          <c:val>
            <c:numRef>
              <c:f>FAZAN!$D$78:$D$84</c:f>
              <c:numCache>
                <c:formatCode>0%</c:formatCode>
                <c:ptCount val="7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2-4698-8181-F4F186015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94624"/>
        <c:axId val="28101824"/>
      </c:lineChart>
      <c:catAx>
        <c:axId val="2809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101824"/>
        <c:crosses val="autoZero"/>
        <c:auto val="1"/>
        <c:lblAlgn val="ctr"/>
        <c:lblOffset val="100"/>
        <c:noMultiLvlLbl val="0"/>
      </c:catAx>
      <c:valAx>
        <c:axId val="2810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2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MB ESTÁNDAR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8094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'PERNIL DE CERDO'!$B$30:$C$40</c:f>
              <c:multiLvlStrCache>
                <c:ptCount val="11"/>
                <c:lvl>
                  <c:pt idx="1">
                    <c:v>DESCRIPCIÓN</c:v>
                  </c:pt>
                  <c:pt idx="2">
                    <c:v>Malla Ahumada SQRU X 45 M.</c:v>
                  </c:pt>
                  <c:pt idx="3">
                    <c:v>Malla ZIP-NET -28-P368/50GR- Roja y Verde -45mts</c:v>
                  </c:pt>
                  <c:pt idx="4">
                    <c:v>Clips HC25-3218T. Carrete x 2,400 unidades.</c:v>
                  </c:pt>
                  <c:pt idx="5">
                    <c:v>LAM SUP TRANS ECOWEB M/PAUV 60U 301MM   </c:v>
                  </c:pt>
                  <c:pt idx="6">
                    <c:v>Lámina Inferior Sudpack GVA 200 BT 323 MM (8.MILS) 1 Rollo x 300 metros</c:v>
                  </c:pt>
                  <c:pt idx="7">
                    <c:v>Lazos Poly-Clip LTDA GSA22 Rollo x 3.500 unidades de Lazadas</c:v>
                  </c:pt>
                  <c:pt idx="8">
                    <c:v>Salsa de Ciruelas x 80 g.</c:v>
                  </c:pt>
                  <c:pt idx="9">
                    <c:v>Etiqueta polipropileno brillante 100 x 80</c:v>
                  </c:pt>
                  <c:pt idx="10">
                    <c:v>TOTAL</c:v>
                  </c:pt>
                </c:lvl>
                <c:lvl>
                  <c:pt idx="0">
                    <c:v>MATERIAL DE EMPAQUE</c:v>
                  </c:pt>
                  <c:pt idx="1">
                    <c:v>CÓDIGO</c:v>
                  </c:pt>
                </c:lvl>
              </c:multiLvlStrCache>
            </c:multiLvlStrRef>
          </c:cat>
          <c:val>
            <c:numRef>
              <c:f>'PERNIL DE CERDO'!$D$30:$D$40</c:f>
              <c:numCache>
                <c:formatCode>_-* #,##0.000_-;\-* #,##0.000_-;_-* "-"??_-;_-@_-</c:formatCode>
                <c:ptCount val="11"/>
                <c:pt idx="1">
                  <c:v>0</c:v>
                </c:pt>
                <c:pt idx="2">
                  <c:v>0.18</c:v>
                </c:pt>
                <c:pt idx="3">
                  <c:v>0.18</c:v>
                </c:pt>
                <c:pt idx="4">
                  <c:v>2</c:v>
                </c:pt>
                <c:pt idx="5">
                  <c:v>0.3</c:v>
                </c:pt>
                <c:pt idx="6">
                  <c:v>0.3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D-40E4-8B88-A6938397FD7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'PERNIL DE CERDO'!$B$30:$C$40</c:f>
              <c:multiLvlStrCache>
                <c:ptCount val="11"/>
                <c:lvl>
                  <c:pt idx="1">
                    <c:v>DESCRIPCIÓN</c:v>
                  </c:pt>
                  <c:pt idx="2">
                    <c:v>Malla Ahumada SQRU X 45 M.</c:v>
                  </c:pt>
                  <c:pt idx="3">
                    <c:v>Malla ZIP-NET -28-P368/50GR- Roja y Verde -45mts</c:v>
                  </c:pt>
                  <c:pt idx="4">
                    <c:v>Clips HC25-3218T. Carrete x 2,400 unidades.</c:v>
                  </c:pt>
                  <c:pt idx="5">
                    <c:v>LAM SUP TRANS ECOWEB M/PAUV 60U 301MM   </c:v>
                  </c:pt>
                  <c:pt idx="6">
                    <c:v>Lámina Inferior Sudpack GVA 200 BT 323 MM (8.MILS) 1 Rollo x 300 metros</c:v>
                  </c:pt>
                  <c:pt idx="7">
                    <c:v>Lazos Poly-Clip LTDA GSA22 Rollo x 3.500 unidades de Lazadas</c:v>
                  </c:pt>
                  <c:pt idx="8">
                    <c:v>Salsa de Ciruelas x 80 g.</c:v>
                  </c:pt>
                  <c:pt idx="9">
                    <c:v>Etiqueta polipropileno brillante 100 x 80</c:v>
                  </c:pt>
                  <c:pt idx="10">
                    <c:v>TOTAL</c:v>
                  </c:pt>
                </c:lvl>
                <c:lvl>
                  <c:pt idx="0">
                    <c:v>MATERIAL DE EMPAQUE</c:v>
                  </c:pt>
                  <c:pt idx="1">
                    <c:v>CÓDIGO</c:v>
                  </c:pt>
                </c:lvl>
              </c:multiLvlStrCache>
            </c:multiLvlStrRef>
          </c:cat>
          <c:val>
            <c:numRef>
              <c:f>'PERNIL DE CERDO'!$E$30:$E$40</c:f>
              <c:numCache>
                <c:formatCode>_(* #,##0.00_);_(* \(#,##0.00\);_(* "-"??_);_(@_)</c:formatCode>
                <c:ptCount val="11"/>
                <c:pt idx="1">
                  <c:v>0</c:v>
                </c:pt>
                <c:pt idx="2">
                  <c:v>12498.6</c:v>
                </c:pt>
                <c:pt idx="3">
                  <c:v>4043.864</c:v>
                </c:pt>
                <c:pt idx="4">
                  <c:v>23.02</c:v>
                </c:pt>
                <c:pt idx="5">
                  <c:v>600.71</c:v>
                </c:pt>
                <c:pt idx="6">
                  <c:v>1969.3</c:v>
                </c:pt>
                <c:pt idx="7">
                  <c:v>45.66</c:v>
                </c:pt>
                <c:pt idx="8">
                  <c:v>520</c:v>
                </c:pt>
                <c:pt idx="9">
                  <c:v>35.200000000000003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D-40E4-8B88-A6938397FD7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'PERNIL DE CERDO'!$B$30:$C$40</c:f>
              <c:multiLvlStrCache>
                <c:ptCount val="11"/>
                <c:lvl>
                  <c:pt idx="1">
                    <c:v>DESCRIPCIÓN</c:v>
                  </c:pt>
                  <c:pt idx="2">
                    <c:v>Malla Ahumada SQRU X 45 M.</c:v>
                  </c:pt>
                  <c:pt idx="3">
                    <c:v>Malla ZIP-NET -28-P368/50GR- Roja y Verde -45mts</c:v>
                  </c:pt>
                  <c:pt idx="4">
                    <c:v>Clips HC25-3218T. Carrete x 2,400 unidades.</c:v>
                  </c:pt>
                  <c:pt idx="5">
                    <c:v>LAM SUP TRANS ECOWEB M/PAUV 60U 301MM   </c:v>
                  </c:pt>
                  <c:pt idx="6">
                    <c:v>Lámina Inferior Sudpack GVA 200 BT 323 MM (8.MILS) 1 Rollo x 300 metros</c:v>
                  </c:pt>
                  <c:pt idx="7">
                    <c:v>Lazos Poly-Clip LTDA GSA22 Rollo x 3.500 unidades de Lazadas</c:v>
                  </c:pt>
                  <c:pt idx="8">
                    <c:v>Salsa de Ciruelas x 80 g.</c:v>
                  </c:pt>
                  <c:pt idx="9">
                    <c:v>Etiqueta polipropileno brillante 100 x 80</c:v>
                  </c:pt>
                  <c:pt idx="10">
                    <c:v>TOTAL</c:v>
                  </c:pt>
                </c:lvl>
                <c:lvl>
                  <c:pt idx="0">
                    <c:v>MATERIAL DE EMPAQUE</c:v>
                  </c:pt>
                  <c:pt idx="1">
                    <c:v>CÓDIGO</c:v>
                  </c:pt>
                </c:lvl>
              </c:multiLvlStrCache>
            </c:multiLvlStrRef>
          </c:cat>
          <c:val>
            <c:numRef>
              <c:f>'PERNIL DE CERDO'!$F$30:$F$40</c:f>
              <c:numCache>
                <c:formatCode>_(* #,##0.00_);_(* \(#,##0.00\);_(* "-"??_);_(@_)</c:formatCode>
                <c:ptCount val="11"/>
                <c:pt idx="1">
                  <c:v>0</c:v>
                </c:pt>
                <c:pt idx="2" formatCode="_-* #,##0_-;\-* #,##0_-;_-* &quot;-&quot;??_-;_-@_-">
                  <c:v>2249.748</c:v>
                </c:pt>
                <c:pt idx="3" formatCode="_-* #,##0_-;\-* #,##0_-;_-* &quot;-&quot;??_-;_-@_-">
                  <c:v>727.89552000000003</c:v>
                </c:pt>
                <c:pt idx="4" formatCode="_-* #,##0_-;\-* #,##0_-;_-* &quot;-&quot;??_-;_-@_-">
                  <c:v>46.04</c:v>
                </c:pt>
                <c:pt idx="5" formatCode="_-* #,##0_-;\-* #,##0_-;_-* &quot;-&quot;??_-;_-@_-">
                  <c:v>180.21299999999999</c:v>
                </c:pt>
                <c:pt idx="6" formatCode="_-* #,##0_-;\-* #,##0_-;_-* &quot;-&quot;??_-;_-@_-">
                  <c:v>590.79</c:v>
                </c:pt>
                <c:pt idx="7" formatCode="_-* #,##0_-;\-* #,##0_-;_-* &quot;-&quot;??_-;_-@_-">
                  <c:v>45.66</c:v>
                </c:pt>
                <c:pt idx="8" formatCode="_-* #,##0_-;\-* #,##0_-;_-* &quot;-&quot;??_-;_-@_-">
                  <c:v>1040</c:v>
                </c:pt>
                <c:pt idx="9" formatCode="_-* #,##0_-;\-* #,##0_-;_-* &quot;-&quot;??_-;_-@_-">
                  <c:v>35.200000000000003</c:v>
                </c:pt>
                <c:pt idx="10" formatCode="_-* #,##0_-;\-* #,##0_-;_-* &quot;-&quot;??_-;_-@_-">
                  <c:v>4915.5465199999999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2D-40E4-8B88-A6938397FD7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'PERNIL DE CERDO'!$B$30:$C$40</c:f>
              <c:multiLvlStrCache>
                <c:ptCount val="11"/>
                <c:lvl>
                  <c:pt idx="1">
                    <c:v>DESCRIPCIÓN</c:v>
                  </c:pt>
                  <c:pt idx="2">
                    <c:v>Malla Ahumada SQRU X 45 M.</c:v>
                  </c:pt>
                  <c:pt idx="3">
                    <c:v>Malla ZIP-NET -28-P368/50GR- Roja y Verde -45mts</c:v>
                  </c:pt>
                  <c:pt idx="4">
                    <c:v>Clips HC25-3218T. Carrete x 2,400 unidades.</c:v>
                  </c:pt>
                  <c:pt idx="5">
                    <c:v>LAM SUP TRANS ECOWEB M/PAUV 60U 301MM   </c:v>
                  </c:pt>
                  <c:pt idx="6">
                    <c:v>Lámina Inferior Sudpack GVA 200 BT 323 MM (8.MILS) 1 Rollo x 300 metros</c:v>
                  </c:pt>
                  <c:pt idx="7">
                    <c:v>Lazos Poly-Clip LTDA GSA22 Rollo x 3.500 unidades de Lazadas</c:v>
                  </c:pt>
                  <c:pt idx="8">
                    <c:v>Salsa de Ciruelas x 80 g.</c:v>
                  </c:pt>
                  <c:pt idx="9">
                    <c:v>Etiqueta polipropileno brillante 100 x 80</c:v>
                  </c:pt>
                  <c:pt idx="10">
                    <c:v>TOTAL</c:v>
                  </c:pt>
                </c:lvl>
                <c:lvl>
                  <c:pt idx="0">
                    <c:v>MATERIAL DE EMPAQUE</c:v>
                  </c:pt>
                  <c:pt idx="1">
                    <c:v>CÓDIGO</c:v>
                  </c:pt>
                </c:lvl>
              </c:multiLvlStrCache>
            </c:multiLvlStrRef>
          </c:cat>
          <c:val>
            <c:numRef>
              <c:f>'PERNIL DE CERDO'!$G$30:$G$40</c:f>
              <c:numCache>
                <c:formatCode>_(* #,##0.00_);_(* \(#,##0.00\);_(* "-"??_);_(@_)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7D2D-40E4-8B88-A6938397FD7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'PERNIL DE CERDO'!$B$30:$C$40</c:f>
              <c:multiLvlStrCache>
                <c:ptCount val="11"/>
                <c:lvl>
                  <c:pt idx="1">
                    <c:v>DESCRIPCIÓN</c:v>
                  </c:pt>
                  <c:pt idx="2">
                    <c:v>Malla Ahumada SQRU X 45 M.</c:v>
                  </c:pt>
                  <c:pt idx="3">
                    <c:v>Malla ZIP-NET -28-P368/50GR- Roja y Verde -45mts</c:v>
                  </c:pt>
                  <c:pt idx="4">
                    <c:v>Clips HC25-3218T. Carrete x 2,400 unidades.</c:v>
                  </c:pt>
                  <c:pt idx="5">
                    <c:v>LAM SUP TRANS ECOWEB M/PAUV 60U 301MM   </c:v>
                  </c:pt>
                  <c:pt idx="6">
                    <c:v>Lámina Inferior Sudpack GVA 200 BT 323 MM (8.MILS) 1 Rollo x 300 metros</c:v>
                  </c:pt>
                  <c:pt idx="7">
                    <c:v>Lazos Poly-Clip LTDA GSA22 Rollo x 3.500 unidades de Lazadas</c:v>
                  </c:pt>
                  <c:pt idx="8">
                    <c:v>Salsa de Ciruelas x 80 g.</c:v>
                  </c:pt>
                  <c:pt idx="9">
                    <c:v>Etiqueta polipropileno brillante 100 x 80</c:v>
                  </c:pt>
                  <c:pt idx="10">
                    <c:v>TOTAL</c:v>
                  </c:pt>
                </c:lvl>
                <c:lvl>
                  <c:pt idx="0">
                    <c:v>MATERIAL DE EMPAQUE</c:v>
                  </c:pt>
                  <c:pt idx="1">
                    <c:v>CÓDIGO</c:v>
                  </c:pt>
                </c:lvl>
              </c:multiLvlStrCache>
            </c:multiLvlStrRef>
          </c:cat>
          <c:val>
            <c:numRef>
              <c:f>'PERNIL DE CERDO'!$H$30:$H$40</c:f>
              <c:numCache>
                <c:formatCode>_(* #,##0.00_);_(* \(#,##0.00\);_(* "-"??_);_(@_)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4-7D2D-40E4-8B88-A6938397F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101704"/>
        <c:axId val="876095472"/>
      </c:barChart>
      <c:catAx>
        <c:axId val="876101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095472"/>
        <c:crosses val="autoZero"/>
        <c:auto val="1"/>
        <c:lblAlgn val="ctr"/>
        <c:lblOffset val="100"/>
        <c:noMultiLvlLbl val="0"/>
      </c:catAx>
      <c:valAx>
        <c:axId val="87609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10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49D01A-5090-4271-BF12-64A9B5B52748}">
  <sheetPr codeName="Gráfico1"/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F5D3F5-C7A3-4671-AEDA-D4209B99F5DA}">
  <sheetPr codeName="Gráfico4"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64C5A18-C7AC-4F6E-A507-9E86CBA15C93}">
  <sheetPr codeName="Gráfico5"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CC238F-74B9-4999-84BC-C9CB08F42760}">
  <sheetPr codeName="Gráfico6"/>
  <sheetViews>
    <sheetView zoomScale="7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BA1511-BED1-4973-A61C-A593DBC67A01}">
  <sheetPr codeName="Gráfico7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1E5AC5-03FE-4C4A-A313-DC48B42C8FD9}">
  <sheetPr codeName="Gráfico8"/>
  <sheetViews>
    <sheetView zoomScale="70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13D4D01-15FA-478B-B8A7-719013C1D548}">
  <sheetPr codeName="Gráfico89"/>
  <sheetViews>
    <sheetView zoomScale="4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017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30121C-0EB3-BAB5-2FEE-BCFF3C89B2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0.00586</cdr:x>
      <cdr:y>0.00808</cdr:y>
    </cdr:from>
    <cdr:to>
      <cdr:x>0.12894</cdr:x>
      <cdr:y>0.12485</cdr:y>
    </cdr:to>
    <cdr:pic>
      <cdr:nvPicPr>
        <cdr:cNvPr id="4" name="Imagen 3">
          <a:extLst xmlns:a="http://schemas.openxmlformats.org/drawingml/2006/main">
            <a:ext uri="{FF2B5EF4-FFF2-40B4-BE49-F238E27FC236}">
              <a16:creationId xmlns:a16="http://schemas.microsoft.com/office/drawing/2014/main" id="{8A07097B-4F89-B21B-EE28-52761062FA7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 t="12727" b="18182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1066800" cy="7340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017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87BC6D-823F-F8EF-21BA-F17AD1E8C47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0.00586</cdr:x>
      <cdr:y>0.00808</cdr:y>
    </cdr:from>
    <cdr:to>
      <cdr:x>0.12894</cdr:x>
      <cdr:y>0.12485</cdr:y>
    </cdr:to>
    <cdr:pic>
      <cdr:nvPicPr>
        <cdr:cNvPr id="2" name="Imagen 1">
          <a:extLst xmlns:a="http://schemas.openxmlformats.org/drawingml/2006/main">
            <a:ext uri="{FF2B5EF4-FFF2-40B4-BE49-F238E27FC236}">
              <a16:creationId xmlns:a16="http://schemas.microsoft.com/office/drawing/2014/main" id="{A175B401-4B2A-FEC9-B50F-B37CA3B7D73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 t="12727" b="18182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1066800" cy="7340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017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FBC54B-694D-E7B8-B5CD-2EBD2A70E0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0.00586</cdr:x>
      <cdr:y>0.00808</cdr:y>
    </cdr:from>
    <cdr:to>
      <cdr:x>0.12894</cdr:x>
      <cdr:y>0.12485</cdr:y>
    </cdr:to>
    <cdr:pic>
      <cdr:nvPicPr>
        <cdr:cNvPr id="2" name="Imagen 1">
          <a:extLst xmlns:a="http://schemas.openxmlformats.org/drawingml/2006/main">
            <a:ext uri="{FF2B5EF4-FFF2-40B4-BE49-F238E27FC236}">
              <a16:creationId xmlns:a16="http://schemas.microsoft.com/office/drawing/2014/main" id="{CE9DC3CA-6A3F-2C24-7145-00B0D8F801D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 t="12727" b="18182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1066800" cy="7340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017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025D6E-04E0-EC80-DFFE-A0DD311B58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0.00586</cdr:x>
      <cdr:y>0.00808</cdr:y>
    </cdr:from>
    <cdr:to>
      <cdr:x>0.12057</cdr:x>
      <cdr:y>0.11691</cdr:y>
    </cdr:to>
    <cdr:pic>
      <cdr:nvPicPr>
        <cdr:cNvPr id="2" name="Imagen 1">
          <a:extLst xmlns:a="http://schemas.openxmlformats.org/drawingml/2006/main">
            <a:ext uri="{FF2B5EF4-FFF2-40B4-BE49-F238E27FC236}">
              <a16:creationId xmlns:a16="http://schemas.microsoft.com/office/drawing/2014/main" id="{79E52B07-D399-587D-5444-8522622F6A5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 t="12727" b="18182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994229" cy="6841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017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9022DF-4DF7-29D3-41D9-714218F628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0.00963</cdr:x>
      <cdr:y>0.00808</cdr:y>
    </cdr:from>
    <cdr:to>
      <cdr:x>0.12433</cdr:x>
      <cdr:y>0.11691</cdr:y>
    </cdr:to>
    <cdr:pic>
      <cdr:nvPicPr>
        <cdr:cNvPr id="2" name="Imagen 1">
          <a:extLst xmlns:a="http://schemas.openxmlformats.org/drawingml/2006/main">
            <a:ext uri="{FF2B5EF4-FFF2-40B4-BE49-F238E27FC236}">
              <a16:creationId xmlns:a16="http://schemas.microsoft.com/office/drawing/2014/main" id="{8F16B695-1AA0-E865-93C9-599EA2DC84D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 t="12727" b="18182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83457" y="50800"/>
          <a:ext cx="994229" cy="6841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017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47FBA3-4DAB-99C3-5458-BEF9C3277A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0.00586</cdr:x>
      <cdr:y>0.00808</cdr:y>
    </cdr:from>
    <cdr:to>
      <cdr:x>0.12057</cdr:x>
      <cdr:y>0.11691</cdr:y>
    </cdr:to>
    <cdr:pic>
      <cdr:nvPicPr>
        <cdr:cNvPr id="2" name="Imagen 1">
          <a:extLst xmlns:a="http://schemas.openxmlformats.org/drawingml/2006/main">
            <a:ext uri="{FF2B5EF4-FFF2-40B4-BE49-F238E27FC236}">
              <a16:creationId xmlns:a16="http://schemas.microsoft.com/office/drawing/2014/main" id="{F391C284-833E-5E1E-4EF4-1B51B35462F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 t="12727" b="18182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994229" cy="6841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31</xdr:row>
      <xdr:rowOff>185737</xdr:rowOff>
    </xdr:from>
    <xdr:to>
      <xdr:col>4</xdr:col>
      <xdr:colOff>647700</xdr:colOff>
      <xdr:row>46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9DA6B3-1449-49B3-B0B0-9850B5CCC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84</xdr:row>
      <xdr:rowOff>233361</xdr:rowOff>
    </xdr:from>
    <xdr:to>
      <xdr:col>5</xdr:col>
      <xdr:colOff>133350</xdr:colOff>
      <xdr:row>101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396426-103D-4AE8-8F01-9F2AA3DB8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1262744</xdr:colOff>
      <xdr:row>64</xdr:row>
      <xdr:rowOff>65314</xdr:rowOff>
    </xdr:from>
    <xdr:to>
      <xdr:col>7</xdr:col>
      <xdr:colOff>805543</xdr:colOff>
      <xdr:row>80</xdr:row>
      <xdr:rowOff>21772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1F8703-D3D4-B829-2304-9EB33B5556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739" t="30806" r="8543" b="34069"/>
        <a:stretch/>
      </xdr:blipFill>
      <xdr:spPr>
        <a:xfrm>
          <a:off x="1785258" y="11321143"/>
          <a:ext cx="9590314" cy="256902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0780" cy="626326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4DE2ED-850B-B068-970C-9DE08FC065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4.%20Abril/Septiem%20%20costos%20Base%20de%20Datos%20ME%20-%20MPNC%20-%20MPC.xlsx" TargetMode="External"/><Relationship Id="rId2" Type="http://schemas.openxmlformats.org/officeDocument/2006/relationships/externalLinkPath" Target="https://productosalimenticiossev-my.sharepoint.com/personal/analista_id_alimentossevilla_com/Documents/Escritorio/11.%20Indicador%20I+D/2025/9.%20Septiembre/Septiem%20%20costos%20Base%20de%20Datos%20ME%20-%20MPNC%20-%20MPC.xlsx" TargetMode="External"/><Relationship Id="rId1" Type="http://schemas.openxmlformats.org/officeDocument/2006/relationships/externalLinkPath" Target="/personal/analista_id_alimentossevilla_com/Documents/Escritorio/11.%20Indicador%20I+D/2026/4.%20Abril/Septiem%20%20costos%20Base%20de%20Datos%20ME%20-%20MPNC%20-%20MP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ductosalimenticiossev-my.sharepoint.com/personal/analista_id_alimentossevilla_com/Documents/Escritorio/11.%20Indicador%20I+D/2026/6.%20Junio/Junio%20%20costos%20Base%20de%20Datos%20ME%20-%20MPNC%20-%20MPC.xlsx" TargetMode="External"/><Relationship Id="rId1" Type="http://schemas.openxmlformats.org/officeDocument/2006/relationships/externalLinkPath" Target="Junio%20%20costos%20Base%20de%20Datos%20ME%20-%20MPNC%20-%20MPC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4.%20Abril/Marzo%20costos%20Base%20de%20Datos%20ME%20-%20MPNC%20-%20MPC.xlsx" TargetMode="External"/><Relationship Id="rId2" Type="http://schemas.openxmlformats.org/officeDocument/2006/relationships/externalLinkPath" Target="https://productosalimenticiossev-my.sharepoint.com/personal/analista_id_alimentossevilla_com/Documents/Escritorio/11.%20Indicador%20I+D/2026/3.%20Marzo/Marzo%20costos%20Base%20de%20Datos%20ME%20-%20MPNC%20-%20MPC.xlsx" TargetMode="External"/><Relationship Id="rId1" Type="http://schemas.openxmlformats.org/officeDocument/2006/relationships/externalLinkPath" Target="/personal/analista_id_alimentossevilla_com/Documents/Escritorio/11.%20Indicador%20I+D/2026/4.%20Abril/Marzo%20costos%20Base%20de%20Datos%20ME%20-%20MPNC%20-%20MPC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alista%20ID\Desktop\11.%20Indicador%20I+D\2026\4.%20Abril\Abril%20%20costos%20Base%20de%20Datos%20ME%20-%20MPNC%20-%20MPC.xlsx" TargetMode="External"/><Relationship Id="rId1" Type="http://schemas.openxmlformats.org/officeDocument/2006/relationships/externalLinkPath" Target="Abril%20%20costos%20Base%20de%20Datos%20ME%20-%20MPNC%20-%20MPC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5/12.%20Diciembre/Diciembre.xlsx" TargetMode="External"/><Relationship Id="rId2" Type="http://schemas.openxmlformats.org/officeDocument/2006/relationships/externalLinkPath" Target="https://productosalimenticiossev-my.sharepoint.com/personal/analista_id_alimentossevilla_com/Documents/Escritorio/11.%20Indicador%20I+D/2025/12.%20Diciembre/Diciembre.xlsx" TargetMode="External"/><Relationship Id="rId1" Type="http://schemas.openxmlformats.org/officeDocument/2006/relationships/externalLinkPath" Target="/personal/analista_id_alimentossevilla_com/Documents/Escritorio/11.%20Indicador%20I+D/2025/12.%20Diciembre/Diciembre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4.%20Abril/Febrero%20costos%20Base%20de%20Datos%20ME%20-%20MPNC%20-%20MPC.xlsx" TargetMode="External"/><Relationship Id="rId2" Type="http://schemas.openxmlformats.org/officeDocument/2006/relationships/externalLinkPath" Target="https://productosalimenticiossev-my.sharepoint.com/personal/analista_id_alimentossevilla_com/Documents/Escritorio/11.%20Indicador%20I+D/2026/2.%20Febrero/Febrero%20costos%20Base%20de%20Datos%20ME%20-%20MPNC%20-%20MPC.xlsx" TargetMode="External"/><Relationship Id="rId1" Type="http://schemas.openxmlformats.org/officeDocument/2006/relationships/externalLinkPath" Target="/personal/analista_id_alimentossevilla_com/Documents/Escritorio/11.%20Indicador%20I+D/2026/4.%20Abril/Febrero%20costos%20Base%20de%20Datos%20ME%20-%20MPNC%20-%20MPC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1.%20Enero/Enero.xlsx" TargetMode="External"/><Relationship Id="rId2" Type="http://schemas.openxmlformats.org/officeDocument/2006/relationships/externalLinkPath" Target="https://productosalimenticiossev-my.sharepoint.com/personal/analista_id_alimentossevilla_com/Documents/Escritorio/11.%20Indicador%20I+D/2026/1.%20Enero/Enero.xlsx" TargetMode="External"/><Relationship Id="rId1" Type="http://schemas.openxmlformats.org/officeDocument/2006/relationships/externalLinkPath" Target="/personal/analista_id_alimentossevilla_com/Documents/Escritorio/11.%20Indicador%20I+D/2026/1.%20Enero/Enero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5/7.%20Julio/Febr%20costos%20Base%20de%20Datos%20ME%20-%20MPNC%20-%20MPC.xlsx" TargetMode="External"/><Relationship Id="rId2" Type="http://schemas.openxmlformats.org/officeDocument/2006/relationships/externalLinkPath" Target="https://productosalimenticiossev-my.sharepoint.com/personal/analista_id_alimentossevilla_com/Documents/Escritorio/11.%20Indicador%20I+D/2025/2.%20Febrero/Febr%20costos%20Base%20de%20Datos%20ME%20-%20MPNC%20-%20MPC.xlsx" TargetMode="External"/><Relationship Id="rId1" Type="http://schemas.openxmlformats.org/officeDocument/2006/relationships/externalLinkPath" Target="/personal/analista_id_alimentossevilla_com/Documents/Escritorio/11.%20Indicador%20I+D/2025/7.%20Julio/Febr%20costos%20Base%20de%20Datos%20ME%20-%20MPNC%20-%20MPC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irector_id_alimentossevilla_com/Documents/Escritorio/INDICADORES/MARGEN%20BRUTO/COSTEOS%202025/7.%20JULIO%202025/Julio%20(1).xlsx" TargetMode="External"/><Relationship Id="rId2" Type="http://schemas.openxmlformats.org/officeDocument/2006/relationships/externalLinkPath" Target="https://productosalimenticiossev-my.sharepoint.com/personal/director_id_alimentossevilla_com/Documents/Escritorio/INDICADORES/MARGEN%20BRUTO/COSTEOS%202025/7.%20JULIO%202025/Julio%20(1).xlsx" TargetMode="External"/><Relationship Id="rId1" Type="http://schemas.openxmlformats.org/officeDocument/2006/relationships/externalLinkPath" Target="/personal/director_id_alimentossevilla_com/Documents/Escritorio/INDICADORES/MARGEN%20BRUTO/COSTEOS%202025/7.%20JULIO%202025/Julio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Analista%20ID/OneDrive%20-%20PRODUCTOS%20ALIMENTICIOS%20SEVILLA%20LTDA/Escritorio/11.%20Indicador%20I+D/2025/12.%20Diciembre/Diciembre.xlsx" TargetMode="External"/><Relationship Id="rId2" Type="http://schemas.openxmlformats.org/officeDocument/2006/relationships/externalLinkPath" Target="file:///C:\Users\Analista%20ID\OneDrive%20-%20PRODUCTOS%20ALIMENTICIOS%20SEVILLA%20LTDA\Escritorio\11.%20Indicador%20I+D\2025\12.%20Diciembre\Diciembre.xlsx" TargetMode="External"/><Relationship Id="rId1" Type="http://schemas.openxmlformats.org/officeDocument/2006/relationships/externalLinkPath" Target="/Users/Analista%20ID/OneDrive%20-%20PRODUCTOS%20ALIMENTICIOS%20SEVILLA%20LTDA/Escritorio/11.%20Indicador%20I+D/2025/12.%20Diciembre/Diciembre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5/12.%20Diciembre/Septiem%20%20costos%20Base%20de%20Datos%20ME%20-%20MPNC%20-%20MPC.xlsx" TargetMode="External"/><Relationship Id="rId2" Type="http://schemas.openxmlformats.org/officeDocument/2006/relationships/externalLinkPath" Target="https://productosalimenticiossev-my.sharepoint.com/personal/analista_id_alimentossevilla_com/Documents/Escritorio/11.%20Indicador%20I+D/2025/9.%20Septiembre/Septiem%20%20costos%20Base%20de%20Datos%20ME%20-%20MPNC%20-%20MPC.xlsx" TargetMode="External"/><Relationship Id="rId1" Type="http://schemas.openxmlformats.org/officeDocument/2006/relationships/externalLinkPath" Target="/personal/analista_id_alimentossevilla_com/Documents/Escritorio/11.%20Indicador%20I+D/2025/12.%20Diciembre/Septiem%20%20costos%20Base%20de%20Datos%20ME%20-%20MPNC%20-%20MP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 refreshError="1">
        <row r="2">
          <cell r="B2" t="str">
            <v>SUPRA MEAT F451</v>
          </cell>
          <cell r="C2">
            <v>121007</v>
          </cell>
        </row>
        <row r="3">
          <cell r="B3" t="str">
            <v xml:space="preserve">PIEL DE POLLO                           </v>
          </cell>
          <cell r="C3">
            <v>1111002</v>
          </cell>
        </row>
        <row r="4">
          <cell r="B4" t="str">
            <v>PASTA DE POLLO IMPORTADA PREMIUM</v>
          </cell>
          <cell r="C4">
            <v>1112001</v>
          </cell>
        </row>
        <row r="5">
          <cell r="B5" t="str">
            <v>PASTA DE POLLO ESTANDAR</v>
          </cell>
          <cell r="C5">
            <v>1112002</v>
          </cell>
        </row>
        <row r="6">
          <cell r="B6" t="str">
            <v xml:space="preserve">RECORTE DE PECHUGA 95 5 SIN PIEL        </v>
          </cell>
          <cell r="C6">
            <v>1112005</v>
          </cell>
        </row>
        <row r="7">
          <cell r="B7" t="str">
            <v>TOCINO MULTICERDOS</v>
          </cell>
          <cell r="C7">
            <v>1121001</v>
          </cell>
        </row>
        <row r="8">
          <cell r="B8" t="str">
            <v>GRASA EMPELLA</v>
          </cell>
          <cell r="C8">
            <v>1121003</v>
          </cell>
        </row>
        <row r="9">
          <cell r="B9" t="str">
            <v>PIEL DE CERDO DESGRASADA</v>
          </cell>
          <cell r="C9">
            <v>1121004</v>
          </cell>
        </row>
        <row r="10">
          <cell r="B10" t="str">
            <v>TOCINO BARRIGUERO PARA INYECCION</v>
          </cell>
          <cell r="C10">
            <v>1121005</v>
          </cell>
        </row>
        <row r="11">
          <cell r="B11" t="str">
            <v>TOCINO PAPADA PARA INYECCION</v>
          </cell>
          <cell r="C11">
            <v>1121006</v>
          </cell>
        </row>
        <row r="12">
          <cell r="B12" t="str">
            <v>TOCINO NACIONAL</v>
          </cell>
          <cell r="C12">
            <v>1121009</v>
          </cell>
        </row>
        <row r="13">
          <cell r="B13" t="str">
            <v>BRAZUELO DE CERDO NACIONAL</v>
          </cell>
          <cell r="C13">
            <v>1122001</v>
          </cell>
        </row>
        <row r="14">
          <cell r="B14" t="str">
            <v>PIERNA DE CERDO</v>
          </cell>
          <cell r="C14">
            <v>1122002</v>
          </cell>
        </row>
        <row r="15">
          <cell r="B15" t="str">
            <v xml:space="preserve">RECORTE CERDO 80/20 NAL EMULSIFICADOS </v>
          </cell>
          <cell r="C15">
            <v>1122004</v>
          </cell>
        </row>
        <row r="16">
          <cell r="B16" t="str">
            <v>BRAZUELO DE CERDO IMPORTADO</v>
          </cell>
          <cell r="C16">
            <v>1122006</v>
          </cell>
        </row>
        <row r="17">
          <cell r="B17" t="str">
            <v>RECORTE DE CERDO 80/20 IMPORTADO</v>
          </cell>
          <cell r="C17">
            <v>1122007</v>
          </cell>
        </row>
        <row r="18">
          <cell r="B18" t="str">
            <v>RECORTE CERDO 80/20 NAL MEZCLADOS</v>
          </cell>
          <cell r="C18">
            <v>1122008</v>
          </cell>
        </row>
        <row r="19">
          <cell r="B19" t="str">
            <v>BRAZUELO DE CERDO NACIONAL (FORANEO)</v>
          </cell>
          <cell r="C19">
            <v>1122010</v>
          </cell>
        </row>
        <row r="20">
          <cell r="B20" t="str">
            <v>PIERNA DE CERDO NACIONAL (FORANEA)</v>
          </cell>
          <cell r="C20">
            <v>1122011</v>
          </cell>
        </row>
        <row r="21">
          <cell r="B21" t="str">
            <v xml:space="preserve">HIELO EN ESCAMAS                        </v>
          </cell>
          <cell r="C21">
            <v>1131001</v>
          </cell>
        </row>
        <row r="22">
          <cell r="B22" t="str">
            <v>CARNE DE TERNERA</v>
          </cell>
          <cell r="C22">
            <v>1141001</v>
          </cell>
        </row>
        <row r="23">
          <cell r="B23" t="str">
            <v>MEZCLA FOSFATOS CARFOSEL996 (GRANULAR)</v>
          </cell>
          <cell r="C23">
            <v>1210002</v>
          </cell>
        </row>
        <row r="24">
          <cell r="B24" t="str">
            <v xml:space="preserve">ERITORBATO DE SODIO                     </v>
          </cell>
          <cell r="C24">
            <v>1210003</v>
          </cell>
        </row>
        <row r="25">
          <cell r="B25" t="str">
            <v xml:space="preserve">SAL CURANTE AL 12 %                     </v>
          </cell>
          <cell r="C25">
            <v>1210004</v>
          </cell>
        </row>
        <row r="26">
          <cell r="B26" t="str">
            <v xml:space="preserve">SAL YODADA REFISAL                      </v>
          </cell>
          <cell r="C26">
            <v>1210005</v>
          </cell>
        </row>
        <row r="27">
          <cell r="B27" t="str">
            <v xml:space="preserve">SAL REDUCIDA EN SODIO 60/40             </v>
          </cell>
          <cell r="C27">
            <v>1210006</v>
          </cell>
        </row>
        <row r="28">
          <cell r="B28" t="str">
            <v>PIROFOSFATO ACIDO DE SODIO</v>
          </cell>
          <cell r="C28">
            <v>1210008</v>
          </cell>
        </row>
        <row r="29">
          <cell r="B29" t="str">
            <v xml:space="preserve">SABOR CERDO COCIDO                      </v>
          </cell>
          <cell r="C29">
            <v>1220001</v>
          </cell>
        </row>
        <row r="30">
          <cell r="B30" t="str">
            <v xml:space="preserve">AZUCAR REFINADA                         </v>
          </cell>
          <cell r="C30">
            <v>1220004</v>
          </cell>
        </row>
        <row r="31">
          <cell r="B31" t="str">
            <v xml:space="preserve">AJO MOLIDO DESHIDRATADO B.1             </v>
          </cell>
          <cell r="C31">
            <v>1220005</v>
          </cell>
        </row>
        <row r="32">
          <cell r="B32" t="str">
            <v xml:space="preserve">PIMIENTA BLANCA MOLIDA                  </v>
          </cell>
          <cell r="C32">
            <v>1220006</v>
          </cell>
        </row>
        <row r="33">
          <cell r="B33" t="str">
            <v>PIMIENTA NEGRA MOLIDA</v>
          </cell>
          <cell r="C33">
            <v>1220007</v>
          </cell>
        </row>
        <row r="34">
          <cell r="B34" t="str">
            <v xml:space="preserve">COMINO MOLIDO B                         </v>
          </cell>
          <cell r="C34">
            <v>1220008</v>
          </cell>
        </row>
        <row r="35">
          <cell r="B35" t="str">
            <v xml:space="preserve">CEBOLLA EN POLVO                        </v>
          </cell>
          <cell r="C35">
            <v>1220009</v>
          </cell>
        </row>
        <row r="36">
          <cell r="B36" t="str">
            <v xml:space="preserve">DEXTROSA                                </v>
          </cell>
          <cell r="C36">
            <v>1220010</v>
          </cell>
        </row>
        <row r="37">
          <cell r="B37" t="str">
            <v xml:space="preserve">ADITIVO BURGER MEAT 80 B NAT            </v>
          </cell>
          <cell r="C37">
            <v>1220011</v>
          </cell>
        </row>
        <row r="38">
          <cell r="B38" t="str">
            <v xml:space="preserve">APANADO NARANJA GRUESO                  </v>
          </cell>
          <cell r="C38">
            <v>1220012</v>
          </cell>
        </row>
        <row r="39">
          <cell r="B39" t="str">
            <v xml:space="preserve">AROMA SALCHICHON TRADICIONAL 84987B     </v>
          </cell>
          <cell r="C39">
            <v>1220013</v>
          </cell>
        </row>
        <row r="40">
          <cell r="B40" t="str">
            <v xml:space="preserve">PVH LIQUIDA M 1222                      </v>
          </cell>
          <cell r="C40">
            <v>1220014</v>
          </cell>
        </row>
        <row r="41">
          <cell r="B41" t="str">
            <v>MEZCLA LIQUIDA SALCHICHA</v>
          </cell>
          <cell r="C41">
            <v>1220015</v>
          </cell>
        </row>
        <row r="42">
          <cell r="B42" t="str">
            <v>SALSA DE CIRUELAS SOBRE X 80G TECNAS</v>
          </cell>
          <cell r="C42">
            <v>1220020</v>
          </cell>
        </row>
        <row r="43">
          <cell r="B43" t="str">
            <v>LUCTAROMA SCHA POLLO ASADO 82894B</v>
          </cell>
          <cell r="C43">
            <v>1220022</v>
          </cell>
        </row>
        <row r="44">
          <cell r="B44" t="str">
            <v xml:space="preserve">PREPARADO SABOR  CERVECERO NEO          </v>
          </cell>
          <cell r="C44">
            <v>1230003</v>
          </cell>
        </row>
        <row r="45">
          <cell r="B45" t="str">
            <v>PREPARADO SABOR CERVECERO SV GF</v>
          </cell>
          <cell r="C45">
            <v>1230004</v>
          </cell>
        </row>
        <row r="46">
          <cell r="B46" t="str">
            <v xml:space="preserve">PREPARADO SABOR CHORIZO CERDO           </v>
          </cell>
          <cell r="C46">
            <v>1230005</v>
          </cell>
        </row>
        <row r="47">
          <cell r="B47" t="str">
            <v xml:space="preserve">PREPARADO SABOR CHORIZO TERNERA         </v>
          </cell>
          <cell r="C47">
            <v>1230006</v>
          </cell>
        </row>
        <row r="48">
          <cell r="B48" t="str">
            <v xml:space="preserve">PREPARADO SABOR JAMON T 3391            </v>
          </cell>
          <cell r="C48">
            <v>1230008</v>
          </cell>
        </row>
        <row r="49">
          <cell r="B49" t="str">
            <v>PREPARADO SABOR CERVECERO PREMIUM SV LS</v>
          </cell>
          <cell r="C49">
            <v>1230009</v>
          </cell>
        </row>
        <row r="50">
          <cell r="B50" t="str">
            <v xml:space="preserve">TAROMA HAM                              </v>
          </cell>
          <cell r="C50">
            <v>1230010</v>
          </cell>
        </row>
        <row r="51">
          <cell r="B51" t="str">
            <v xml:space="preserve">BATIDO COMPLETO                         </v>
          </cell>
          <cell r="C51">
            <v>1230011</v>
          </cell>
        </row>
        <row r="52">
          <cell r="B52" t="str">
            <v>CEBOLLA PUERRO</v>
          </cell>
          <cell r="C52">
            <v>1230012</v>
          </cell>
        </row>
        <row r="53">
          <cell r="B53" t="str">
            <v>PAPRIKA POLVO</v>
          </cell>
          <cell r="C53">
            <v>1230013</v>
          </cell>
        </row>
        <row r="54">
          <cell r="B54" t="str">
            <v>AROMA SCHON DE POLLO 88447B LUCTA</v>
          </cell>
          <cell r="C54">
            <v>1230016</v>
          </cell>
        </row>
        <row r="55">
          <cell r="B55" t="str">
            <v xml:space="preserve">AROMA MORTADELA TRAD 88896B </v>
          </cell>
          <cell r="C55">
            <v>1230017</v>
          </cell>
        </row>
        <row r="56">
          <cell r="B56" t="str">
            <v>LUCTAROMA CEBOLLA FRITA 82973B</v>
          </cell>
          <cell r="C56">
            <v>1230018</v>
          </cell>
        </row>
        <row r="57">
          <cell r="B57" t="str">
            <v>LUCTAROMA CHORIZO ANTIOQUEÑO 81110B</v>
          </cell>
          <cell r="C57">
            <v>1230019</v>
          </cell>
        </row>
        <row r="58">
          <cell r="B58" t="str">
            <v>CILANTRO MOLIDO</v>
          </cell>
          <cell r="C58">
            <v>1230020</v>
          </cell>
        </row>
        <row r="59">
          <cell r="B59" t="str">
            <v>LUCTAROMA AHUMADO TOCINETA 85812B</v>
          </cell>
          <cell r="C59">
            <v>1230023</v>
          </cell>
        </row>
        <row r="60">
          <cell r="B60" t="str">
            <v xml:space="preserve">CONSERVANTE INBAC ACN NA                </v>
          </cell>
          <cell r="C60">
            <v>1240002</v>
          </cell>
        </row>
        <row r="61">
          <cell r="B61" t="str">
            <v>NISINA</v>
          </cell>
          <cell r="C61">
            <v>1240003</v>
          </cell>
        </row>
        <row r="62">
          <cell r="B62" t="str">
            <v>ACETATO DE SODIO</v>
          </cell>
          <cell r="C62">
            <v>1240004</v>
          </cell>
        </row>
        <row r="63">
          <cell r="B63" t="str">
            <v>CONSERVANTE BOMBAL VNX</v>
          </cell>
          <cell r="C63">
            <v>1240005</v>
          </cell>
        </row>
        <row r="64">
          <cell r="B64" t="str">
            <v xml:space="preserve">COLOR CARAMELO                          </v>
          </cell>
          <cell r="C64">
            <v>1250001</v>
          </cell>
        </row>
        <row r="65">
          <cell r="B65" t="str">
            <v xml:space="preserve">COLOR LOY NARANJA LIQ A10 1             </v>
          </cell>
          <cell r="C65">
            <v>1250002</v>
          </cell>
        </row>
        <row r="66">
          <cell r="B66" t="str">
            <v>COLOR NATURAL HEMOGLOBINA I RED</v>
          </cell>
          <cell r="C66">
            <v>1250003</v>
          </cell>
        </row>
        <row r="67">
          <cell r="B67" t="str">
            <v>COLOR NATURAL NARANJA PR801WD</v>
          </cell>
          <cell r="C67">
            <v>1250004</v>
          </cell>
        </row>
        <row r="68">
          <cell r="B68" t="str">
            <v xml:space="preserve">COLOR NATURAL NARANJA RA 40-3 9827      </v>
          </cell>
          <cell r="C68">
            <v>1250005</v>
          </cell>
        </row>
        <row r="69">
          <cell r="B69" t="str">
            <v xml:space="preserve">ENTURBIANTE EN POLVO DPA                </v>
          </cell>
          <cell r="C69">
            <v>1250007</v>
          </cell>
        </row>
        <row r="70">
          <cell r="B70" t="str">
            <v>LINICOL RED V. X 22 kg (L)</v>
          </cell>
          <cell r="C70">
            <v>1250008</v>
          </cell>
        </row>
        <row r="71">
          <cell r="B71" t="str">
            <v>COLOR NATURAL ROJO AC150</v>
          </cell>
          <cell r="C71">
            <v>1250009</v>
          </cell>
        </row>
        <row r="72">
          <cell r="B72" t="str">
            <v>PLASMA PORCINO</v>
          </cell>
          <cell r="C72">
            <v>1260005</v>
          </cell>
        </row>
        <row r="73">
          <cell r="B73" t="str">
            <v xml:space="preserve">EXTRACTO PROTEICO LC 300                </v>
          </cell>
          <cell r="C73">
            <v>1260006</v>
          </cell>
        </row>
        <row r="74">
          <cell r="B74" t="str">
            <v>PROTEINA TEXTURIZADA DE SOYA 70%</v>
          </cell>
          <cell r="C74">
            <v>1260008</v>
          </cell>
        </row>
        <row r="75">
          <cell r="B75" t="str">
            <v>PROTEINA CONCENTRADA DE SOYA 70%</v>
          </cell>
          <cell r="C75">
            <v>1260009</v>
          </cell>
        </row>
        <row r="76">
          <cell r="B76" t="str">
            <v>PROTEINA CONCENTRADA SOYA 65%</v>
          </cell>
          <cell r="C76">
            <v>1260010</v>
          </cell>
        </row>
        <row r="77">
          <cell r="B77" t="str">
            <v>ALMIDON DE PAPA</v>
          </cell>
          <cell r="C77">
            <v>1260011</v>
          </cell>
        </row>
        <row r="78">
          <cell r="B78" t="str">
            <v xml:space="preserve">SOLU TEX GRASAS NEUTRO                  </v>
          </cell>
          <cell r="C78">
            <v>1260012</v>
          </cell>
        </row>
        <row r="79">
          <cell r="B79" t="str">
            <v>PROTEINA TEXTURIZADA DE TRIGO - HAMB CJA</v>
          </cell>
          <cell r="C79">
            <v>1260013</v>
          </cell>
        </row>
        <row r="80">
          <cell r="B80" t="str">
            <v>CARRAGENINA</v>
          </cell>
          <cell r="C80">
            <v>1260014</v>
          </cell>
        </row>
        <row r="81">
          <cell r="B81" t="str">
            <v>ALMIDON DE YUCA</v>
          </cell>
          <cell r="C81">
            <v>1260015</v>
          </cell>
        </row>
        <row r="82">
          <cell r="B82" t="str">
            <v>SUPERGEL GRANULOS CURADOS PLUS</v>
          </cell>
          <cell r="C82">
            <v>1260016</v>
          </cell>
        </row>
        <row r="83">
          <cell r="B83" t="str">
            <v>ALMIDON MODIFICADO DE MAIZ</v>
          </cell>
          <cell r="C83">
            <v>1260017</v>
          </cell>
        </row>
        <row r="84">
          <cell r="B84" t="str">
            <v>PROTEINA TEXTURIZADA DE TRIGO - MNESA</v>
          </cell>
          <cell r="C84">
            <v>1260018</v>
          </cell>
        </row>
        <row r="85">
          <cell r="B85" t="str">
            <v>PROTEINA COLAGENICA ALTA FUNCIONALIDAD</v>
          </cell>
          <cell r="C85">
            <v>1260022</v>
          </cell>
        </row>
        <row r="86">
          <cell r="B86" t="str">
            <v>TRANSGLUTAMINASA PROLINK MB-MM BOLSA 1KG</v>
          </cell>
          <cell r="C86">
            <v>1260023</v>
          </cell>
        </row>
        <row r="87">
          <cell r="B87" t="str">
            <v>HUMO TRUSMOKE 45</v>
          </cell>
          <cell r="C87">
            <v>1270003</v>
          </cell>
        </row>
        <row r="88">
          <cell r="B88" t="str">
            <v>HUMO TRUSMOKE OIL EX</v>
          </cell>
          <cell r="C88">
            <v>1270004</v>
          </cell>
        </row>
        <row r="89">
          <cell r="B89" t="str">
            <v>HUMO ENVIRO 24P X 4KG</v>
          </cell>
          <cell r="C89">
            <v>1270006</v>
          </cell>
        </row>
        <row r="90">
          <cell r="B90" t="str">
            <v>TBBQ GSF DRY X 500 G</v>
          </cell>
          <cell r="C90">
            <v>1270007</v>
          </cell>
        </row>
        <row r="91">
          <cell r="B91" t="str">
            <v>TRUSMOKE 25 x 4 KG</v>
          </cell>
          <cell r="C91">
            <v>1270008</v>
          </cell>
        </row>
        <row r="92">
          <cell r="B92" t="str">
            <v>HUMO TRUSMOKE DRY x 20 KG</v>
          </cell>
          <cell r="C92">
            <v>1270009</v>
          </cell>
        </row>
        <row r="93">
          <cell r="B93" t="str">
            <v>MEZCLA PARA ELABORAR EMULSIONES CÁRNICAS</v>
          </cell>
          <cell r="C93">
            <v>1280002</v>
          </cell>
        </row>
        <row r="94">
          <cell r="B94" t="str">
            <v>NEUTRALIZADOR PARA EMULSIÓN</v>
          </cell>
          <cell r="C94">
            <v>1280003</v>
          </cell>
        </row>
        <row r="95">
          <cell r="B95" t="str">
            <v xml:space="preserve">LAM SUP JAMON VIANDE X300G 70X415MM     </v>
          </cell>
          <cell r="C95">
            <v>1310001</v>
          </cell>
        </row>
        <row r="96">
          <cell r="B96" t="str">
            <v xml:space="preserve">LAM SUP MDELA VIANDE 225G X 17UNDS 415  </v>
          </cell>
          <cell r="C96">
            <v>1310002</v>
          </cell>
        </row>
        <row r="97">
          <cell r="B97" t="str">
            <v>LAM SUP MDELA FAZAN X 225G X 14UNDS 302</v>
          </cell>
          <cell r="C97">
            <v>1310004</v>
          </cell>
        </row>
        <row r="98">
          <cell r="B98" t="str">
            <v xml:space="preserve">LAM SUP SALCHI SUPERPERRO FAIZAN 302    </v>
          </cell>
          <cell r="C98">
            <v>1310010</v>
          </cell>
        </row>
        <row r="99">
          <cell r="B99" t="str">
            <v xml:space="preserve">LAM SUP SALCHI VIANDE 450G X 16UNDS     </v>
          </cell>
          <cell r="C99">
            <v>1310011</v>
          </cell>
        </row>
        <row r="100">
          <cell r="B100" t="str">
            <v>LAM COMBO VIANDE</v>
          </cell>
          <cell r="C100">
            <v>1310012</v>
          </cell>
        </row>
        <row r="101">
          <cell r="B101" t="str">
            <v>LAM SUP MEGA COMBO FAIZAN X 900 G X 4 UD</v>
          </cell>
          <cell r="C101">
            <v>1310014</v>
          </cell>
        </row>
        <row r="102">
          <cell r="B102" t="str">
            <v xml:space="preserve">LAM SUP SALCHI VIANDE 225G X 8UNDS 415  </v>
          </cell>
          <cell r="C102">
            <v>1310015</v>
          </cell>
        </row>
        <row r="103">
          <cell r="B103" t="str">
            <v xml:space="preserve">LAM SUP TRANS ECOWEB M/PAUV 60U 404MM   </v>
          </cell>
          <cell r="C103">
            <v>1310017</v>
          </cell>
        </row>
        <row r="104">
          <cell r="B104" t="str">
            <v>LAM SUP TRANS ECOWEB M/PAUV 42U 301MM</v>
          </cell>
          <cell r="C104">
            <v>1310018</v>
          </cell>
        </row>
        <row r="105">
          <cell r="B105" t="str">
            <v xml:space="preserve">LAM SUP MINIPERRO 1000 40 UND           </v>
          </cell>
          <cell r="C105">
            <v>1310029</v>
          </cell>
        </row>
        <row r="106">
          <cell r="B106" t="str">
            <v>LAM SUP MEGA COMBO FAIZAN X 675 G X 3 UD</v>
          </cell>
          <cell r="C106">
            <v>1310031</v>
          </cell>
        </row>
        <row r="107">
          <cell r="B107" t="str">
            <v>LAM SUP SUPER PERRO D1 400 X 5 X 301 MM</v>
          </cell>
          <cell r="C107">
            <v>1310033</v>
          </cell>
        </row>
        <row r="108">
          <cell r="B108" t="str">
            <v>LAM SUP CHZO TERNERA D1 225 X 5 X 415 MM</v>
          </cell>
          <cell r="C108">
            <v>1310034</v>
          </cell>
        </row>
        <row r="109">
          <cell r="B109" t="str">
            <v>LAM SUP CHZO ANTIOQUEÑO D1 225X 5X415 MM</v>
          </cell>
          <cell r="C109">
            <v>1310035</v>
          </cell>
        </row>
        <row r="110">
          <cell r="B110" t="str">
            <v xml:space="preserve">LAM SUP SALCH CLASICA 225G 9UN 302 </v>
          </cell>
          <cell r="C110">
            <v>1310037</v>
          </cell>
        </row>
        <row r="111">
          <cell r="B111" t="str">
            <v>LAM SUP CHZO CON TERNERA 440 X 8U 302 MM</v>
          </cell>
          <cell r="C111">
            <v>1310039</v>
          </cell>
        </row>
        <row r="112">
          <cell r="B112" t="str">
            <v>LAM SUP SALCH DESAYUNO 115 X 5 UN 302 MM</v>
          </cell>
          <cell r="C112">
            <v>1310043</v>
          </cell>
        </row>
        <row r="113">
          <cell r="B113" t="str">
            <v>LAM SUP CHZO TERNERA 1100 G  20 U 302 MM</v>
          </cell>
          <cell r="C113">
            <v>1310046</v>
          </cell>
        </row>
        <row r="114">
          <cell r="B114" t="str">
            <v>LAM SUP CHZO SANTARO 300 G X 5 U 302 MM</v>
          </cell>
          <cell r="C114">
            <v>1310049</v>
          </cell>
        </row>
        <row r="115">
          <cell r="B115" t="str">
            <v>LAM SUP SCHA PERRO D1 240 X 6 X 302 MM</v>
          </cell>
          <cell r="C115">
            <v>1310054</v>
          </cell>
        </row>
        <row r="116">
          <cell r="B116" t="str">
            <v>LAM SUP CHZO TERNER 220 G X 4 U 302 MM</v>
          </cell>
          <cell r="C116">
            <v>1310055</v>
          </cell>
        </row>
        <row r="117">
          <cell r="B117" t="str">
            <v>LAM SUP CHZO CERDO 100 G X 2 U 302 MM</v>
          </cell>
          <cell r="C117">
            <v>1310056</v>
          </cell>
        </row>
        <row r="118">
          <cell r="B118" t="str">
            <v>LAM SUP CHZO CERDO 1000 G X 20 U 302 MM</v>
          </cell>
          <cell r="C118">
            <v>1310057</v>
          </cell>
        </row>
        <row r="119">
          <cell r="B119" t="str">
            <v>LAM SUP SALCH CLASICA 450G 18UN 302</v>
          </cell>
          <cell r="C119">
            <v>1310058</v>
          </cell>
        </row>
        <row r="120">
          <cell r="B120" t="str">
            <v xml:space="preserve">LAM SUP SALCH SUPER PERRO 500G 10UN 302 </v>
          </cell>
          <cell r="C120">
            <v>1310059</v>
          </cell>
        </row>
        <row r="121">
          <cell r="B121" t="str">
            <v>LAM SUP JAMON CERD PREM 120GR 6TJ 302MM</v>
          </cell>
          <cell r="C121">
            <v>1310060</v>
          </cell>
        </row>
        <row r="122">
          <cell r="B122" t="str">
            <v>LAM INFE 90-423 MM 3.5MILS</v>
          </cell>
          <cell r="C122">
            <v>1320003</v>
          </cell>
        </row>
        <row r="123">
          <cell r="B123" t="str">
            <v xml:space="preserve">LAM INFE SUDPACK GVA200 BT323 MM 8MM    </v>
          </cell>
          <cell r="C123">
            <v>1320004</v>
          </cell>
        </row>
        <row r="124">
          <cell r="B124" t="str">
            <v xml:space="preserve">LAM INFE SUDPACK GVP 130-323 MM         </v>
          </cell>
          <cell r="C124">
            <v>1320005</v>
          </cell>
        </row>
        <row r="125">
          <cell r="B125" t="str">
            <v>LAM INFE SUDPACK GVP130-423 MM</v>
          </cell>
          <cell r="C125">
            <v>1320006</v>
          </cell>
        </row>
        <row r="126">
          <cell r="B126" t="str">
            <v xml:space="preserve">LAM INFE SUDPACK GVA 200 BT 423MM       </v>
          </cell>
          <cell r="C126">
            <v>1320007</v>
          </cell>
        </row>
        <row r="127">
          <cell r="B127" t="str">
            <v>ETI CHORIZO DE CERDO 250G X 5 UDS</v>
          </cell>
          <cell r="C127">
            <v>1330001</v>
          </cell>
        </row>
        <row r="128">
          <cell r="B128" t="str">
            <v xml:space="preserve">ETI CHORIZO TERNERA X 120G X 2 UDS      </v>
          </cell>
          <cell r="C128">
            <v>1330002</v>
          </cell>
        </row>
        <row r="129">
          <cell r="B129" t="str">
            <v xml:space="preserve">ETI JAMON DE CERDO PREMIUM X 200G       </v>
          </cell>
          <cell r="C129">
            <v>1330004</v>
          </cell>
        </row>
        <row r="130">
          <cell r="B130" t="str">
            <v xml:space="preserve">ETI SALCHI DESAYU PREM X125G X5UNDS     </v>
          </cell>
          <cell r="C130">
            <v>1330006</v>
          </cell>
        </row>
        <row r="131">
          <cell r="B131" t="str">
            <v xml:space="preserve">ETI SALCHICHA DESAYUNO PREMIUM 480G     </v>
          </cell>
          <cell r="C131">
            <v>1330007</v>
          </cell>
        </row>
        <row r="132">
          <cell r="B132" t="str">
            <v xml:space="preserve">ETI SALCHIPERRO CALIENTE 480 G X 12UND  </v>
          </cell>
          <cell r="C132">
            <v>1330009</v>
          </cell>
        </row>
        <row r="133">
          <cell r="B133" t="str">
            <v>N/A ETI JAMON SANDUCHE 500GR 28TJ</v>
          </cell>
          <cell r="C133">
            <v>1330010</v>
          </cell>
        </row>
        <row r="134">
          <cell r="B134" t="str">
            <v>ETI CHZO TERNERA 440 G X 8U - G.EXITO</v>
          </cell>
          <cell r="C134">
            <v>1330011</v>
          </cell>
        </row>
        <row r="135">
          <cell r="B135" t="str">
            <v xml:space="preserve">ETI CHORIZO CERDO 500GR X 10U           </v>
          </cell>
          <cell r="C135">
            <v>1330012</v>
          </cell>
        </row>
        <row r="136">
          <cell r="B136" t="str">
            <v xml:space="preserve">ETI MEGA SALCHICHA X 560GR X 6U         </v>
          </cell>
          <cell r="C136">
            <v>1330013</v>
          </cell>
        </row>
        <row r="137">
          <cell r="B137" t="str">
            <v xml:space="preserve">ETI CHORIZO TERNERA 1020 17 UNDS        </v>
          </cell>
          <cell r="C137">
            <v>1330015</v>
          </cell>
        </row>
        <row r="138">
          <cell r="B138" t="str">
            <v>ETI MDLA CLASICA 225 G FAZAN</v>
          </cell>
          <cell r="C138">
            <v>1330018</v>
          </cell>
        </row>
        <row r="139">
          <cell r="B139" t="str">
            <v xml:space="preserve">ETI JAMON FAIZAN PREM 400G 20 TAJ       </v>
          </cell>
          <cell r="C139">
            <v>1330021</v>
          </cell>
        </row>
        <row r="140">
          <cell r="B140" t="str">
            <v>ETI BLANCA GENERICA 100 X 80</v>
          </cell>
          <cell r="C140">
            <v>1330022</v>
          </cell>
        </row>
        <row r="141">
          <cell r="B141" t="str">
            <v>ETI JAMON SANDUCHE 450 GR X 24 U</v>
          </cell>
          <cell r="C141">
            <v>1330028</v>
          </cell>
        </row>
        <row r="142">
          <cell r="B142" t="str">
            <v>ETI CHORIZO SANTA ROSANO X 260 G X 4 UND</v>
          </cell>
          <cell r="C142">
            <v>1330031</v>
          </cell>
        </row>
        <row r="143">
          <cell r="B143" t="str">
            <v>ETI SALCHICHA JUMBO X 450 G X 6 UND</v>
          </cell>
          <cell r="C143">
            <v>1330032</v>
          </cell>
        </row>
        <row r="144">
          <cell r="B144" t="str">
            <v>ETI CHORIZO SANTARROSANO X 65 G</v>
          </cell>
          <cell r="C144">
            <v>1330034</v>
          </cell>
        </row>
        <row r="145">
          <cell r="B145" t="str">
            <v>ETI CHORIZO CON TERNERA X 60 G</v>
          </cell>
          <cell r="C145">
            <v>1330035</v>
          </cell>
        </row>
        <row r="146">
          <cell r="B146" t="str">
            <v>ETI SCHA DESAYUNO X 35 G</v>
          </cell>
          <cell r="C146">
            <v>1330036</v>
          </cell>
        </row>
        <row r="147">
          <cell r="B147" t="str">
            <v>ETI SCHA JUMBO X 40 G</v>
          </cell>
          <cell r="C147">
            <v>1330037</v>
          </cell>
        </row>
        <row r="148">
          <cell r="B148" t="str">
            <v>ETI CHORIZO CERDO X 50 G</v>
          </cell>
          <cell r="C148">
            <v>1330038</v>
          </cell>
        </row>
        <row r="149">
          <cell r="B149" t="str">
            <v>ETI SALCHICHA DESAYUNO PREMIUM X 240G</v>
          </cell>
          <cell r="C149">
            <v>1330040</v>
          </cell>
        </row>
        <row r="150">
          <cell r="B150" t="str">
            <v>ETI JAMON SANDUCHE 225 GR X 12 U</v>
          </cell>
          <cell r="C150">
            <v>1330042</v>
          </cell>
        </row>
        <row r="151">
          <cell r="B151" t="str">
            <v>ETI CERVECERITO 50 GR X 5 TAJ</v>
          </cell>
          <cell r="C151">
            <v>1330043</v>
          </cell>
        </row>
        <row r="152">
          <cell r="B152" t="str">
            <v>ETI MDELA JAMONADA  225 GR X 12 U</v>
          </cell>
          <cell r="C152">
            <v>1330044</v>
          </cell>
        </row>
        <row r="153">
          <cell r="B153" t="str">
            <v>ETI RESPALDO CHORIZO CERDO 400GR X 8U</v>
          </cell>
          <cell r="C153">
            <v>1330045</v>
          </cell>
        </row>
        <row r="154">
          <cell r="B154" t="str">
            <v xml:space="preserve">ETI RESPALDO CHORIZO SANTA ROSANO X 480 </v>
          </cell>
          <cell r="C154">
            <v>1330046</v>
          </cell>
        </row>
        <row r="155">
          <cell r="B155" t="str">
            <v>ETI RESPALDO CHORIZO CERDO 250GR X 5U</v>
          </cell>
          <cell r="C155">
            <v>1330047</v>
          </cell>
        </row>
        <row r="156">
          <cell r="B156" t="str">
            <v>ETI RESPALDO SALCHICHA DESAYUNO 240</v>
          </cell>
          <cell r="C156">
            <v>1330048</v>
          </cell>
        </row>
        <row r="157">
          <cell r="B157" t="str">
            <v>ETI RESPALD CHORIZO SANTA ROSANO X 300 G</v>
          </cell>
          <cell r="C157">
            <v>1330049</v>
          </cell>
        </row>
        <row r="158">
          <cell r="B158" t="str">
            <v>ETI RESPALDO SCHA PERRO 480 G X 12UND</v>
          </cell>
          <cell r="C158">
            <v>1330050</v>
          </cell>
        </row>
        <row r="159">
          <cell r="B159" t="str">
            <v>ETI RESPALDO SCHA JUMBO 450 G X 6 UND</v>
          </cell>
          <cell r="C159">
            <v>1330051</v>
          </cell>
        </row>
        <row r="160">
          <cell r="B160" t="str">
            <v>ETI RESPALDO SCHA CLASICA 225 G X 9 UND</v>
          </cell>
          <cell r="C160">
            <v>1330052</v>
          </cell>
        </row>
        <row r="161">
          <cell r="B161" t="str">
            <v>ETI RESPALDO MDELA CLASICA 225 G X 14 TJ</v>
          </cell>
          <cell r="C161">
            <v>1330053</v>
          </cell>
        </row>
        <row r="162">
          <cell r="B162" t="str">
            <v>ETI RESPALDO MDELA JAMONAD 225 G X 12 TJ</v>
          </cell>
          <cell r="C162">
            <v>1330054</v>
          </cell>
        </row>
        <row r="163">
          <cell r="B163" t="str">
            <v>ETI RESPALDO SCHA DESAYUNO 480 G X 14 UN</v>
          </cell>
          <cell r="C163">
            <v>1330055</v>
          </cell>
        </row>
        <row r="164">
          <cell r="B164" t="str">
            <v>ETI RESPALDO CHZO TERNERA 440 G - FAIZAN</v>
          </cell>
          <cell r="C164">
            <v>1330056</v>
          </cell>
        </row>
        <row r="165">
          <cell r="B165" t="str">
            <v>ETI RESPALDO JMN PREMIUM 200 G X 10 TJ</v>
          </cell>
          <cell r="C165">
            <v>1330057</v>
          </cell>
        </row>
        <row r="166">
          <cell r="B166" t="str">
            <v>ETI RESPALDO JMN PREMIUM 400 G X 20 TJ</v>
          </cell>
          <cell r="C166">
            <v>1330058</v>
          </cell>
        </row>
        <row r="167">
          <cell r="B167" t="str">
            <v>ETI RESPALDO JMN SANDUCHE 225 G X 12 TJ</v>
          </cell>
          <cell r="C167">
            <v>1330059</v>
          </cell>
        </row>
        <row r="168">
          <cell r="B168" t="str">
            <v>ETI RESPALDO JMN SANDUCHE 450 G X 24 TJ</v>
          </cell>
          <cell r="C168">
            <v>1330060</v>
          </cell>
        </row>
        <row r="169">
          <cell r="B169" t="str">
            <v xml:space="preserve">ETI SELLO OCTOGONAL BOLSA CERVECERITO </v>
          </cell>
          <cell r="C169">
            <v>1330061</v>
          </cell>
        </row>
        <row r="170">
          <cell r="B170" t="str">
            <v>ETI SELLO OCTOGONAL AUTENTICO 750 G</v>
          </cell>
          <cell r="C170">
            <v>1330064</v>
          </cell>
        </row>
        <row r="171">
          <cell r="B171" t="str">
            <v>ETI JAMON DE CERDO PREMIUM X 220G</v>
          </cell>
          <cell r="C171">
            <v>1330065</v>
          </cell>
        </row>
        <row r="172">
          <cell r="B172" t="str">
            <v xml:space="preserve">ETI RESPALDO JMN PREMIUM 220 G X 11 TJ </v>
          </cell>
          <cell r="C172">
            <v>1330066</v>
          </cell>
        </row>
        <row r="173">
          <cell r="B173" t="str">
            <v>ETI RESPAL CHZO TERNERA 440 G 8 U EXITO</v>
          </cell>
          <cell r="C173">
            <v>1330068</v>
          </cell>
        </row>
        <row r="174">
          <cell r="B174" t="str">
            <v>ETI RESPALDO CHZO TERNERA 220 G X 4 UN</v>
          </cell>
          <cell r="C174">
            <v>1330074</v>
          </cell>
        </row>
        <row r="175">
          <cell r="B175" t="str">
            <v>ETI RESPALDO SCHA CLASICA 450 G X 18 UND</v>
          </cell>
          <cell r="C175">
            <v>1330075</v>
          </cell>
        </row>
        <row r="176">
          <cell r="B176" t="str">
            <v>ETI RESPALDO SCHA S.PERRO 500 G X 10 UND</v>
          </cell>
          <cell r="C176">
            <v>1330076</v>
          </cell>
        </row>
        <row r="177">
          <cell r="B177" t="str">
            <v>ETI RESPALDO JMN PREMIUM 120 G X 6TJ</v>
          </cell>
          <cell r="C177">
            <v>1330077</v>
          </cell>
        </row>
        <row r="178">
          <cell r="B178" t="str">
            <v>ETI MEGA SALCHICHA X 1120GR X 12U</v>
          </cell>
          <cell r="C178">
            <v>1330078</v>
          </cell>
        </row>
        <row r="179">
          <cell r="B179" t="str">
            <v>ETI CHORIZO CERDO 400 G X 8 UND</v>
          </cell>
          <cell r="C179">
            <v>1330080</v>
          </cell>
        </row>
        <row r="180">
          <cell r="B180" t="str">
            <v>ETI CHORIZO CON TERNERA X 110 GR X 2 U</v>
          </cell>
          <cell r="C180">
            <v>1330081</v>
          </cell>
        </row>
        <row r="181">
          <cell r="B181" t="str">
            <v>ETI CHZO COCTEL SANTA ROSANO X 300 G</v>
          </cell>
          <cell r="C181">
            <v>1330082</v>
          </cell>
        </row>
        <row r="182">
          <cell r="B182" t="str">
            <v>ETI RESPALDO CHZO COCTEL SROSANO X 300 G</v>
          </cell>
          <cell r="C182">
            <v>1330083</v>
          </cell>
        </row>
        <row r="183">
          <cell r="B183" t="str">
            <v>ETI CHZO COCTEL SANTA ROSANO X 1000 G</v>
          </cell>
          <cell r="C183">
            <v>1330084</v>
          </cell>
        </row>
        <row r="184">
          <cell r="B184" t="str">
            <v>ETI PERNIL DE CERDO NAVIDEÑO X 500 G</v>
          </cell>
          <cell r="C184">
            <v>1330085</v>
          </cell>
        </row>
        <row r="185">
          <cell r="B185" t="str">
            <v>ETI CHORIZO SANTA ROSANO X 480 G</v>
          </cell>
          <cell r="C185">
            <v>1330087</v>
          </cell>
        </row>
        <row r="186">
          <cell r="B186" t="str">
            <v xml:space="preserve">ETI TOCINETA FAZAN AHUM X 150 G X 10 TJ </v>
          </cell>
          <cell r="C186">
            <v>1330088</v>
          </cell>
        </row>
        <row r="187">
          <cell r="B187" t="str">
            <v xml:space="preserve">ETI RESPALDO TOCINETA FAZAN AHUM 150 G </v>
          </cell>
          <cell r="C187">
            <v>1330089</v>
          </cell>
        </row>
        <row r="188">
          <cell r="B188" t="str">
            <v>ETI TOCINETA FAZAN AHUM X 1 KG X 66 TJ</v>
          </cell>
          <cell r="C188">
            <v>1330090</v>
          </cell>
        </row>
        <row r="189">
          <cell r="B189" t="str">
            <v xml:space="preserve">BOLSA AD BCO IMPR FAIZAN 23 X 25        </v>
          </cell>
          <cell r="C189">
            <v>1340001</v>
          </cell>
        </row>
        <row r="190">
          <cell r="B190" t="str">
            <v xml:space="preserve">BOLSA AMARILLA MILANESA X 1800G X 15UDS </v>
          </cell>
          <cell r="C190">
            <v>1340002</v>
          </cell>
        </row>
        <row r="191">
          <cell r="B191" t="str">
            <v xml:space="preserve">BOLSA NARANJA MILANE X 600G X 5UDS      </v>
          </cell>
          <cell r="C191">
            <v>1340003</v>
          </cell>
        </row>
        <row r="192">
          <cell r="B192" t="str">
            <v xml:space="preserve">BOLSA IMP ROJA HAMB X900 G X10UND MODER </v>
          </cell>
          <cell r="C192">
            <v>1340005</v>
          </cell>
        </row>
        <row r="193">
          <cell r="B193" t="str">
            <v xml:space="preserve">BOLSA HAMB X 450G X 5UND                </v>
          </cell>
          <cell r="C193">
            <v>1340006</v>
          </cell>
        </row>
        <row r="194">
          <cell r="B194" t="str">
            <v xml:space="preserve">BOLSA SIN IMP 25 x 35 FLEXIBLE          </v>
          </cell>
          <cell r="C194">
            <v>1340008</v>
          </cell>
        </row>
        <row r="195">
          <cell r="B195" t="str">
            <v>BOLSA CERVECERITO FAZAN X 6U 16CMX22CM</v>
          </cell>
          <cell r="C195">
            <v>1340009</v>
          </cell>
        </row>
        <row r="196">
          <cell r="B196" t="str">
            <v>BOLSA TERMOENCOGIBLE 8X10</v>
          </cell>
          <cell r="C196">
            <v>1340010</v>
          </cell>
        </row>
        <row r="197">
          <cell r="B197" t="str">
            <v>BOLSA TRASNP LDPE 21 x 60 CAL 3</v>
          </cell>
          <cell r="C197">
            <v>1340012</v>
          </cell>
        </row>
        <row r="198">
          <cell r="B198" t="str">
            <v>BOLSA TERMOENCOGIBLE 18X33</v>
          </cell>
          <cell r="C198">
            <v>1340013</v>
          </cell>
        </row>
        <row r="199">
          <cell r="B199" t="str">
            <v>BOLSA NARANJA MILANE X 240G X 2UDS</v>
          </cell>
          <cell r="C199">
            <v>1340015</v>
          </cell>
        </row>
        <row r="200">
          <cell r="B200" t="str">
            <v>BOLSA BLANCA HSA POLLO X 750G X 5UDS</v>
          </cell>
          <cell r="C200">
            <v>1340016</v>
          </cell>
        </row>
        <row r="201">
          <cell r="B201" t="str">
            <v xml:space="preserve">CAJA JAMON DE CERDO VIANDE (32 UND)     </v>
          </cell>
          <cell r="C201">
            <v>1350001</v>
          </cell>
        </row>
        <row r="202">
          <cell r="B202" t="str">
            <v xml:space="preserve">CAJA KOBA SALCHICHON DE POLLO BRAKEL    </v>
          </cell>
          <cell r="C202">
            <v>1350003</v>
          </cell>
        </row>
        <row r="203">
          <cell r="B203" t="str">
            <v>CAJA KOBA SALCHICHON TRADICIONAL VIANDE</v>
          </cell>
          <cell r="C203">
            <v>1350004</v>
          </cell>
        </row>
        <row r="204">
          <cell r="B204" t="str">
            <v>CAJA BA+TA SUP COMBO TRADICIONAL VIANDE</v>
          </cell>
          <cell r="C204">
            <v>1350005</v>
          </cell>
        </row>
        <row r="205">
          <cell r="B205" t="str">
            <v>CAJA GENERICA HAMBURGUESA X 2700 G</v>
          </cell>
          <cell r="C205">
            <v>1350009</v>
          </cell>
        </row>
        <row r="206">
          <cell r="B206" t="str">
            <v>CAJA SCHA PERRO CALIENTE X 3.8 KG - 16 U</v>
          </cell>
          <cell r="C206">
            <v>1350011</v>
          </cell>
        </row>
        <row r="207">
          <cell r="B207" t="str">
            <v>CAJA SCHA SUPER PERRO  X 4 KG - 10 U</v>
          </cell>
          <cell r="C207">
            <v>1350012</v>
          </cell>
        </row>
        <row r="208">
          <cell r="B208" t="str">
            <v>CAJA CHORIZO TERNERA X 2.5 KG - 10 U</v>
          </cell>
          <cell r="C208">
            <v>1350013</v>
          </cell>
        </row>
        <row r="209">
          <cell r="B209" t="str">
            <v>CAJA CHORIZO ANTIOQUEÑO X 2.5KG-10U</v>
          </cell>
          <cell r="C209">
            <v>1350014</v>
          </cell>
        </row>
        <row r="210">
          <cell r="B210" t="str">
            <v>SEPARADOR 15 CM X 15 CM IMPRESO HIGHPACK</v>
          </cell>
          <cell r="C210">
            <v>1360001</v>
          </cell>
        </row>
        <row r="211">
          <cell r="B211" t="str">
            <v>SEPARADOR 16,5 X 16,5 CM TRANSPARENTE</v>
          </cell>
          <cell r="C211">
            <v>1360003</v>
          </cell>
        </row>
        <row r="212">
          <cell r="B212" t="str">
            <v>FIBROSA FVP CLS 95 B3 4 H3 MORTADELA</v>
          </cell>
          <cell r="C212">
            <v>1370001</v>
          </cell>
        </row>
        <row r="213">
          <cell r="B213" t="str">
            <v xml:space="preserve">FIBROSA FVP CLS 140 JAMON               </v>
          </cell>
          <cell r="C213">
            <v>1370002</v>
          </cell>
        </row>
        <row r="214">
          <cell r="B214" t="str">
            <v xml:space="preserve">TUBULAR EMBUTIDO 180 MM MILANESA        </v>
          </cell>
          <cell r="C214">
            <v>1370003</v>
          </cell>
        </row>
        <row r="215">
          <cell r="B215" t="str">
            <v xml:space="preserve">FUNDA CELULOSA 18 X 100                 </v>
          </cell>
          <cell r="C215">
            <v>1370004</v>
          </cell>
        </row>
        <row r="216">
          <cell r="B216" t="str">
            <v>FUNDA CELULOSA 23 X 100</v>
          </cell>
          <cell r="C216">
            <v>1370007</v>
          </cell>
        </row>
        <row r="217">
          <cell r="B217" t="str">
            <v xml:space="preserve">FUNDA COLAGENO NDXF 25/50               </v>
          </cell>
          <cell r="C217">
            <v>1370008</v>
          </cell>
        </row>
        <row r="218">
          <cell r="B218" t="str">
            <v xml:space="preserve">FUNDA COLAGENO ND 26/60                 </v>
          </cell>
          <cell r="C218">
            <v>1370009</v>
          </cell>
        </row>
        <row r="219">
          <cell r="B219" t="str">
            <v>FUNDA POLIAMIDA 19 X 110 - MEGA SCHA.</v>
          </cell>
          <cell r="C219">
            <v>1370011</v>
          </cell>
        </row>
        <row r="220">
          <cell r="B220" t="str">
            <v xml:space="preserve">TUBU SALCHICHON FAIZAN AUTENTICO 225G   </v>
          </cell>
          <cell r="C220">
            <v>1370012</v>
          </cell>
        </row>
        <row r="221">
          <cell r="B221" t="str">
            <v xml:space="preserve">TUBU SALCHICHON CERVECERO VIANDE X 225G </v>
          </cell>
          <cell r="C221">
            <v>1370013</v>
          </cell>
        </row>
        <row r="222">
          <cell r="B222" t="str">
            <v xml:space="preserve">TUBU SALCHICHON CERVECERO FAIZAN 1500G  </v>
          </cell>
          <cell r="C222">
            <v>1370014</v>
          </cell>
        </row>
        <row r="223">
          <cell r="B223" t="str">
            <v xml:space="preserve">TUBU SALCHICHON CERVECERO FAIZAN 750G   </v>
          </cell>
          <cell r="C223">
            <v>1370015</v>
          </cell>
        </row>
        <row r="224">
          <cell r="B224" t="str">
            <v xml:space="preserve">TUBU SALCHICHON CERVECERO FAIZAN X 500G </v>
          </cell>
          <cell r="C224">
            <v>1370016</v>
          </cell>
        </row>
        <row r="225">
          <cell r="B225" t="str">
            <v xml:space="preserve">TUBU SALCHICHON POLLO BRAKEL X 500G     </v>
          </cell>
          <cell r="C225">
            <v>1370017</v>
          </cell>
        </row>
        <row r="226">
          <cell r="B226" t="str">
            <v xml:space="preserve">TUBU SALCHICHON POLLO BRAKEL 225G       </v>
          </cell>
          <cell r="C226">
            <v>1370018</v>
          </cell>
        </row>
        <row r="227">
          <cell r="B227" t="str">
            <v xml:space="preserve">TUBU SALCHICHON TRADICI VIANDE X 500G   </v>
          </cell>
          <cell r="C227">
            <v>1370019</v>
          </cell>
        </row>
        <row r="228">
          <cell r="B228" t="str">
            <v xml:space="preserve">TUBU SALCHICHON POLL FAIZAN X 225G      </v>
          </cell>
          <cell r="C228">
            <v>1370020</v>
          </cell>
        </row>
        <row r="229">
          <cell r="B229" t="str">
            <v xml:space="preserve">TUBU SALCHICHON AUTENTICO X750 G        </v>
          </cell>
          <cell r="C229">
            <v>1370021</v>
          </cell>
        </row>
        <row r="230">
          <cell r="B230" t="str">
            <v>FIBROSA T-SHIRT CLR REG 1 1/2 X 150 35ST</v>
          </cell>
          <cell r="C230">
            <v>1370022</v>
          </cell>
        </row>
        <row r="231">
          <cell r="B231" t="str">
            <v>TUBU SALCHICHON CERVECERO FAIZAN X 1300G</v>
          </cell>
          <cell r="C231">
            <v>1370025</v>
          </cell>
        </row>
        <row r="232">
          <cell r="B232" t="str">
            <v>MALLA JIF PAK 08SQRU 45MR SM4</v>
          </cell>
          <cell r="C232">
            <v>1370026</v>
          </cell>
        </row>
        <row r="233">
          <cell r="B233" t="str">
            <v>MALLA ZIP-NET-28-P368/50GR- ROJA Y VERDE</v>
          </cell>
          <cell r="C233">
            <v>1370027</v>
          </cell>
        </row>
        <row r="234">
          <cell r="B234" t="str">
            <v>FUNDA CELULOSA 26 X 84</v>
          </cell>
          <cell r="C234">
            <v>1370028</v>
          </cell>
        </row>
        <row r="235">
          <cell r="B235" t="str">
            <v>FUNDA COLAGENO  NDX F 30 / 50</v>
          </cell>
          <cell r="C235">
            <v>1370029</v>
          </cell>
        </row>
        <row r="236">
          <cell r="B236" t="str">
            <v>FUNDA CELULOSA 19 X 125</v>
          </cell>
          <cell r="C236">
            <v>1370030</v>
          </cell>
        </row>
        <row r="237">
          <cell r="B237" t="str">
            <v>FUNDA CELULOSA 20 X 110</v>
          </cell>
          <cell r="C237">
            <v>1370031</v>
          </cell>
        </row>
        <row r="238">
          <cell r="B238" t="str">
            <v>FUNDA CELULOSA 17X95</v>
          </cell>
          <cell r="C238">
            <v>1370032</v>
          </cell>
        </row>
        <row r="239">
          <cell r="B239" t="str">
            <v>FUNDA CELULOSA 24X84</v>
          </cell>
          <cell r="C239">
            <v>1370035</v>
          </cell>
        </row>
        <row r="240">
          <cell r="B240" t="str">
            <v>FUNDA CELULOSA 28X84</v>
          </cell>
          <cell r="C240">
            <v>1370036</v>
          </cell>
        </row>
        <row r="241">
          <cell r="B241" t="str">
            <v>FUNDA COLAGENO NDX 17/50</v>
          </cell>
          <cell r="C241">
            <v>1370039</v>
          </cell>
        </row>
        <row r="242">
          <cell r="B242" t="str">
            <v>TUBU SALCHICHON CERVECERO FAIZAN 225G</v>
          </cell>
          <cell r="C242">
            <v>1370041</v>
          </cell>
        </row>
        <row r="243">
          <cell r="B243" t="str">
            <v>PLASTICA AHUMADA BTM CAL 540 X 123 CM</v>
          </cell>
          <cell r="C243">
            <v>1370047</v>
          </cell>
        </row>
        <row r="244">
          <cell r="B244" t="str">
            <v>CLIPS HC25-3218T</v>
          </cell>
          <cell r="C244">
            <v>1380002</v>
          </cell>
        </row>
        <row r="245">
          <cell r="B245" t="str">
            <v xml:space="preserve">LAZOS POLY-CLIP GSA20                   </v>
          </cell>
          <cell r="C245">
            <v>1380003</v>
          </cell>
        </row>
        <row r="246">
          <cell r="B246" t="str">
            <v xml:space="preserve">GRAPAS POLY-CLIP R15-07                 </v>
          </cell>
          <cell r="C246">
            <v>1380004</v>
          </cell>
        </row>
        <row r="247">
          <cell r="B247" t="str">
            <v>GRAPAS POLY- R-ID M 07-150</v>
          </cell>
          <cell r="C247">
            <v>1380005</v>
          </cell>
        </row>
        <row r="248">
          <cell r="B248" t="str">
            <v>PIERNA DESGRASADA MOLIENDA DISCO RIÑON</v>
          </cell>
          <cell r="C248">
            <v>2903001</v>
          </cell>
        </row>
        <row r="249">
          <cell r="B249" t="str">
            <v>REPELE CHARQUEADO</v>
          </cell>
          <cell r="C249">
            <v>2903002</v>
          </cell>
        </row>
        <row r="250">
          <cell r="B250" t="str">
            <v>BRAZUELO CHARQUEADO</v>
          </cell>
          <cell r="C250">
            <v>2903003</v>
          </cell>
        </row>
        <row r="251">
          <cell r="B251" t="str">
            <v>MOLIEN EMULSION DE PIEL DE CERDO</v>
          </cell>
          <cell r="C251">
            <v>2904002</v>
          </cell>
        </row>
        <row r="252">
          <cell r="B252" t="str">
            <v>EMULSION DE PIEL DE CERDO</v>
          </cell>
          <cell r="C252">
            <v>2906001</v>
          </cell>
        </row>
        <row r="253">
          <cell r="B253" t="str">
            <v>GRANULOS</v>
          </cell>
          <cell r="C253">
            <v>2906002</v>
          </cell>
        </row>
        <row r="254">
          <cell r="B254" t="str">
            <v>ABLANDADO EMULSION DE PIEL DE CERDO</v>
          </cell>
          <cell r="C254">
            <v>2917001</v>
          </cell>
        </row>
        <row r="255">
          <cell r="B255" t="str">
            <v>AGUA POTABLE</v>
          </cell>
          <cell r="C255">
            <v>1131002</v>
          </cell>
        </row>
        <row r="256">
          <cell r="B256" t="str">
            <v>FIBROSA NALO P CLEAR</v>
          </cell>
          <cell r="C256">
            <v>1370048</v>
          </cell>
        </row>
        <row r="257">
          <cell r="B257" t="str">
            <v xml:space="preserve">SAL REDUCIDA EN SODIO 50/50    </v>
          </cell>
          <cell r="C257">
            <v>121009</v>
          </cell>
        </row>
        <row r="258">
          <cell r="B258" t="str">
            <v>BOLSA SNACK CERVECERITO VIANDE X  150 G </v>
          </cell>
          <cell r="C258"/>
        </row>
        <row r="259">
          <cell r="B259" t="str">
            <v>SUPRAMEAT PLUS</v>
          </cell>
          <cell r="C259">
            <v>1260025</v>
          </cell>
        </row>
        <row r="260">
          <cell r="B260"/>
          <cell r="C260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</sheetNames>
    <sheetDataSet>
      <sheetData sheetId="0">
        <row r="2">
          <cell r="C2">
            <v>1111002</v>
          </cell>
          <cell r="D2" t="str">
            <v xml:space="preserve">KG  </v>
          </cell>
          <cell r="E2">
            <v>2800</v>
          </cell>
        </row>
        <row r="3">
          <cell r="C3">
            <v>1112001</v>
          </cell>
          <cell r="D3" t="str">
            <v xml:space="preserve">KG  </v>
          </cell>
          <cell r="E3">
            <v>3663.96</v>
          </cell>
        </row>
        <row r="4">
          <cell r="C4">
            <v>1112002</v>
          </cell>
          <cell r="D4" t="str">
            <v xml:space="preserve">KG  </v>
          </cell>
          <cell r="E4">
            <v>3575.02</v>
          </cell>
        </row>
        <row r="5">
          <cell r="C5">
            <v>1112005</v>
          </cell>
          <cell r="D5" t="str">
            <v xml:space="preserve">KG  </v>
          </cell>
          <cell r="E5">
            <v>12700.23</v>
          </cell>
        </row>
        <row r="6">
          <cell r="C6">
            <v>1112013</v>
          </cell>
          <cell r="D6" t="str">
            <v xml:space="preserve">KG  </v>
          </cell>
          <cell r="E6">
            <v>3800</v>
          </cell>
        </row>
        <row r="7">
          <cell r="C7">
            <v>1121004</v>
          </cell>
          <cell r="D7" t="str">
            <v xml:space="preserve">KG  </v>
          </cell>
          <cell r="E7">
            <v>5530.88</v>
          </cell>
        </row>
        <row r="8">
          <cell r="C8">
            <v>1121005</v>
          </cell>
          <cell r="D8" t="str">
            <v xml:space="preserve">KG  </v>
          </cell>
          <cell r="E8">
            <v>20000</v>
          </cell>
        </row>
        <row r="9">
          <cell r="C9">
            <v>1121006</v>
          </cell>
          <cell r="D9" t="str">
            <v xml:space="preserve">KG  </v>
          </cell>
          <cell r="E9">
            <v>13200</v>
          </cell>
        </row>
        <row r="10">
          <cell r="C10">
            <v>1121009</v>
          </cell>
          <cell r="D10" t="str">
            <v xml:space="preserve">KG  </v>
          </cell>
          <cell r="E10">
            <v>8741.6200000000008</v>
          </cell>
        </row>
        <row r="11">
          <cell r="C11">
            <v>1122001</v>
          </cell>
          <cell r="D11" t="str">
            <v xml:space="preserve">KG  </v>
          </cell>
          <cell r="E11">
            <v>11506.13</v>
          </cell>
        </row>
        <row r="12">
          <cell r="C12">
            <v>1122002</v>
          </cell>
          <cell r="D12" t="str">
            <v xml:space="preserve">KG  </v>
          </cell>
          <cell r="E12">
            <v>12500</v>
          </cell>
        </row>
        <row r="13">
          <cell r="C13">
            <v>1122006</v>
          </cell>
          <cell r="D13" t="str">
            <v xml:space="preserve">KG  </v>
          </cell>
          <cell r="E13">
            <v>12955.53</v>
          </cell>
        </row>
        <row r="14">
          <cell r="C14">
            <v>1122007</v>
          </cell>
          <cell r="D14" t="str">
            <v xml:space="preserve">KG  </v>
          </cell>
          <cell r="E14">
            <v>11229.33</v>
          </cell>
        </row>
        <row r="15">
          <cell r="C15">
            <v>1122008</v>
          </cell>
          <cell r="D15" t="str">
            <v xml:space="preserve">KG  </v>
          </cell>
          <cell r="E15">
            <v>12059.2</v>
          </cell>
        </row>
        <row r="16">
          <cell r="C16">
            <v>1122010</v>
          </cell>
          <cell r="D16" t="str">
            <v xml:space="preserve">KG  </v>
          </cell>
          <cell r="E16">
            <v>15399.3</v>
          </cell>
        </row>
        <row r="17">
          <cell r="C17">
            <v>1122011</v>
          </cell>
          <cell r="D17" t="str">
            <v xml:space="preserve">KG  </v>
          </cell>
          <cell r="E17">
            <v>16000</v>
          </cell>
        </row>
        <row r="18">
          <cell r="C18">
            <v>1131001</v>
          </cell>
          <cell r="D18" t="str">
            <v xml:space="preserve">KG  </v>
          </cell>
          <cell r="E18">
            <v>386.9</v>
          </cell>
        </row>
        <row r="19">
          <cell r="C19">
            <v>1131002</v>
          </cell>
          <cell r="D19" t="str">
            <v xml:space="preserve">KG  </v>
          </cell>
          <cell r="E19">
            <v>0</v>
          </cell>
        </row>
        <row r="20">
          <cell r="C20">
            <v>1141001</v>
          </cell>
          <cell r="D20" t="str">
            <v xml:space="preserve">KG  </v>
          </cell>
          <cell r="E20">
            <v>15597.29</v>
          </cell>
        </row>
        <row r="21">
          <cell r="C21">
            <v>1210002</v>
          </cell>
          <cell r="D21" t="str">
            <v xml:space="preserve">KG  </v>
          </cell>
          <cell r="E21">
            <v>12886</v>
          </cell>
        </row>
        <row r="22">
          <cell r="C22">
            <v>1210003</v>
          </cell>
          <cell r="D22" t="str">
            <v xml:space="preserve">KG  </v>
          </cell>
          <cell r="E22">
            <v>16235.45</v>
          </cell>
        </row>
        <row r="23">
          <cell r="C23">
            <v>1210004</v>
          </cell>
          <cell r="D23" t="str">
            <v xml:space="preserve">KG  </v>
          </cell>
          <cell r="E23">
            <v>3841</v>
          </cell>
        </row>
        <row r="24">
          <cell r="C24">
            <v>1210005</v>
          </cell>
          <cell r="D24" t="str">
            <v xml:space="preserve">KG  </v>
          </cell>
          <cell r="E24">
            <v>1356</v>
          </cell>
        </row>
        <row r="25">
          <cell r="C25">
            <v>1210006</v>
          </cell>
          <cell r="D25" t="str">
            <v xml:space="preserve">KG  </v>
          </cell>
          <cell r="E25">
            <v>8904.4500000000007</v>
          </cell>
        </row>
        <row r="26">
          <cell r="C26">
            <v>1210008</v>
          </cell>
          <cell r="D26" t="str">
            <v xml:space="preserve">KG  </v>
          </cell>
          <cell r="E26">
            <v>14700</v>
          </cell>
        </row>
        <row r="27">
          <cell r="C27">
            <v>1210009</v>
          </cell>
          <cell r="D27" t="str">
            <v xml:space="preserve">KG  </v>
          </cell>
          <cell r="E27">
            <v>10978</v>
          </cell>
        </row>
        <row r="28">
          <cell r="C28">
            <v>1210010</v>
          </cell>
          <cell r="D28" t="str">
            <v xml:space="preserve">KG  </v>
          </cell>
          <cell r="E28">
            <v>11600</v>
          </cell>
        </row>
        <row r="29">
          <cell r="C29">
            <v>121007</v>
          </cell>
          <cell r="D29" t="str">
            <v xml:space="preserve">KG  </v>
          </cell>
          <cell r="E29">
            <v>16905</v>
          </cell>
        </row>
        <row r="30">
          <cell r="C30">
            <v>1220001</v>
          </cell>
          <cell r="D30" t="str">
            <v xml:space="preserve">KG  </v>
          </cell>
          <cell r="E30">
            <v>85579.98</v>
          </cell>
        </row>
        <row r="31">
          <cell r="C31">
            <v>1220004</v>
          </cell>
          <cell r="D31" t="str">
            <v xml:space="preserve">KG  </v>
          </cell>
          <cell r="E31">
            <v>4632</v>
          </cell>
        </row>
        <row r="32">
          <cell r="C32">
            <v>1220005</v>
          </cell>
          <cell r="D32" t="str">
            <v xml:space="preserve">KG  </v>
          </cell>
          <cell r="E32">
            <v>17429.990000000002</v>
          </cell>
        </row>
        <row r="33">
          <cell r="C33">
            <v>1220006</v>
          </cell>
          <cell r="D33" t="str">
            <v xml:space="preserve">KG  </v>
          </cell>
          <cell r="E33">
            <v>73448</v>
          </cell>
        </row>
        <row r="34">
          <cell r="C34">
            <v>1220007</v>
          </cell>
          <cell r="D34" t="str">
            <v xml:space="preserve">KG  </v>
          </cell>
          <cell r="E34">
            <v>60081.72</v>
          </cell>
        </row>
        <row r="35">
          <cell r="C35">
            <v>1220008</v>
          </cell>
          <cell r="D35" t="str">
            <v xml:space="preserve">KG  </v>
          </cell>
          <cell r="E35">
            <v>50476.2</v>
          </cell>
        </row>
        <row r="36">
          <cell r="C36">
            <v>1220009</v>
          </cell>
          <cell r="D36" t="str">
            <v xml:space="preserve">KG  </v>
          </cell>
          <cell r="E36">
            <v>21312.16</v>
          </cell>
        </row>
        <row r="37">
          <cell r="C37">
            <v>1220010</v>
          </cell>
          <cell r="D37" t="str">
            <v xml:space="preserve">KG  </v>
          </cell>
          <cell r="E37">
            <v>4744.72</v>
          </cell>
        </row>
        <row r="38">
          <cell r="C38">
            <v>1220011</v>
          </cell>
          <cell r="D38" t="str">
            <v xml:space="preserve">KG  </v>
          </cell>
          <cell r="E38">
            <v>9773</v>
          </cell>
        </row>
        <row r="39">
          <cell r="C39">
            <v>1220012</v>
          </cell>
          <cell r="D39" t="str">
            <v xml:space="preserve">KG  </v>
          </cell>
          <cell r="E39">
            <v>8450</v>
          </cell>
        </row>
        <row r="40">
          <cell r="C40">
            <v>1220013</v>
          </cell>
          <cell r="D40" t="str">
            <v xml:space="preserve">KG  </v>
          </cell>
          <cell r="E40">
            <v>36849.1</v>
          </cell>
        </row>
        <row r="41">
          <cell r="C41">
            <v>1220014</v>
          </cell>
          <cell r="D41" t="str">
            <v xml:space="preserve">KG  </v>
          </cell>
          <cell r="E41">
            <v>14060</v>
          </cell>
        </row>
        <row r="42">
          <cell r="C42">
            <v>1220015</v>
          </cell>
          <cell r="D42" t="str">
            <v xml:space="preserve">KG  </v>
          </cell>
          <cell r="E42">
            <v>30702.27</v>
          </cell>
        </row>
        <row r="43">
          <cell r="C43">
            <v>1220020</v>
          </cell>
          <cell r="D43" t="str">
            <v xml:space="preserve">KG  </v>
          </cell>
          <cell r="E43">
            <v>588.24</v>
          </cell>
        </row>
        <row r="44">
          <cell r="C44">
            <v>1220022</v>
          </cell>
          <cell r="D44" t="str">
            <v xml:space="preserve">KG  </v>
          </cell>
          <cell r="E44">
            <v>65625</v>
          </cell>
        </row>
        <row r="45">
          <cell r="C45">
            <v>1230003</v>
          </cell>
          <cell r="D45" t="str">
            <v xml:space="preserve">KG  </v>
          </cell>
          <cell r="E45">
            <v>20099.990000000002</v>
          </cell>
        </row>
        <row r="46">
          <cell r="C46">
            <v>1230004</v>
          </cell>
          <cell r="D46" t="str">
            <v xml:space="preserve">KG  </v>
          </cell>
          <cell r="E46">
            <v>20820</v>
          </cell>
        </row>
        <row r="47">
          <cell r="C47">
            <v>1230005</v>
          </cell>
          <cell r="D47" t="str">
            <v xml:space="preserve">KG  </v>
          </cell>
          <cell r="E47">
            <v>45711.59</v>
          </cell>
        </row>
        <row r="48">
          <cell r="C48">
            <v>1230006</v>
          </cell>
          <cell r="D48" t="str">
            <v xml:space="preserve">KG  </v>
          </cell>
          <cell r="E48">
            <v>44693.38</v>
          </cell>
        </row>
        <row r="49">
          <cell r="C49">
            <v>1230008</v>
          </cell>
          <cell r="D49" t="str">
            <v xml:space="preserve">KG  </v>
          </cell>
          <cell r="E49">
            <v>26735</v>
          </cell>
        </row>
        <row r="50">
          <cell r="C50">
            <v>1230009</v>
          </cell>
          <cell r="D50" t="str">
            <v xml:space="preserve">KG  </v>
          </cell>
          <cell r="E50">
            <v>36960</v>
          </cell>
        </row>
        <row r="51">
          <cell r="C51">
            <v>1230010</v>
          </cell>
          <cell r="D51" t="str">
            <v xml:space="preserve">KG  </v>
          </cell>
          <cell r="E51">
            <v>53831</v>
          </cell>
        </row>
        <row r="52">
          <cell r="C52">
            <v>1230011</v>
          </cell>
          <cell r="D52" t="str">
            <v xml:space="preserve">KG  </v>
          </cell>
          <cell r="E52">
            <v>5480</v>
          </cell>
        </row>
        <row r="53">
          <cell r="C53">
            <v>1230012</v>
          </cell>
          <cell r="D53" t="str">
            <v xml:space="preserve">KG  </v>
          </cell>
          <cell r="E53">
            <v>31314.19</v>
          </cell>
        </row>
        <row r="54">
          <cell r="C54">
            <v>1230013</v>
          </cell>
          <cell r="D54" t="str">
            <v xml:space="preserve">KG  </v>
          </cell>
          <cell r="E54">
            <v>20777.07</v>
          </cell>
        </row>
        <row r="55">
          <cell r="C55">
            <v>1230016</v>
          </cell>
          <cell r="D55" t="str">
            <v xml:space="preserve">KG  </v>
          </cell>
          <cell r="E55">
            <v>91559.6</v>
          </cell>
        </row>
        <row r="56">
          <cell r="C56">
            <v>1230017</v>
          </cell>
          <cell r="D56" t="str">
            <v xml:space="preserve">KG  </v>
          </cell>
          <cell r="E56">
            <v>62534.84</v>
          </cell>
        </row>
        <row r="57">
          <cell r="C57">
            <v>1230018</v>
          </cell>
          <cell r="D57" t="str">
            <v xml:space="preserve">KG  </v>
          </cell>
          <cell r="E57">
            <v>76427.960000000006</v>
          </cell>
        </row>
        <row r="58">
          <cell r="C58">
            <v>1230019</v>
          </cell>
          <cell r="D58" t="str">
            <v xml:space="preserve">KG  </v>
          </cell>
          <cell r="E58">
            <v>50920.75</v>
          </cell>
        </row>
        <row r="59">
          <cell r="C59">
            <v>1230020</v>
          </cell>
          <cell r="D59" t="str">
            <v xml:space="preserve">KG  </v>
          </cell>
          <cell r="E59">
            <v>42000</v>
          </cell>
        </row>
        <row r="60">
          <cell r="C60">
            <v>1230022</v>
          </cell>
          <cell r="D60" t="str">
            <v xml:space="preserve">KG  </v>
          </cell>
          <cell r="E60">
            <v>0</v>
          </cell>
        </row>
        <row r="61">
          <cell r="C61">
            <v>1230023</v>
          </cell>
          <cell r="D61" t="str">
            <v xml:space="preserve">KG  </v>
          </cell>
          <cell r="E61">
            <v>54277.09</v>
          </cell>
        </row>
        <row r="62">
          <cell r="C62">
            <v>1230024</v>
          </cell>
          <cell r="D62" t="str">
            <v xml:space="preserve">KG  </v>
          </cell>
          <cell r="E62">
            <v>68600</v>
          </cell>
        </row>
        <row r="63">
          <cell r="C63">
            <v>1230025</v>
          </cell>
          <cell r="D63" t="str">
            <v xml:space="preserve">KG  </v>
          </cell>
          <cell r="E63">
            <v>97194.64</v>
          </cell>
        </row>
        <row r="64">
          <cell r="C64">
            <v>1230026</v>
          </cell>
          <cell r="D64" t="str">
            <v xml:space="preserve">KG  </v>
          </cell>
          <cell r="E64">
            <v>123823.21</v>
          </cell>
        </row>
        <row r="65">
          <cell r="C65">
            <v>1240002</v>
          </cell>
          <cell r="D65" t="str">
            <v xml:space="preserve">KG  </v>
          </cell>
          <cell r="E65">
            <v>66115.8</v>
          </cell>
        </row>
        <row r="66">
          <cell r="C66">
            <v>1240007</v>
          </cell>
          <cell r="D66" t="str">
            <v xml:space="preserve">KG  </v>
          </cell>
          <cell r="E66">
            <v>25921.42</v>
          </cell>
        </row>
        <row r="67">
          <cell r="C67">
            <v>1240008</v>
          </cell>
          <cell r="D67" t="str">
            <v xml:space="preserve">KG  </v>
          </cell>
          <cell r="E67">
            <v>12462.1</v>
          </cell>
        </row>
        <row r="68">
          <cell r="C68">
            <v>1240009</v>
          </cell>
          <cell r="D68" t="str">
            <v xml:space="preserve">KG  </v>
          </cell>
          <cell r="E68">
            <v>6700</v>
          </cell>
        </row>
        <row r="69">
          <cell r="C69">
            <v>1250001</v>
          </cell>
          <cell r="D69" t="str">
            <v xml:space="preserve">KG  </v>
          </cell>
          <cell r="E69">
            <v>5093.8999999999996</v>
          </cell>
        </row>
        <row r="70">
          <cell r="C70">
            <v>1250002</v>
          </cell>
          <cell r="D70" t="str">
            <v xml:space="preserve">KG  </v>
          </cell>
          <cell r="E70">
            <v>44120.54</v>
          </cell>
        </row>
        <row r="71">
          <cell r="C71">
            <v>1250003</v>
          </cell>
          <cell r="D71" t="str">
            <v xml:space="preserve">KG  </v>
          </cell>
          <cell r="E71">
            <v>50952.79</v>
          </cell>
        </row>
        <row r="72">
          <cell r="C72">
            <v>1250004</v>
          </cell>
          <cell r="D72" t="str">
            <v xml:space="preserve">KG  </v>
          </cell>
          <cell r="E72">
            <v>164481.95000000001</v>
          </cell>
        </row>
        <row r="73">
          <cell r="C73">
            <v>1250005</v>
          </cell>
          <cell r="D73" t="str">
            <v xml:space="preserve">KG  </v>
          </cell>
          <cell r="E73">
            <v>66921.05</v>
          </cell>
        </row>
        <row r="74">
          <cell r="C74">
            <v>1250007</v>
          </cell>
          <cell r="D74" t="str">
            <v xml:space="preserve">KG  </v>
          </cell>
          <cell r="E74">
            <v>61516.21</v>
          </cell>
        </row>
        <row r="75">
          <cell r="C75">
            <v>1250009</v>
          </cell>
          <cell r="D75" t="str">
            <v xml:space="preserve">KG  </v>
          </cell>
          <cell r="E75">
            <v>83551.55</v>
          </cell>
        </row>
        <row r="76">
          <cell r="C76">
            <v>1260005</v>
          </cell>
          <cell r="D76" t="str">
            <v xml:space="preserve">KG  </v>
          </cell>
          <cell r="E76">
            <v>26429</v>
          </cell>
        </row>
        <row r="77">
          <cell r="C77">
            <v>1260006</v>
          </cell>
          <cell r="D77" t="str">
            <v xml:space="preserve">KG  </v>
          </cell>
          <cell r="E77">
            <v>18900</v>
          </cell>
        </row>
        <row r="78">
          <cell r="C78">
            <v>1260008</v>
          </cell>
          <cell r="D78" t="str">
            <v xml:space="preserve">KG  </v>
          </cell>
          <cell r="E78">
            <v>10202.790000000001</v>
          </cell>
        </row>
        <row r="79">
          <cell r="C79">
            <v>1260009</v>
          </cell>
          <cell r="D79" t="str">
            <v xml:space="preserve">KG  </v>
          </cell>
          <cell r="E79">
            <v>7033.69</v>
          </cell>
        </row>
        <row r="80">
          <cell r="C80">
            <v>1260010</v>
          </cell>
          <cell r="D80" t="str">
            <v xml:space="preserve">KG  </v>
          </cell>
          <cell r="E80">
            <v>6959.71</v>
          </cell>
        </row>
        <row r="81">
          <cell r="C81">
            <v>1260011</v>
          </cell>
          <cell r="D81" t="str">
            <v xml:space="preserve">KG  </v>
          </cell>
          <cell r="E81">
            <v>4450.01</v>
          </cell>
        </row>
        <row r="82">
          <cell r="C82">
            <v>1260012</v>
          </cell>
          <cell r="D82" t="str">
            <v xml:space="preserve">KG  </v>
          </cell>
          <cell r="E82">
            <v>46081</v>
          </cell>
        </row>
        <row r="83">
          <cell r="C83">
            <v>1260013</v>
          </cell>
          <cell r="D83" t="str">
            <v xml:space="preserve">KG  </v>
          </cell>
          <cell r="E83">
            <v>25359.43</v>
          </cell>
        </row>
        <row r="84">
          <cell r="C84">
            <v>1260014</v>
          </cell>
          <cell r="D84" t="str">
            <v xml:space="preserve">KG  </v>
          </cell>
          <cell r="E84">
            <v>28083.42</v>
          </cell>
        </row>
        <row r="85">
          <cell r="C85">
            <v>1260015</v>
          </cell>
          <cell r="D85" t="str">
            <v xml:space="preserve">KG  </v>
          </cell>
          <cell r="E85">
            <v>3450.01</v>
          </cell>
        </row>
        <row r="86">
          <cell r="C86">
            <v>1260016</v>
          </cell>
          <cell r="D86" t="str">
            <v xml:space="preserve">KG  </v>
          </cell>
          <cell r="E86">
            <v>31000</v>
          </cell>
        </row>
        <row r="87">
          <cell r="C87">
            <v>1260017</v>
          </cell>
          <cell r="D87" t="str">
            <v xml:space="preserve">KG  </v>
          </cell>
          <cell r="E87">
            <v>4500</v>
          </cell>
        </row>
        <row r="88">
          <cell r="C88">
            <v>1260018</v>
          </cell>
          <cell r="D88" t="str">
            <v xml:space="preserve">KG  </v>
          </cell>
          <cell r="E88">
            <v>25909</v>
          </cell>
        </row>
        <row r="89">
          <cell r="C89">
            <v>1260022</v>
          </cell>
          <cell r="D89" t="str">
            <v xml:space="preserve">KG  </v>
          </cell>
          <cell r="E89">
            <v>22988.01</v>
          </cell>
        </row>
        <row r="90">
          <cell r="C90">
            <v>1260023</v>
          </cell>
          <cell r="D90" t="str">
            <v xml:space="preserve">KG  </v>
          </cell>
          <cell r="E90">
            <v>121308.46</v>
          </cell>
        </row>
        <row r="91">
          <cell r="C91">
            <v>1260024</v>
          </cell>
          <cell r="D91" t="str">
            <v xml:space="preserve">KG  </v>
          </cell>
          <cell r="E91">
            <v>12625.84</v>
          </cell>
        </row>
        <row r="92">
          <cell r="C92">
            <v>1260025</v>
          </cell>
          <cell r="D92" t="str">
            <v xml:space="preserve">KG  </v>
          </cell>
          <cell r="E92">
            <v>60648.01</v>
          </cell>
        </row>
        <row r="93">
          <cell r="C93">
            <v>1270003</v>
          </cell>
          <cell r="D93" t="str">
            <v xml:space="preserve">KG  </v>
          </cell>
          <cell r="E93">
            <v>16126.04</v>
          </cell>
        </row>
        <row r="94">
          <cell r="C94">
            <v>1270004</v>
          </cell>
          <cell r="D94" t="str">
            <v xml:space="preserve">KG  </v>
          </cell>
          <cell r="E94">
            <v>50662</v>
          </cell>
        </row>
        <row r="95">
          <cell r="C95">
            <v>1270006</v>
          </cell>
          <cell r="D95" t="str">
            <v xml:space="preserve">KG  </v>
          </cell>
          <cell r="E95">
            <v>29640</v>
          </cell>
        </row>
        <row r="96">
          <cell r="C96">
            <v>1270007</v>
          </cell>
          <cell r="D96" t="str">
            <v xml:space="preserve">KG  </v>
          </cell>
          <cell r="E96">
            <v>169641.79</v>
          </cell>
        </row>
        <row r="97">
          <cell r="C97">
            <v>1270008</v>
          </cell>
          <cell r="D97" t="str">
            <v xml:space="preserve">KG  </v>
          </cell>
          <cell r="E97">
            <v>8935.81</v>
          </cell>
        </row>
        <row r="98">
          <cell r="C98">
            <v>1270009</v>
          </cell>
          <cell r="D98" t="str">
            <v xml:space="preserve">KG  </v>
          </cell>
          <cell r="E98">
            <v>57046.53</v>
          </cell>
        </row>
        <row r="99">
          <cell r="C99">
            <v>1270010</v>
          </cell>
          <cell r="D99" t="str">
            <v xml:space="preserve">KG  </v>
          </cell>
          <cell r="E99">
            <v>79779.53</v>
          </cell>
        </row>
        <row r="100">
          <cell r="C100">
            <v>1280002</v>
          </cell>
          <cell r="D100" t="str">
            <v xml:space="preserve">KG  </v>
          </cell>
          <cell r="E100">
            <v>14326.72</v>
          </cell>
        </row>
        <row r="101">
          <cell r="C101">
            <v>1280003</v>
          </cell>
          <cell r="D101" t="str">
            <v xml:space="preserve">KG  </v>
          </cell>
          <cell r="E101">
            <v>34500</v>
          </cell>
        </row>
        <row r="102">
          <cell r="C102">
            <v>1310001</v>
          </cell>
          <cell r="D102" t="str">
            <v xml:space="preserve">KG  </v>
          </cell>
          <cell r="E102">
            <v>714.19</v>
          </cell>
        </row>
        <row r="103">
          <cell r="C103">
            <v>1310002</v>
          </cell>
          <cell r="D103" t="str">
            <v xml:space="preserve">KG  </v>
          </cell>
          <cell r="E103">
            <v>703.72</v>
          </cell>
        </row>
        <row r="104">
          <cell r="C104">
            <v>1310011</v>
          </cell>
          <cell r="D104" t="str">
            <v xml:space="preserve">MTR </v>
          </cell>
          <cell r="E104">
            <v>1177</v>
          </cell>
        </row>
        <row r="105">
          <cell r="C105">
            <v>1310012</v>
          </cell>
          <cell r="D105" t="str">
            <v xml:space="preserve">MTR </v>
          </cell>
          <cell r="E105">
            <v>26973.66</v>
          </cell>
        </row>
        <row r="106">
          <cell r="C106">
            <v>1310014</v>
          </cell>
          <cell r="D106" t="str">
            <v xml:space="preserve">MTR </v>
          </cell>
          <cell r="E106">
            <v>26886.81</v>
          </cell>
        </row>
        <row r="107">
          <cell r="C107">
            <v>1310015</v>
          </cell>
          <cell r="D107" t="str">
            <v xml:space="preserve">KG  </v>
          </cell>
          <cell r="E107">
            <v>695.61</v>
          </cell>
        </row>
        <row r="108">
          <cell r="C108">
            <v>1310017</v>
          </cell>
          <cell r="D108" t="str">
            <v xml:space="preserve">KG  </v>
          </cell>
          <cell r="E108">
            <v>698.26</v>
          </cell>
        </row>
        <row r="109">
          <cell r="C109">
            <v>1310018</v>
          </cell>
          <cell r="D109" t="str">
            <v xml:space="preserve">MTR </v>
          </cell>
          <cell r="E109">
            <v>478.26</v>
          </cell>
        </row>
        <row r="110">
          <cell r="C110">
            <v>1310031</v>
          </cell>
          <cell r="D110" t="str">
            <v xml:space="preserve">MTR </v>
          </cell>
          <cell r="E110">
            <v>24980</v>
          </cell>
        </row>
        <row r="111">
          <cell r="C111">
            <v>1310034</v>
          </cell>
          <cell r="D111" t="str">
            <v xml:space="preserve">MTR </v>
          </cell>
          <cell r="E111">
            <v>771.04</v>
          </cell>
        </row>
        <row r="112">
          <cell r="C112">
            <v>1310035</v>
          </cell>
          <cell r="D112" t="str">
            <v xml:space="preserve">KG  </v>
          </cell>
          <cell r="E112">
            <v>787.73</v>
          </cell>
        </row>
        <row r="113">
          <cell r="C113">
            <v>1310037</v>
          </cell>
          <cell r="D113" t="str">
            <v xml:space="preserve">MTR </v>
          </cell>
          <cell r="E113">
            <v>889</v>
          </cell>
        </row>
        <row r="114">
          <cell r="C114">
            <v>1310049</v>
          </cell>
          <cell r="D114" t="str">
            <v xml:space="preserve">MTR </v>
          </cell>
          <cell r="E114">
            <v>889</v>
          </cell>
        </row>
        <row r="115">
          <cell r="C115">
            <v>1310054</v>
          </cell>
          <cell r="D115" t="str">
            <v xml:space="preserve">MTR </v>
          </cell>
          <cell r="E115">
            <v>725.49</v>
          </cell>
        </row>
        <row r="116">
          <cell r="C116">
            <v>1310055</v>
          </cell>
          <cell r="D116" t="str">
            <v xml:space="preserve">MTR </v>
          </cell>
          <cell r="E116">
            <v>889</v>
          </cell>
        </row>
        <row r="117">
          <cell r="C117">
            <v>1310056</v>
          </cell>
          <cell r="D117" t="str">
            <v xml:space="preserve">MTR </v>
          </cell>
          <cell r="E117">
            <v>889</v>
          </cell>
        </row>
        <row r="118">
          <cell r="C118">
            <v>1310057</v>
          </cell>
          <cell r="D118" t="str">
            <v xml:space="preserve">MTR </v>
          </cell>
          <cell r="E118">
            <v>889</v>
          </cell>
        </row>
        <row r="119">
          <cell r="C119">
            <v>1310058</v>
          </cell>
          <cell r="D119" t="str">
            <v xml:space="preserve">MTR </v>
          </cell>
          <cell r="E119">
            <v>889</v>
          </cell>
        </row>
        <row r="120">
          <cell r="C120">
            <v>1310059</v>
          </cell>
          <cell r="D120" t="str">
            <v xml:space="preserve">MTR </v>
          </cell>
          <cell r="E120">
            <v>889</v>
          </cell>
        </row>
        <row r="121">
          <cell r="C121">
            <v>1310060</v>
          </cell>
          <cell r="D121" t="str">
            <v xml:space="preserve">MTR </v>
          </cell>
          <cell r="E121">
            <v>889</v>
          </cell>
        </row>
        <row r="122">
          <cell r="C122">
            <v>1310062</v>
          </cell>
          <cell r="D122" t="str">
            <v xml:space="preserve">MTR </v>
          </cell>
          <cell r="E122">
            <v>1115.3</v>
          </cell>
        </row>
        <row r="123">
          <cell r="C123">
            <v>1310063</v>
          </cell>
          <cell r="D123" t="str">
            <v xml:space="preserve">MTR </v>
          </cell>
          <cell r="E123">
            <v>1014</v>
          </cell>
        </row>
        <row r="124">
          <cell r="C124">
            <v>1310065</v>
          </cell>
          <cell r="D124" t="str">
            <v xml:space="preserve">MTR </v>
          </cell>
          <cell r="E124">
            <v>736.83</v>
          </cell>
        </row>
        <row r="125">
          <cell r="C125">
            <v>1310066</v>
          </cell>
          <cell r="D125" t="str">
            <v xml:space="preserve">MTR </v>
          </cell>
          <cell r="E125">
            <v>765.19</v>
          </cell>
        </row>
        <row r="126">
          <cell r="C126">
            <v>1310067</v>
          </cell>
          <cell r="D126" t="str">
            <v xml:space="preserve">MTR </v>
          </cell>
          <cell r="E126">
            <v>22500</v>
          </cell>
        </row>
        <row r="127">
          <cell r="C127">
            <v>1310068</v>
          </cell>
          <cell r="D127" t="str">
            <v xml:space="preserve">MTR </v>
          </cell>
          <cell r="E127">
            <v>752</v>
          </cell>
        </row>
        <row r="128">
          <cell r="C128">
            <v>1320003</v>
          </cell>
          <cell r="D128" t="str">
            <v xml:space="preserve">MTR </v>
          </cell>
          <cell r="E128">
            <v>701.94</v>
          </cell>
        </row>
        <row r="129">
          <cell r="C129">
            <v>1320004</v>
          </cell>
          <cell r="D129" t="str">
            <v xml:space="preserve">MTR </v>
          </cell>
          <cell r="E129">
            <v>1481.51</v>
          </cell>
        </row>
        <row r="130">
          <cell r="C130">
            <v>1320005</v>
          </cell>
          <cell r="D130" t="str">
            <v xml:space="preserve">MTR </v>
          </cell>
          <cell r="E130">
            <v>740.21</v>
          </cell>
        </row>
        <row r="131">
          <cell r="C131">
            <v>1320006</v>
          </cell>
          <cell r="D131" t="str">
            <v xml:space="preserve">MTR </v>
          </cell>
          <cell r="E131">
            <v>963.65</v>
          </cell>
        </row>
        <row r="132">
          <cell r="C132">
            <v>1320007</v>
          </cell>
          <cell r="D132" t="str">
            <v xml:space="preserve">MTR </v>
          </cell>
          <cell r="E132">
            <v>1326.81</v>
          </cell>
        </row>
        <row r="133">
          <cell r="C133">
            <v>1320010</v>
          </cell>
          <cell r="D133" t="str">
            <v xml:space="preserve">MTR </v>
          </cell>
          <cell r="E133">
            <v>741.22</v>
          </cell>
        </row>
        <row r="134">
          <cell r="C134">
            <v>1320011</v>
          </cell>
          <cell r="D134" t="str">
            <v xml:space="preserve">MTR </v>
          </cell>
          <cell r="E134">
            <v>1189.55</v>
          </cell>
        </row>
        <row r="135">
          <cell r="C135">
            <v>1320012</v>
          </cell>
          <cell r="D135" t="str">
            <v xml:space="preserve">MTR </v>
          </cell>
          <cell r="E135">
            <v>2131.09</v>
          </cell>
        </row>
        <row r="136">
          <cell r="C136">
            <v>1320013</v>
          </cell>
          <cell r="D136" t="str">
            <v xml:space="preserve">MTR </v>
          </cell>
          <cell r="E136">
            <v>922.88</v>
          </cell>
        </row>
        <row r="137">
          <cell r="C137">
            <v>1330001</v>
          </cell>
          <cell r="D137" t="str">
            <v xml:space="preserve">MTR </v>
          </cell>
          <cell r="E137">
            <v>144</v>
          </cell>
        </row>
        <row r="138">
          <cell r="C138">
            <v>1330002</v>
          </cell>
          <cell r="D138" t="str">
            <v xml:space="preserve">MTR </v>
          </cell>
          <cell r="E138">
            <v>75</v>
          </cell>
        </row>
        <row r="139">
          <cell r="C139">
            <v>1330004</v>
          </cell>
          <cell r="D139" t="str">
            <v xml:space="preserve">MTR </v>
          </cell>
          <cell r="E139">
            <v>141.28</v>
          </cell>
        </row>
        <row r="140">
          <cell r="C140">
            <v>1330006</v>
          </cell>
          <cell r="D140" t="str">
            <v xml:space="preserve">UND </v>
          </cell>
          <cell r="E140">
            <v>103</v>
          </cell>
        </row>
        <row r="141">
          <cell r="C141">
            <v>1330007</v>
          </cell>
          <cell r="D141" t="str">
            <v xml:space="preserve">UND </v>
          </cell>
          <cell r="E141">
            <v>154.38999999999999</v>
          </cell>
        </row>
        <row r="142">
          <cell r="C142">
            <v>1330009</v>
          </cell>
          <cell r="D142" t="str">
            <v xml:space="preserve">UND </v>
          </cell>
          <cell r="E142">
            <v>134.30000000000001</v>
          </cell>
        </row>
        <row r="143">
          <cell r="C143">
            <v>1330010</v>
          </cell>
          <cell r="D143" t="str">
            <v xml:space="preserve">UND </v>
          </cell>
          <cell r="E143">
            <v>114</v>
          </cell>
        </row>
        <row r="144">
          <cell r="C144">
            <v>1330011</v>
          </cell>
          <cell r="D144" t="str">
            <v xml:space="preserve">UND </v>
          </cell>
          <cell r="E144">
            <v>141.4</v>
          </cell>
        </row>
        <row r="145">
          <cell r="C145">
            <v>1330012</v>
          </cell>
          <cell r="D145" t="str">
            <v xml:space="preserve">UND </v>
          </cell>
          <cell r="E145">
            <v>119.99</v>
          </cell>
        </row>
        <row r="146">
          <cell r="C146">
            <v>1330013</v>
          </cell>
          <cell r="D146" t="str">
            <v xml:space="preserve">UND </v>
          </cell>
          <cell r="E146">
            <v>256.63</v>
          </cell>
        </row>
        <row r="147">
          <cell r="C147">
            <v>1330015</v>
          </cell>
          <cell r="D147" t="str">
            <v xml:space="preserve">UND </v>
          </cell>
          <cell r="E147">
            <v>135</v>
          </cell>
        </row>
        <row r="148">
          <cell r="C148">
            <v>1330018</v>
          </cell>
          <cell r="D148" t="str">
            <v xml:space="preserve">UND </v>
          </cell>
          <cell r="E148">
            <v>138.6</v>
          </cell>
        </row>
        <row r="149">
          <cell r="C149">
            <v>1330021</v>
          </cell>
          <cell r="D149" t="str">
            <v xml:space="preserve">UND </v>
          </cell>
          <cell r="E149">
            <v>145.4</v>
          </cell>
        </row>
        <row r="150">
          <cell r="C150">
            <v>1330022</v>
          </cell>
          <cell r="D150" t="str">
            <v xml:space="preserve">UND </v>
          </cell>
          <cell r="E150">
            <v>40.869999999999997</v>
          </cell>
        </row>
        <row r="151">
          <cell r="C151">
            <v>1330026</v>
          </cell>
          <cell r="D151" t="str">
            <v xml:space="preserve">UND </v>
          </cell>
          <cell r="E151">
            <v>154.13999999999999</v>
          </cell>
        </row>
        <row r="152">
          <cell r="C152">
            <v>1330027</v>
          </cell>
          <cell r="D152" t="str">
            <v xml:space="preserve">UND </v>
          </cell>
          <cell r="E152">
            <v>331.33</v>
          </cell>
        </row>
        <row r="153">
          <cell r="C153">
            <v>1330028</v>
          </cell>
          <cell r="D153" t="str">
            <v xml:space="preserve">UND </v>
          </cell>
          <cell r="E153">
            <v>144.94</v>
          </cell>
        </row>
        <row r="154">
          <cell r="C154">
            <v>1330029</v>
          </cell>
          <cell r="D154" t="str">
            <v xml:space="preserve">UND </v>
          </cell>
          <cell r="E154">
            <v>162.88</v>
          </cell>
        </row>
        <row r="155">
          <cell r="C155">
            <v>1330031</v>
          </cell>
          <cell r="D155" t="str">
            <v xml:space="preserve">UND </v>
          </cell>
          <cell r="E155">
            <v>135</v>
          </cell>
        </row>
        <row r="156">
          <cell r="C156">
            <v>1330032</v>
          </cell>
          <cell r="D156" t="str">
            <v xml:space="preserve">UND </v>
          </cell>
          <cell r="E156">
            <v>166.97</v>
          </cell>
        </row>
        <row r="157">
          <cell r="C157">
            <v>1330034</v>
          </cell>
          <cell r="D157" t="str">
            <v xml:space="preserve">UND </v>
          </cell>
          <cell r="E157">
            <v>69.3</v>
          </cell>
        </row>
        <row r="158">
          <cell r="C158">
            <v>1330035</v>
          </cell>
          <cell r="D158" t="str">
            <v xml:space="preserve">UND </v>
          </cell>
          <cell r="E158">
            <v>69.3</v>
          </cell>
        </row>
        <row r="159">
          <cell r="C159">
            <v>1330036</v>
          </cell>
          <cell r="D159" t="str">
            <v xml:space="preserve">UND </v>
          </cell>
          <cell r="E159">
            <v>69.3</v>
          </cell>
        </row>
        <row r="160">
          <cell r="C160">
            <v>1330037</v>
          </cell>
          <cell r="D160" t="str">
            <v xml:space="preserve">UND </v>
          </cell>
          <cell r="E160">
            <v>69.3</v>
          </cell>
        </row>
        <row r="161">
          <cell r="C161">
            <v>1330038</v>
          </cell>
          <cell r="D161" t="str">
            <v xml:space="preserve">UND </v>
          </cell>
          <cell r="E161">
            <v>69.3</v>
          </cell>
        </row>
        <row r="162">
          <cell r="C162">
            <v>1330039</v>
          </cell>
          <cell r="D162" t="str">
            <v xml:space="preserve">UND </v>
          </cell>
          <cell r="E162">
            <v>0</v>
          </cell>
        </row>
        <row r="163">
          <cell r="C163">
            <v>1330040</v>
          </cell>
          <cell r="D163" t="str">
            <v xml:space="preserve">UND </v>
          </cell>
          <cell r="E163">
            <v>123.19</v>
          </cell>
        </row>
        <row r="164">
          <cell r="C164">
            <v>1330041</v>
          </cell>
          <cell r="D164" t="str">
            <v xml:space="preserve">UND </v>
          </cell>
          <cell r="E164">
            <v>0</v>
          </cell>
        </row>
        <row r="165">
          <cell r="C165">
            <v>1330042</v>
          </cell>
          <cell r="D165" t="str">
            <v xml:space="preserve">UND </v>
          </cell>
          <cell r="E165">
            <v>152.19999999999999</v>
          </cell>
        </row>
        <row r="166">
          <cell r="C166">
            <v>1330043</v>
          </cell>
          <cell r="D166" t="str">
            <v xml:space="preserve">UND </v>
          </cell>
          <cell r="E166">
            <v>85.1</v>
          </cell>
        </row>
        <row r="167">
          <cell r="C167">
            <v>1330044</v>
          </cell>
          <cell r="D167" t="str">
            <v xml:space="preserve">UND </v>
          </cell>
          <cell r="E167">
            <v>152.6</v>
          </cell>
        </row>
        <row r="168">
          <cell r="C168">
            <v>1330045</v>
          </cell>
          <cell r="D168" t="str">
            <v xml:space="preserve">UND </v>
          </cell>
          <cell r="E168">
            <v>88.48</v>
          </cell>
        </row>
        <row r="169">
          <cell r="C169">
            <v>1330046</v>
          </cell>
          <cell r="D169" t="str">
            <v xml:space="preserve">UND </v>
          </cell>
          <cell r="E169">
            <v>77</v>
          </cell>
        </row>
        <row r="170">
          <cell r="C170">
            <v>1330047</v>
          </cell>
          <cell r="D170" t="str">
            <v xml:space="preserve">UND </v>
          </cell>
          <cell r="E170">
            <v>88.02</v>
          </cell>
        </row>
        <row r="171">
          <cell r="C171">
            <v>1330048</v>
          </cell>
          <cell r="D171" t="str">
            <v xml:space="preserve">UND </v>
          </cell>
          <cell r="E171">
            <v>112</v>
          </cell>
        </row>
        <row r="172">
          <cell r="C172">
            <v>1330049</v>
          </cell>
          <cell r="D172" t="str">
            <v xml:space="preserve">UND </v>
          </cell>
          <cell r="E172">
            <v>88.11</v>
          </cell>
        </row>
        <row r="173">
          <cell r="C173">
            <v>1330050</v>
          </cell>
          <cell r="D173" t="str">
            <v xml:space="preserve">UND </v>
          </cell>
          <cell r="E173">
            <v>77</v>
          </cell>
        </row>
        <row r="174">
          <cell r="C174">
            <v>1330051</v>
          </cell>
          <cell r="D174" t="str">
            <v xml:space="preserve">UND </v>
          </cell>
          <cell r="E174">
            <v>119.7</v>
          </cell>
        </row>
        <row r="175">
          <cell r="C175">
            <v>1330052</v>
          </cell>
          <cell r="D175" t="str">
            <v xml:space="preserve">UND </v>
          </cell>
          <cell r="E175">
            <v>88.11</v>
          </cell>
        </row>
        <row r="176">
          <cell r="C176">
            <v>1330053</v>
          </cell>
          <cell r="D176" t="str">
            <v xml:space="preserve">UND </v>
          </cell>
          <cell r="E176">
            <v>88.13</v>
          </cell>
        </row>
        <row r="177">
          <cell r="C177">
            <v>1330054</v>
          </cell>
          <cell r="D177" t="str">
            <v xml:space="preserve">UND </v>
          </cell>
          <cell r="E177">
            <v>87.83</v>
          </cell>
        </row>
        <row r="178">
          <cell r="C178">
            <v>1330055</v>
          </cell>
          <cell r="D178" t="str">
            <v xml:space="preserve">UND </v>
          </cell>
          <cell r="E178">
            <v>88.16</v>
          </cell>
        </row>
        <row r="179">
          <cell r="C179">
            <v>1330057</v>
          </cell>
          <cell r="D179" t="str">
            <v xml:space="preserve">UND </v>
          </cell>
          <cell r="E179">
            <v>82.69</v>
          </cell>
        </row>
        <row r="180">
          <cell r="C180">
            <v>1330058</v>
          </cell>
          <cell r="D180" t="str">
            <v xml:space="preserve">UND </v>
          </cell>
          <cell r="E180">
            <v>88.16</v>
          </cell>
        </row>
        <row r="181">
          <cell r="C181">
            <v>1330059</v>
          </cell>
          <cell r="D181" t="str">
            <v xml:space="preserve">UND </v>
          </cell>
          <cell r="E181">
            <v>88.11</v>
          </cell>
        </row>
        <row r="182">
          <cell r="C182">
            <v>1330060</v>
          </cell>
          <cell r="D182" t="str">
            <v xml:space="preserve">UND </v>
          </cell>
          <cell r="E182">
            <v>82.1</v>
          </cell>
        </row>
        <row r="183">
          <cell r="C183">
            <v>1330062</v>
          </cell>
          <cell r="D183" t="str">
            <v xml:space="preserve">UND </v>
          </cell>
          <cell r="E183">
            <v>261.47000000000003</v>
          </cell>
        </row>
        <row r="184">
          <cell r="C184">
            <v>1330065</v>
          </cell>
          <cell r="D184" t="str">
            <v xml:space="preserve">UND </v>
          </cell>
          <cell r="E184">
            <v>149.34</v>
          </cell>
        </row>
        <row r="185">
          <cell r="C185">
            <v>1330066</v>
          </cell>
          <cell r="D185" t="str">
            <v xml:space="preserve">UND </v>
          </cell>
          <cell r="E185">
            <v>86.85</v>
          </cell>
        </row>
        <row r="186">
          <cell r="C186">
            <v>1330068</v>
          </cell>
          <cell r="D186" t="str">
            <v xml:space="preserve">UND </v>
          </cell>
          <cell r="E186">
            <v>77</v>
          </cell>
        </row>
        <row r="187">
          <cell r="C187">
            <v>1330074</v>
          </cell>
          <cell r="D187" t="str">
            <v xml:space="preserve">UND </v>
          </cell>
          <cell r="E187">
            <v>87.82</v>
          </cell>
        </row>
        <row r="188">
          <cell r="C188">
            <v>1330075</v>
          </cell>
          <cell r="D188" t="str">
            <v xml:space="preserve">UND </v>
          </cell>
          <cell r="E188">
            <v>88.11</v>
          </cell>
        </row>
        <row r="189">
          <cell r="C189">
            <v>1330076</v>
          </cell>
          <cell r="D189" t="str">
            <v xml:space="preserve">UND </v>
          </cell>
          <cell r="E189">
            <v>77</v>
          </cell>
        </row>
        <row r="190">
          <cell r="C190">
            <v>1330077</v>
          </cell>
          <cell r="D190" t="str">
            <v xml:space="preserve">UND </v>
          </cell>
          <cell r="E190">
            <v>77</v>
          </cell>
        </row>
        <row r="191">
          <cell r="C191">
            <v>1330078</v>
          </cell>
          <cell r="D191" t="str">
            <v xml:space="preserve">UND </v>
          </cell>
          <cell r="E191">
            <v>155.30000000000001</v>
          </cell>
        </row>
        <row r="192">
          <cell r="C192">
            <v>1330080</v>
          </cell>
          <cell r="D192" t="str">
            <v xml:space="preserve">UND </v>
          </cell>
          <cell r="E192">
            <v>154.41999999999999</v>
          </cell>
        </row>
        <row r="193">
          <cell r="C193">
            <v>1330081</v>
          </cell>
          <cell r="D193" t="str">
            <v xml:space="preserve">UND </v>
          </cell>
          <cell r="E193">
            <v>137.25</v>
          </cell>
        </row>
        <row r="194">
          <cell r="C194">
            <v>1330082</v>
          </cell>
          <cell r="D194" t="str">
            <v xml:space="preserve">UND </v>
          </cell>
          <cell r="E194">
            <v>135</v>
          </cell>
        </row>
        <row r="195">
          <cell r="C195">
            <v>1330083</v>
          </cell>
          <cell r="D195" t="str">
            <v xml:space="preserve">UND </v>
          </cell>
          <cell r="E195">
            <v>76.900000000000006</v>
          </cell>
        </row>
        <row r="196">
          <cell r="C196">
            <v>1330084</v>
          </cell>
          <cell r="D196" t="str">
            <v xml:space="preserve">UND </v>
          </cell>
          <cell r="E196">
            <v>249.5</v>
          </cell>
        </row>
        <row r="197">
          <cell r="C197">
            <v>1330085</v>
          </cell>
          <cell r="D197" t="str">
            <v xml:space="preserve">UND </v>
          </cell>
          <cell r="E197">
            <v>128.9</v>
          </cell>
        </row>
        <row r="198">
          <cell r="C198">
            <v>1330087</v>
          </cell>
          <cell r="D198" t="str">
            <v xml:space="preserve">UND </v>
          </cell>
          <cell r="E198">
            <v>144.44999999999999</v>
          </cell>
        </row>
        <row r="199">
          <cell r="C199">
            <v>1330088</v>
          </cell>
          <cell r="D199" t="str">
            <v xml:space="preserve">UND </v>
          </cell>
          <cell r="E199">
            <v>267</v>
          </cell>
        </row>
        <row r="200">
          <cell r="C200">
            <v>1330089</v>
          </cell>
          <cell r="D200" t="str">
            <v xml:space="preserve">UND </v>
          </cell>
          <cell r="E200">
            <v>94.88</v>
          </cell>
        </row>
        <row r="201">
          <cell r="C201">
            <v>1330090</v>
          </cell>
          <cell r="D201" t="str">
            <v xml:space="preserve">UND </v>
          </cell>
          <cell r="E201">
            <v>144.44999999999999</v>
          </cell>
        </row>
        <row r="202">
          <cell r="C202">
            <v>1330091</v>
          </cell>
          <cell r="D202" t="str">
            <v xml:space="preserve">UND </v>
          </cell>
          <cell r="E202">
            <v>267</v>
          </cell>
        </row>
        <row r="203">
          <cell r="C203">
            <v>1330092</v>
          </cell>
          <cell r="D203" t="str">
            <v xml:space="preserve">UND </v>
          </cell>
          <cell r="E203">
            <v>102</v>
          </cell>
        </row>
        <row r="204">
          <cell r="C204">
            <v>1330093</v>
          </cell>
          <cell r="D204" t="str">
            <v xml:space="preserve">UND </v>
          </cell>
          <cell r="E204">
            <v>137.81</v>
          </cell>
        </row>
        <row r="205">
          <cell r="C205">
            <v>1340001</v>
          </cell>
          <cell r="D205" t="str">
            <v xml:space="preserve">UND </v>
          </cell>
          <cell r="E205">
            <v>62</v>
          </cell>
        </row>
        <row r="206">
          <cell r="C206">
            <v>1340002</v>
          </cell>
          <cell r="D206" t="str">
            <v xml:space="preserve">UND </v>
          </cell>
          <cell r="E206">
            <v>647.04</v>
          </cell>
        </row>
        <row r="207">
          <cell r="C207">
            <v>1340003</v>
          </cell>
          <cell r="D207" t="str">
            <v xml:space="preserve">UND </v>
          </cell>
          <cell r="E207">
            <v>578.97</v>
          </cell>
        </row>
        <row r="208">
          <cell r="C208">
            <v>1340005</v>
          </cell>
          <cell r="D208" t="str">
            <v xml:space="preserve">UND </v>
          </cell>
          <cell r="E208">
            <v>482.97</v>
          </cell>
        </row>
        <row r="209">
          <cell r="C209">
            <v>1340006</v>
          </cell>
          <cell r="D209" t="str">
            <v xml:space="preserve">UND </v>
          </cell>
          <cell r="E209">
            <v>677.01</v>
          </cell>
        </row>
        <row r="210">
          <cell r="C210">
            <v>1340008</v>
          </cell>
          <cell r="D210" t="str">
            <v xml:space="preserve">UND </v>
          </cell>
          <cell r="E210">
            <v>333.71</v>
          </cell>
        </row>
        <row r="211">
          <cell r="C211">
            <v>1340009</v>
          </cell>
          <cell r="D211" t="str">
            <v xml:space="preserve">UND </v>
          </cell>
          <cell r="E211">
            <v>373.7</v>
          </cell>
        </row>
        <row r="212">
          <cell r="C212">
            <v>1340010</v>
          </cell>
          <cell r="D212" t="str">
            <v xml:space="preserve">UND </v>
          </cell>
          <cell r="E212">
            <v>306.42</v>
          </cell>
        </row>
        <row r="213">
          <cell r="C213">
            <v>1340012</v>
          </cell>
          <cell r="D213" t="str">
            <v xml:space="preserve">UND </v>
          </cell>
          <cell r="E213">
            <v>255.5</v>
          </cell>
        </row>
        <row r="214">
          <cell r="C214">
            <v>1340015</v>
          </cell>
          <cell r="D214" t="str">
            <v xml:space="preserve">UND </v>
          </cell>
          <cell r="E214">
            <v>476</v>
          </cell>
        </row>
        <row r="215">
          <cell r="C215">
            <v>1340016</v>
          </cell>
          <cell r="D215" t="str">
            <v xml:space="preserve">UND </v>
          </cell>
          <cell r="E215">
            <v>550</v>
          </cell>
        </row>
        <row r="216">
          <cell r="C216">
            <v>1350001</v>
          </cell>
          <cell r="D216" t="str">
            <v xml:space="preserve">UND </v>
          </cell>
          <cell r="E216">
            <v>2289</v>
          </cell>
        </row>
        <row r="217">
          <cell r="C217">
            <v>1350003</v>
          </cell>
          <cell r="D217" t="str">
            <v xml:space="preserve">UND </v>
          </cell>
          <cell r="E217">
            <v>2516.9699999999998</v>
          </cell>
        </row>
        <row r="218">
          <cell r="C218">
            <v>1350004</v>
          </cell>
          <cell r="D218" t="str">
            <v xml:space="preserve">UND </v>
          </cell>
          <cell r="E218">
            <v>2517</v>
          </cell>
        </row>
        <row r="219">
          <cell r="C219">
            <v>1350005</v>
          </cell>
          <cell r="D219" t="str">
            <v xml:space="preserve">UND </v>
          </cell>
          <cell r="E219">
            <v>2752</v>
          </cell>
        </row>
        <row r="220">
          <cell r="C220">
            <v>1350006</v>
          </cell>
          <cell r="D220" t="str">
            <v xml:space="preserve">UND </v>
          </cell>
          <cell r="E220">
            <v>1448.78</v>
          </cell>
        </row>
        <row r="221">
          <cell r="C221">
            <v>1350011</v>
          </cell>
          <cell r="D221" t="str">
            <v xml:space="preserve">UND </v>
          </cell>
          <cell r="E221">
            <v>1414</v>
          </cell>
        </row>
        <row r="222">
          <cell r="C222">
            <v>1350012</v>
          </cell>
          <cell r="D222" t="str">
            <v xml:space="preserve">UND </v>
          </cell>
          <cell r="E222">
            <v>1380</v>
          </cell>
        </row>
        <row r="223">
          <cell r="C223">
            <v>1350013</v>
          </cell>
          <cell r="D223" t="str">
            <v xml:space="preserve">UND </v>
          </cell>
          <cell r="E223">
            <v>1102</v>
          </cell>
        </row>
        <row r="224">
          <cell r="C224">
            <v>1350017</v>
          </cell>
          <cell r="D224" t="str">
            <v xml:space="preserve">UND </v>
          </cell>
          <cell r="E224">
            <v>1589.57</v>
          </cell>
        </row>
        <row r="225">
          <cell r="C225">
            <v>1350018</v>
          </cell>
          <cell r="D225" t="str">
            <v xml:space="preserve">UND </v>
          </cell>
          <cell r="E225">
            <v>3281</v>
          </cell>
        </row>
        <row r="226">
          <cell r="C226">
            <v>1350019</v>
          </cell>
          <cell r="D226" t="str">
            <v xml:space="preserve">UND </v>
          </cell>
          <cell r="E226">
            <v>1652</v>
          </cell>
        </row>
        <row r="227">
          <cell r="C227">
            <v>1350020</v>
          </cell>
          <cell r="D227" t="str">
            <v xml:space="preserve">UND </v>
          </cell>
          <cell r="E227">
            <v>1652</v>
          </cell>
        </row>
        <row r="228">
          <cell r="C228">
            <v>1360001</v>
          </cell>
          <cell r="D228" t="str">
            <v xml:space="preserve">UND </v>
          </cell>
          <cell r="E228">
            <v>22</v>
          </cell>
        </row>
        <row r="229">
          <cell r="C229">
            <v>1360003</v>
          </cell>
          <cell r="D229" t="str">
            <v xml:space="preserve">UND </v>
          </cell>
          <cell r="E229">
            <v>22.53</v>
          </cell>
        </row>
        <row r="230">
          <cell r="C230">
            <v>1370001</v>
          </cell>
          <cell r="D230" t="str">
            <v xml:space="preserve">UND </v>
          </cell>
          <cell r="E230">
            <v>3858.27</v>
          </cell>
        </row>
        <row r="231">
          <cell r="C231">
            <v>1370002</v>
          </cell>
          <cell r="D231" t="str">
            <v xml:space="preserve">UND </v>
          </cell>
          <cell r="E231">
            <v>5325.93</v>
          </cell>
        </row>
        <row r="232">
          <cell r="C232">
            <v>1370003</v>
          </cell>
          <cell r="D232" t="str">
            <v xml:space="preserve">MTR </v>
          </cell>
          <cell r="E232">
            <v>698</v>
          </cell>
        </row>
        <row r="233">
          <cell r="C233">
            <v>1370004</v>
          </cell>
          <cell r="D233" t="str">
            <v xml:space="preserve">MTR </v>
          </cell>
          <cell r="E233">
            <v>164.29</v>
          </cell>
        </row>
        <row r="234">
          <cell r="C234">
            <v>1370007</v>
          </cell>
          <cell r="D234" t="str">
            <v xml:space="preserve">MTR </v>
          </cell>
          <cell r="E234">
            <v>181.76</v>
          </cell>
        </row>
        <row r="235">
          <cell r="C235">
            <v>1370008</v>
          </cell>
          <cell r="D235" t="str">
            <v xml:space="preserve">MTR </v>
          </cell>
          <cell r="E235">
            <v>362.7</v>
          </cell>
        </row>
        <row r="236">
          <cell r="C236">
            <v>1370009</v>
          </cell>
          <cell r="D236" t="str">
            <v xml:space="preserve">MTR </v>
          </cell>
          <cell r="E236">
            <v>487.07</v>
          </cell>
        </row>
        <row r="237">
          <cell r="C237">
            <v>1370011</v>
          </cell>
          <cell r="D237" t="str">
            <v xml:space="preserve">MTR </v>
          </cell>
          <cell r="E237">
            <v>144.65</v>
          </cell>
        </row>
        <row r="238">
          <cell r="C238">
            <v>1370012</v>
          </cell>
          <cell r="D238" t="str">
            <v xml:space="preserve">MTR </v>
          </cell>
          <cell r="E238">
            <v>505.84</v>
          </cell>
        </row>
        <row r="239">
          <cell r="C239">
            <v>1370013</v>
          </cell>
          <cell r="D239" t="str">
            <v xml:space="preserve">MTR </v>
          </cell>
          <cell r="E239">
            <v>430.2</v>
          </cell>
        </row>
        <row r="240">
          <cell r="C240">
            <v>1370014</v>
          </cell>
          <cell r="D240" t="str">
            <v xml:space="preserve">MTR </v>
          </cell>
          <cell r="E240">
            <v>555.02</v>
          </cell>
        </row>
        <row r="241">
          <cell r="C241">
            <v>1370015</v>
          </cell>
          <cell r="D241" t="str">
            <v xml:space="preserve">MTR </v>
          </cell>
          <cell r="E241">
            <v>552.94000000000005</v>
          </cell>
        </row>
        <row r="242">
          <cell r="C242">
            <v>1370016</v>
          </cell>
          <cell r="D242" t="str">
            <v xml:space="preserve">MTR </v>
          </cell>
          <cell r="E242">
            <v>627.22</v>
          </cell>
        </row>
        <row r="243">
          <cell r="C243">
            <v>1370017</v>
          </cell>
          <cell r="D243" t="str">
            <v xml:space="preserve">MTR </v>
          </cell>
          <cell r="E243">
            <v>433.28</v>
          </cell>
        </row>
        <row r="244">
          <cell r="C244">
            <v>1370018</v>
          </cell>
          <cell r="D244" t="str">
            <v xml:space="preserve">MTR </v>
          </cell>
          <cell r="E244">
            <v>464.57</v>
          </cell>
        </row>
        <row r="245">
          <cell r="C245">
            <v>1370019</v>
          </cell>
          <cell r="D245" t="str">
            <v xml:space="preserve">MTR </v>
          </cell>
          <cell r="E245">
            <v>482.31</v>
          </cell>
        </row>
        <row r="246">
          <cell r="C246">
            <v>1370020</v>
          </cell>
          <cell r="D246" t="str">
            <v xml:space="preserve">MTR </v>
          </cell>
          <cell r="E246">
            <v>546.12</v>
          </cell>
        </row>
        <row r="247">
          <cell r="C247">
            <v>1370021</v>
          </cell>
          <cell r="D247" t="str">
            <v xml:space="preserve">MTR </v>
          </cell>
          <cell r="E247">
            <v>528.77</v>
          </cell>
        </row>
        <row r="248">
          <cell r="C248">
            <v>1370025</v>
          </cell>
          <cell r="D248" t="str">
            <v xml:space="preserve">MTR </v>
          </cell>
          <cell r="E248">
            <v>555.04</v>
          </cell>
        </row>
        <row r="249">
          <cell r="C249">
            <v>1370026</v>
          </cell>
          <cell r="D249" t="str">
            <v xml:space="preserve">MTR </v>
          </cell>
          <cell r="E249">
            <v>10084.85</v>
          </cell>
        </row>
        <row r="250">
          <cell r="C250">
            <v>1370027</v>
          </cell>
          <cell r="D250" t="str">
            <v xml:space="preserve">MTR </v>
          </cell>
          <cell r="E250">
            <v>3530.34</v>
          </cell>
        </row>
        <row r="251">
          <cell r="C251">
            <v>1370028</v>
          </cell>
          <cell r="D251" t="str">
            <v xml:space="preserve">MTR </v>
          </cell>
          <cell r="E251">
            <v>186.09</v>
          </cell>
        </row>
        <row r="252">
          <cell r="C252">
            <v>1370029</v>
          </cell>
          <cell r="D252" t="str">
            <v xml:space="preserve">MTR </v>
          </cell>
          <cell r="E252">
            <v>580</v>
          </cell>
        </row>
        <row r="253">
          <cell r="C253">
            <v>1370030</v>
          </cell>
          <cell r="D253" t="str">
            <v xml:space="preserve">MTR </v>
          </cell>
          <cell r="E253">
            <v>180.22</v>
          </cell>
        </row>
        <row r="254">
          <cell r="C254">
            <v>1370031</v>
          </cell>
          <cell r="D254" t="str">
            <v xml:space="preserve">MTR </v>
          </cell>
          <cell r="E254">
            <v>136.56</v>
          </cell>
        </row>
        <row r="255">
          <cell r="C255">
            <v>1370032</v>
          </cell>
          <cell r="D255" t="str">
            <v xml:space="preserve">MTR </v>
          </cell>
          <cell r="E255">
            <v>175.85</v>
          </cell>
        </row>
        <row r="256">
          <cell r="C256">
            <v>1370035</v>
          </cell>
          <cell r="D256" t="str">
            <v xml:space="preserve">MTR </v>
          </cell>
          <cell r="E256">
            <v>169.93</v>
          </cell>
        </row>
        <row r="257">
          <cell r="C257">
            <v>1370036</v>
          </cell>
          <cell r="D257" t="str">
            <v xml:space="preserve">MTR </v>
          </cell>
          <cell r="E257">
            <v>181.62</v>
          </cell>
        </row>
        <row r="258">
          <cell r="C258">
            <v>1370039</v>
          </cell>
          <cell r="D258" t="str">
            <v xml:space="preserve">MTR </v>
          </cell>
          <cell r="E258">
            <v>387.4</v>
          </cell>
        </row>
        <row r="259">
          <cell r="C259">
            <v>1370040</v>
          </cell>
          <cell r="D259" t="str">
            <v xml:space="preserve">MTR </v>
          </cell>
          <cell r="E259">
            <v>0</v>
          </cell>
        </row>
        <row r="260">
          <cell r="C260">
            <v>1370041</v>
          </cell>
          <cell r="D260" t="str">
            <v xml:space="preserve">MTR </v>
          </cell>
          <cell r="E260">
            <v>500.19</v>
          </cell>
        </row>
        <row r="261">
          <cell r="C261">
            <v>1370047</v>
          </cell>
          <cell r="D261" t="str">
            <v xml:space="preserve">MTR </v>
          </cell>
          <cell r="E261">
            <v>5327.21</v>
          </cell>
        </row>
        <row r="262">
          <cell r="C262">
            <v>1370048</v>
          </cell>
          <cell r="D262" t="str">
            <v xml:space="preserve">MTR </v>
          </cell>
          <cell r="E262">
            <v>1806.94</v>
          </cell>
        </row>
        <row r="263">
          <cell r="C263">
            <v>1370049</v>
          </cell>
          <cell r="D263" t="str">
            <v xml:space="preserve">MTR </v>
          </cell>
          <cell r="E263">
            <v>0</v>
          </cell>
        </row>
        <row r="264">
          <cell r="C264">
            <v>1370051</v>
          </cell>
          <cell r="D264" t="str">
            <v xml:space="preserve">MTR </v>
          </cell>
          <cell r="E264">
            <v>1127.56</v>
          </cell>
        </row>
        <row r="265">
          <cell r="C265">
            <v>1380002</v>
          </cell>
          <cell r="D265" t="str">
            <v xml:space="preserve">MTR </v>
          </cell>
          <cell r="E265">
            <v>73.33</v>
          </cell>
        </row>
        <row r="266">
          <cell r="C266">
            <v>1380003</v>
          </cell>
          <cell r="D266" t="str">
            <v xml:space="preserve">MTR </v>
          </cell>
          <cell r="E266">
            <v>56.19</v>
          </cell>
        </row>
        <row r="267">
          <cell r="C267">
            <v>1380004</v>
          </cell>
          <cell r="D267" t="str">
            <v xml:space="preserve">MTR </v>
          </cell>
          <cell r="E267">
            <v>22.59</v>
          </cell>
        </row>
        <row r="268">
          <cell r="C268">
            <v>1380005</v>
          </cell>
          <cell r="D268" t="str">
            <v xml:space="preserve">UND </v>
          </cell>
          <cell r="E268">
            <v>29.02</v>
          </cell>
        </row>
        <row r="269">
          <cell r="C269">
            <v>2903001</v>
          </cell>
          <cell r="D269" t="str">
            <v xml:space="preserve">UND </v>
          </cell>
          <cell r="E269">
            <v>12500</v>
          </cell>
        </row>
        <row r="270">
          <cell r="C270">
            <v>2903002</v>
          </cell>
          <cell r="D270" t="str">
            <v xml:space="preserve">UND </v>
          </cell>
          <cell r="E270">
            <v>13428.98</v>
          </cell>
        </row>
        <row r="271">
          <cell r="C271">
            <v>2903003</v>
          </cell>
          <cell r="D271" t="str">
            <v xml:space="preserve">UND </v>
          </cell>
          <cell r="E271">
            <v>11506.13</v>
          </cell>
        </row>
        <row r="272">
          <cell r="C272">
            <v>2906001</v>
          </cell>
          <cell r="D272" t="str">
            <v xml:space="preserve">KG  </v>
          </cell>
          <cell r="E272">
            <v>1956.71</v>
          </cell>
        </row>
        <row r="273">
          <cell r="C273">
            <v>2903003</v>
          </cell>
          <cell r="D273" t="str">
            <v xml:space="preserve">KG  </v>
          </cell>
          <cell r="E273">
            <v>11937.77</v>
          </cell>
        </row>
        <row r="274">
          <cell r="C274">
            <v>2906001</v>
          </cell>
          <cell r="D274" t="str">
            <v xml:space="preserve">KG  </v>
          </cell>
          <cell r="E274">
            <v>1980.55</v>
          </cell>
        </row>
        <row r="275">
          <cell r="C275">
            <v>2906002</v>
          </cell>
          <cell r="D275" t="str">
            <v xml:space="preserve">KG  </v>
          </cell>
          <cell r="E275">
            <v>8851.17</v>
          </cell>
        </row>
        <row r="276">
          <cell r="C276">
            <v>2904002</v>
          </cell>
          <cell r="D276" t="str">
            <v xml:space="preserve">KG  </v>
          </cell>
          <cell r="E276">
            <v>1972.11</v>
          </cell>
        </row>
        <row r="277">
          <cell r="C277">
            <v>2906001</v>
          </cell>
          <cell r="D277" t="str">
            <v xml:space="preserve">KG  </v>
          </cell>
          <cell r="E277">
            <v>1972.11</v>
          </cell>
        </row>
        <row r="278">
          <cell r="C278">
            <v>2906002</v>
          </cell>
          <cell r="E278">
            <v>8851.17</v>
          </cell>
        </row>
        <row r="279">
          <cell r="C279">
            <v>2917001</v>
          </cell>
          <cell r="E279">
            <v>1972.11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 refreshError="1">
        <row r="2">
          <cell r="C2">
            <v>1340005</v>
          </cell>
          <cell r="D2" t="str">
            <v xml:space="preserve">KG  </v>
          </cell>
          <cell r="E2">
            <v>460</v>
          </cell>
        </row>
        <row r="3">
          <cell r="C3">
            <v>1131002</v>
          </cell>
          <cell r="D3" t="str">
            <v xml:space="preserve">KG  </v>
          </cell>
          <cell r="E3">
            <v>0</v>
          </cell>
        </row>
        <row r="4">
          <cell r="C4">
            <v>1122008</v>
          </cell>
          <cell r="D4" t="str">
            <v xml:space="preserve">KG  </v>
          </cell>
          <cell r="E4">
            <v>12500</v>
          </cell>
        </row>
        <row r="5">
          <cell r="C5">
            <v>1112013</v>
          </cell>
          <cell r="D5" t="str">
            <v xml:space="preserve">KG  </v>
          </cell>
          <cell r="E5">
            <v>3800</v>
          </cell>
        </row>
        <row r="6">
          <cell r="C6">
            <v>1210005</v>
          </cell>
          <cell r="D6" t="str">
            <v xml:space="preserve">KG  </v>
          </cell>
          <cell r="E6">
            <v>1356</v>
          </cell>
        </row>
        <row r="7">
          <cell r="C7">
            <v>1220005</v>
          </cell>
          <cell r="D7" t="str">
            <v xml:space="preserve">KG  </v>
          </cell>
          <cell r="E7">
            <v>15769.98</v>
          </cell>
        </row>
        <row r="8">
          <cell r="C8">
            <v>1220007</v>
          </cell>
          <cell r="D8" t="str">
            <v xml:space="preserve">KG  </v>
          </cell>
          <cell r="E8">
            <v>59115.9</v>
          </cell>
        </row>
        <row r="9">
          <cell r="C9">
            <v>1220008</v>
          </cell>
          <cell r="D9" t="str">
            <v xml:space="preserve">KG  </v>
          </cell>
          <cell r="E9">
            <v>46549.7</v>
          </cell>
        </row>
        <row r="10">
          <cell r="C10">
            <v>1220009</v>
          </cell>
          <cell r="D10" t="str">
            <v xml:space="preserve">KG  </v>
          </cell>
          <cell r="E10">
            <v>20299</v>
          </cell>
        </row>
        <row r="11">
          <cell r="C11">
            <v>1220011</v>
          </cell>
          <cell r="D11" t="str">
            <v xml:space="preserve">KG  </v>
          </cell>
          <cell r="E11">
            <v>9773</v>
          </cell>
        </row>
        <row r="12">
          <cell r="C12">
            <v>1220014</v>
          </cell>
          <cell r="D12" t="str">
            <v xml:space="preserve">KG  </v>
          </cell>
          <cell r="E12">
            <v>13300</v>
          </cell>
        </row>
        <row r="13">
          <cell r="C13">
            <v>1250001</v>
          </cell>
          <cell r="D13" t="str">
            <v xml:space="preserve">KG  </v>
          </cell>
          <cell r="E13">
            <v>4888</v>
          </cell>
        </row>
        <row r="14">
          <cell r="C14">
            <v>1250003</v>
          </cell>
          <cell r="D14" t="str">
            <v xml:space="preserve">KG  </v>
          </cell>
          <cell r="E14">
            <v>42797.31</v>
          </cell>
        </row>
        <row r="15">
          <cell r="C15">
            <v>1260010</v>
          </cell>
          <cell r="D15" t="str">
            <v xml:space="preserve">KG  </v>
          </cell>
          <cell r="E15">
            <v>7048.44</v>
          </cell>
        </row>
        <row r="16">
          <cell r="C16">
            <v>1260015</v>
          </cell>
          <cell r="D16" t="str">
            <v xml:space="preserve">KG  </v>
          </cell>
          <cell r="E16">
            <v>3289.99</v>
          </cell>
        </row>
        <row r="17">
          <cell r="C17">
            <v>1360003</v>
          </cell>
          <cell r="D17" t="str">
            <v xml:space="preserve">KG  </v>
          </cell>
          <cell r="E17">
            <v>24.5</v>
          </cell>
        </row>
        <row r="18">
          <cell r="C18">
            <v>1270003</v>
          </cell>
          <cell r="D18" t="str">
            <v xml:space="preserve">KG  </v>
          </cell>
          <cell r="E18">
            <v>15446.47</v>
          </cell>
        </row>
        <row r="19">
          <cell r="C19">
            <v>1370004</v>
          </cell>
          <cell r="D19" t="str">
            <v xml:space="preserve">KG  </v>
          </cell>
          <cell r="E19">
            <v>166.69</v>
          </cell>
        </row>
        <row r="20">
          <cell r="C20">
            <v>1112002</v>
          </cell>
          <cell r="D20" t="str">
            <v xml:space="preserve">KG  </v>
          </cell>
          <cell r="E20">
            <v>3596.65</v>
          </cell>
        </row>
        <row r="21">
          <cell r="C21">
            <v>1121004</v>
          </cell>
          <cell r="D21" t="str">
            <v xml:space="preserve">KG  </v>
          </cell>
          <cell r="E21">
            <v>5609.77</v>
          </cell>
        </row>
        <row r="22">
          <cell r="C22">
            <v>1240008</v>
          </cell>
          <cell r="D22" t="str">
            <v xml:space="preserve">KG  </v>
          </cell>
          <cell r="E22">
            <v>12448.39</v>
          </cell>
        </row>
        <row r="23">
          <cell r="C23">
            <v>1240009</v>
          </cell>
          <cell r="D23" t="str">
            <v xml:space="preserve">KG  </v>
          </cell>
          <cell r="E23">
            <v>6700</v>
          </cell>
        </row>
        <row r="24">
          <cell r="C24">
            <v>1280003</v>
          </cell>
          <cell r="D24" t="str">
            <v xml:space="preserve">KG  </v>
          </cell>
          <cell r="E24">
            <v>34500</v>
          </cell>
        </row>
        <row r="25">
          <cell r="C25">
            <v>1121009</v>
          </cell>
          <cell r="D25" t="str">
            <v xml:space="preserve">KG  </v>
          </cell>
          <cell r="E25">
            <v>8427.2800000000007</v>
          </cell>
        </row>
        <row r="26">
          <cell r="C26">
            <v>1210003</v>
          </cell>
          <cell r="D26" t="str">
            <v xml:space="preserve">KG  </v>
          </cell>
          <cell r="E26">
            <v>11253.24</v>
          </cell>
        </row>
        <row r="27">
          <cell r="C27">
            <v>1210004</v>
          </cell>
          <cell r="D27" t="str">
            <v xml:space="preserve">KG  </v>
          </cell>
          <cell r="E27">
            <v>3818.5</v>
          </cell>
        </row>
        <row r="28">
          <cell r="C28">
            <v>1220015</v>
          </cell>
          <cell r="D28" t="str">
            <v xml:space="preserve">KG  </v>
          </cell>
          <cell r="E28">
            <v>29190</v>
          </cell>
        </row>
        <row r="29">
          <cell r="C29">
            <v>1240002</v>
          </cell>
          <cell r="D29" t="str">
            <v xml:space="preserve">KG  </v>
          </cell>
          <cell r="E29">
            <v>65222.11</v>
          </cell>
        </row>
        <row r="30">
          <cell r="C30">
            <v>1250004</v>
          </cell>
          <cell r="D30" t="str">
            <v xml:space="preserve">KG  </v>
          </cell>
          <cell r="E30">
            <v>156520.01999999999</v>
          </cell>
        </row>
        <row r="31">
          <cell r="C31">
            <v>1260005</v>
          </cell>
          <cell r="D31" t="str">
            <v xml:space="preserve">KG  </v>
          </cell>
          <cell r="E31">
            <v>25850</v>
          </cell>
        </row>
        <row r="32">
          <cell r="C32">
            <v>1260009</v>
          </cell>
          <cell r="D32" t="str">
            <v xml:space="preserve">KG  </v>
          </cell>
          <cell r="E32">
            <v>8625.84</v>
          </cell>
        </row>
        <row r="33">
          <cell r="C33">
            <v>1260012</v>
          </cell>
          <cell r="D33" t="str">
            <v xml:space="preserve">KG  </v>
          </cell>
          <cell r="E33">
            <v>46081</v>
          </cell>
        </row>
        <row r="34">
          <cell r="C34">
            <v>1210006</v>
          </cell>
          <cell r="D34" t="str">
            <v xml:space="preserve">KG  </v>
          </cell>
          <cell r="E34">
            <v>8904.5300000000007</v>
          </cell>
        </row>
        <row r="35">
          <cell r="C35">
            <v>121007</v>
          </cell>
          <cell r="D35" t="str">
            <v xml:space="preserve">KG  </v>
          </cell>
          <cell r="E35">
            <v>16155.29</v>
          </cell>
        </row>
        <row r="36">
          <cell r="C36">
            <v>1260017</v>
          </cell>
          <cell r="D36" t="str">
            <v xml:space="preserve">KG  </v>
          </cell>
          <cell r="E36">
            <v>4500</v>
          </cell>
        </row>
        <row r="37">
          <cell r="C37">
            <v>1250009</v>
          </cell>
          <cell r="D37" t="str">
            <v xml:space="preserve">KG  </v>
          </cell>
          <cell r="E37">
            <v>79895</v>
          </cell>
        </row>
        <row r="38">
          <cell r="C38">
            <v>1260024</v>
          </cell>
          <cell r="D38" t="str">
            <v xml:space="preserve">KG  </v>
          </cell>
          <cell r="E38">
            <v>12586.82</v>
          </cell>
        </row>
        <row r="39">
          <cell r="C39">
            <v>1310037</v>
          </cell>
          <cell r="D39" t="str">
            <v xml:space="preserve">KG  </v>
          </cell>
          <cell r="E39">
            <v>889</v>
          </cell>
        </row>
        <row r="40">
          <cell r="C40">
            <v>1330052</v>
          </cell>
          <cell r="D40" t="str">
            <v xml:space="preserve">KG  </v>
          </cell>
          <cell r="E40">
            <v>82.48</v>
          </cell>
        </row>
        <row r="41">
          <cell r="C41">
            <v>1320010</v>
          </cell>
          <cell r="D41" t="str">
            <v xml:space="preserve">KG  </v>
          </cell>
          <cell r="E41">
            <v>685.2</v>
          </cell>
        </row>
        <row r="42">
          <cell r="C42">
            <v>1320004</v>
          </cell>
          <cell r="D42" t="str">
            <v xml:space="preserve">KG  </v>
          </cell>
          <cell r="E42">
            <v>1403.52</v>
          </cell>
        </row>
        <row r="43">
          <cell r="C43">
            <v>1310058</v>
          </cell>
          <cell r="D43" t="str">
            <v xml:space="preserve">KG  </v>
          </cell>
          <cell r="E43">
            <v>889</v>
          </cell>
        </row>
        <row r="44">
          <cell r="C44">
            <v>1330075</v>
          </cell>
          <cell r="D44" t="str">
            <v xml:space="preserve">KG  </v>
          </cell>
          <cell r="E44">
            <v>82.39</v>
          </cell>
        </row>
        <row r="45">
          <cell r="C45">
            <v>1310018</v>
          </cell>
          <cell r="D45" t="str">
            <v xml:space="preserve">KG  </v>
          </cell>
          <cell r="E45">
            <v>454.33</v>
          </cell>
        </row>
        <row r="46">
          <cell r="C46">
            <v>1330007</v>
          </cell>
          <cell r="D46" t="str">
            <v xml:space="preserve">KG  </v>
          </cell>
          <cell r="E46">
            <v>144.93</v>
          </cell>
        </row>
        <row r="47">
          <cell r="C47">
            <v>1370007</v>
          </cell>
          <cell r="D47" t="str">
            <v xml:space="preserve">KG  </v>
          </cell>
          <cell r="E47">
            <v>178.15</v>
          </cell>
        </row>
        <row r="48">
          <cell r="C48">
            <v>1122001</v>
          </cell>
          <cell r="D48" t="str">
            <v xml:space="preserve">KG  </v>
          </cell>
          <cell r="E48">
            <v>14070.81</v>
          </cell>
        </row>
        <row r="49">
          <cell r="C49">
            <v>1220010</v>
          </cell>
          <cell r="D49" t="str">
            <v xml:space="preserve">KG  </v>
          </cell>
          <cell r="E49">
            <v>7753.69</v>
          </cell>
        </row>
        <row r="50">
          <cell r="C50">
            <v>1270009</v>
          </cell>
          <cell r="D50" t="str">
            <v xml:space="preserve">KG  </v>
          </cell>
          <cell r="E50">
            <v>54250.99</v>
          </cell>
        </row>
        <row r="51">
          <cell r="C51">
            <v>1330055</v>
          </cell>
          <cell r="D51" t="str">
            <v xml:space="preserve">KG  </v>
          </cell>
          <cell r="E51">
            <v>82.01</v>
          </cell>
        </row>
        <row r="52">
          <cell r="C52">
            <v>1320005</v>
          </cell>
          <cell r="D52" t="str">
            <v xml:space="preserve">KG  </v>
          </cell>
          <cell r="E52">
            <v>740.21</v>
          </cell>
        </row>
        <row r="53">
          <cell r="C53">
            <v>1330006</v>
          </cell>
          <cell r="D53" t="str">
            <v xml:space="preserve">KG  </v>
          </cell>
          <cell r="E53">
            <v>103</v>
          </cell>
        </row>
        <row r="54">
          <cell r="C54">
            <v>1330013</v>
          </cell>
          <cell r="D54" t="str">
            <v xml:space="preserve">KG  </v>
          </cell>
          <cell r="E54">
            <v>242</v>
          </cell>
        </row>
        <row r="55">
          <cell r="C55">
            <v>1370011</v>
          </cell>
          <cell r="D55" t="str">
            <v xml:space="preserve">KG  </v>
          </cell>
          <cell r="E55">
            <v>148.94999999999999</v>
          </cell>
        </row>
        <row r="56">
          <cell r="C56">
            <v>1121003</v>
          </cell>
          <cell r="D56" t="str">
            <v xml:space="preserve">KG  </v>
          </cell>
          <cell r="E56">
            <v>5800</v>
          </cell>
        </row>
        <row r="57">
          <cell r="C57">
            <v>1210002</v>
          </cell>
          <cell r="D57" t="str">
            <v xml:space="preserve">KG  </v>
          </cell>
          <cell r="E57">
            <v>12866</v>
          </cell>
        </row>
        <row r="58">
          <cell r="C58">
            <v>1330029</v>
          </cell>
          <cell r="D58" t="str">
            <v xml:space="preserve">KG  </v>
          </cell>
          <cell r="E58">
            <v>230.28</v>
          </cell>
        </row>
        <row r="59">
          <cell r="C59">
            <v>1330009</v>
          </cell>
          <cell r="D59" t="str">
            <v xml:space="preserve">KG  </v>
          </cell>
          <cell r="E59">
            <v>233.37</v>
          </cell>
        </row>
        <row r="60">
          <cell r="C60">
            <v>1330050</v>
          </cell>
          <cell r="D60" t="str">
            <v xml:space="preserve">KG  </v>
          </cell>
          <cell r="E60">
            <v>77</v>
          </cell>
        </row>
        <row r="61">
          <cell r="C61">
            <v>1370031</v>
          </cell>
          <cell r="D61" t="str">
            <v xml:space="preserve">KG  </v>
          </cell>
          <cell r="E61">
            <v>152.47999999999999</v>
          </cell>
        </row>
        <row r="62">
          <cell r="C62">
            <v>1330027</v>
          </cell>
          <cell r="D62" t="str">
            <v xml:space="preserve">KG  </v>
          </cell>
          <cell r="E62">
            <v>309.99</v>
          </cell>
        </row>
        <row r="63">
          <cell r="C63">
            <v>1310066</v>
          </cell>
          <cell r="D63" t="str">
            <v xml:space="preserve">KG  </v>
          </cell>
          <cell r="E63">
            <v>780.6</v>
          </cell>
        </row>
        <row r="64">
          <cell r="C64">
            <v>1320012</v>
          </cell>
          <cell r="D64" t="str">
            <v xml:space="preserve">KG  </v>
          </cell>
          <cell r="E64">
            <v>1964.05</v>
          </cell>
        </row>
        <row r="65">
          <cell r="C65">
            <v>1310017</v>
          </cell>
          <cell r="D65" t="str">
            <v xml:space="preserve">KG  </v>
          </cell>
          <cell r="E65">
            <v>693.54</v>
          </cell>
        </row>
        <row r="66">
          <cell r="C66">
            <v>1320003</v>
          </cell>
          <cell r="D66" t="str">
            <v xml:space="preserve">KG  </v>
          </cell>
          <cell r="E66">
            <v>628.52</v>
          </cell>
        </row>
        <row r="67">
          <cell r="C67">
            <v>1330018</v>
          </cell>
          <cell r="D67" t="str">
            <v xml:space="preserve">KG  </v>
          </cell>
          <cell r="E67">
            <v>125.36</v>
          </cell>
        </row>
        <row r="68">
          <cell r="C68">
            <v>1370001</v>
          </cell>
          <cell r="D68" t="str">
            <v xml:space="preserve">KG  </v>
          </cell>
          <cell r="E68">
            <v>921.86</v>
          </cell>
        </row>
        <row r="69">
          <cell r="C69">
            <v>1380002</v>
          </cell>
          <cell r="D69" t="str">
            <v xml:space="preserve">KG  </v>
          </cell>
          <cell r="E69">
            <v>74.11</v>
          </cell>
        </row>
        <row r="70">
          <cell r="C70">
            <v>1111002</v>
          </cell>
          <cell r="D70" t="str">
            <v xml:space="preserve">KG  </v>
          </cell>
          <cell r="E70">
            <v>2800.01</v>
          </cell>
        </row>
        <row r="71">
          <cell r="C71">
            <v>1112001</v>
          </cell>
          <cell r="D71" t="str">
            <v xml:space="preserve">KG  </v>
          </cell>
          <cell r="E71">
            <v>3731.72</v>
          </cell>
        </row>
        <row r="72">
          <cell r="C72">
            <v>1220006</v>
          </cell>
          <cell r="D72" t="str">
            <v xml:space="preserve">KG  </v>
          </cell>
          <cell r="E72">
            <v>73448</v>
          </cell>
        </row>
        <row r="73">
          <cell r="C73">
            <v>1260011</v>
          </cell>
          <cell r="D73" t="str">
            <v xml:space="preserve">KG  </v>
          </cell>
          <cell r="E73">
            <v>5552.8</v>
          </cell>
        </row>
        <row r="74">
          <cell r="C74">
            <v>1260014</v>
          </cell>
          <cell r="D74" t="str">
            <v xml:space="preserve">KG  </v>
          </cell>
          <cell r="E74">
            <v>30514.09</v>
          </cell>
        </row>
        <row r="75">
          <cell r="C75">
            <v>1230017</v>
          </cell>
          <cell r="D75" t="str">
            <v xml:space="preserve">KG  </v>
          </cell>
          <cell r="E75">
            <v>59600</v>
          </cell>
        </row>
        <row r="76">
          <cell r="C76">
            <v>1260022</v>
          </cell>
          <cell r="D76" t="str">
            <v xml:space="preserve">KG  </v>
          </cell>
          <cell r="E76">
            <v>23387.67</v>
          </cell>
        </row>
        <row r="77">
          <cell r="C77">
            <v>1240005</v>
          </cell>
          <cell r="D77" t="str">
            <v xml:space="preserve">KG  </v>
          </cell>
          <cell r="E77">
            <v>47900</v>
          </cell>
        </row>
        <row r="78">
          <cell r="C78">
            <v>1210008</v>
          </cell>
          <cell r="D78" t="str">
            <v xml:space="preserve">KG  </v>
          </cell>
          <cell r="E78">
            <v>14700</v>
          </cell>
        </row>
        <row r="79">
          <cell r="C79">
            <v>1330053</v>
          </cell>
          <cell r="D79" t="str">
            <v xml:space="preserve">KG  </v>
          </cell>
          <cell r="E79">
            <v>87.19</v>
          </cell>
        </row>
        <row r="80">
          <cell r="C80">
            <v>1370016</v>
          </cell>
          <cell r="D80" t="str">
            <v xml:space="preserve">KG  </v>
          </cell>
          <cell r="E80">
            <v>607.71</v>
          </cell>
        </row>
        <row r="81">
          <cell r="C81">
            <v>1380005</v>
          </cell>
          <cell r="D81" t="str">
            <v xml:space="preserve">KG  </v>
          </cell>
          <cell r="E81">
            <v>28.99</v>
          </cell>
        </row>
        <row r="82">
          <cell r="C82">
            <v>1122007</v>
          </cell>
          <cell r="D82" t="str">
            <v xml:space="preserve">KG  </v>
          </cell>
          <cell r="E82">
            <v>11742.15</v>
          </cell>
        </row>
        <row r="83">
          <cell r="C83">
            <v>1230003</v>
          </cell>
          <cell r="D83" t="str">
            <v xml:space="preserve">KG  </v>
          </cell>
          <cell r="E83">
            <v>19014.13</v>
          </cell>
        </row>
        <row r="84">
          <cell r="C84">
            <v>1210010</v>
          </cell>
          <cell r="D84" t="str">
            <v xml:space="preserve">KG  </v>
          </cell>
          <cell r="E84">
            <v>0</v>
          </cell>
        </row>
        <row r="85">
          <cell r="C85">
            <v>1370015</v>
          </cell>
          <cell r="D85" t="str">
            <v xml:space="preserve">KG  </v>
          </cell>
          <cell r="E85">
            <v>545.02</v>
          </cell>
        </row>
        <row r="86">
          <cell r="C86">
            <v>1380003</v>
          </cell>
          <cell r="D86" t="str">
            <v xml:space="preserve">KG  </v>
          </cell>
          <cell r="E86">
            <v>56.49</v>
          </cell>
        </row>
        <row r="87">
          <cell r="C87">
            <v>1370014</v>
          </cell>
          <cell r="D87" t="str">
            <v xml:space="preserve">KG  </v>
          </cell>
          <cell r="E87">
            <v>537.66999999999996</v>
          </cell>
        </row>
        <row r="88">
          <cell r="C88">
            <v>1370021</v>
          </cell>
          <cell r="D88" t="str">
            <v xml:space="preserve">KG  </v>
          </cell>
          <cell r="E88">
            <v>528.77</v>
          </cell>
        </row>
        <row r="89">
          <cell r="C89">
            <v>1220013</v>
          </cell>
          <cell r="D89" t="str">
            <v xml:space="preserve">KG  </v>
          </cell>
          <cell r="E89">
            <v>35100</v>
          </cell>
        </row>
        <row r="90">
          <cell r="C90">
            <v>1240004</v>
          </cell>
          <cell r="D90" t="str">
            <v xml:space="preserve">KG  </v>
          </cell>
          <cell r="E90">
            <v>11340</v>
          </cell>
        </row>
        <row r="91">
          <cell r="C91">
            <v>1330004</v>
          </cell>
          <cell r="D91" t="str">
            <v xml:space="preserve">KG  </v>
          </cell>
          <cell r="E91">
            <v>141.27000000000001</v>
          </cell>
        </row>
        <row r="92">
          <cell r="C92">
            <v>1370002</v>
          </cell>
          <cell r="D92" t="str">
            <v xml:space="preserve">KG  </v>
          </cell>
          <cell r="E92">
            <v>5434.99</v>
          </cell>
        </row>
        <row r="93">
          <cell r="C93">
            <v>1131001</v>
          </cell>
          <cell r="D93" t="str">
            <v xml:space="preserve">KG  </v>
          </cell>
          <cell r="E93">
            <v>386.91</v>
          </cell>
        </row>
        <row r="94">
          <cell r="C94">
            <v>1122002</v>
          </cell>
          <cell r="D94" t="str">
            <v xml:space="preserve">KG  </v>
          </cell>
          <cell r="E94">
            <v>15247.06</v>
          </cell>
        </row>
        <row r="95">
          <cell r="C95">
            <v>1230008</v>
          </cell>
          <cell r="D95" t="str">
            <v xml:space="preserve">KG  </v>
          </cell>
          <cell r="E95">
            <v>25396</v>
          </cell>
        </row>
        <row r="96">
          <cell r="C96">
            <v>1230010</v>
          </cell>
          <cell r="D96" t="str">
            <v xml:space="preserve">KG  </v>
          </cell>
          <cell r="E96">
            <v>51309.58</v>
          </cell>
        </row>
        <row r="97">
          <cell r="C97">
            <v>1260025</v>
          </cell>
          <cell r="D97" t="str">
            <v xml:space="preserve">KG  </v>
          </cell>
          <cell r="E97">
            <v>58731.48</v>
          </cell>
        </row>
        <row r="98">
          <cell r="C98">
            <v>1320006</v>
          </cell>
          <cell r="D98" t="str">
            <v xml:space="preserve">KG  </v>
          </cell>
          <cell r="E98">
            <v>963.65</v>
          </cell>
        </row>
        <row r="99">
          <cell r="C99">
            <v>1330021</v>
          </cell>
          <cell r="D99" t="str">
            <v xml:space="preserve">KG  </v>
          </cell>
          <cell r="E99">
            <v>144.96</v>
          </cell>
        </row>
        <row r="100">
          <cell r="C100">
            <v>1330058</v>
          </cell>
          <cell r="D100" t="str">
            <v xml:space="preserve">KG  </v>
          </cell>
          <cell r="E100">
            <v>82.49</v>
          </cell>
        </row>
        <row r="101">
          <cell r="C101">
            <v>1122006</v>
          </cell>
          <cell r="D101" t="str">
            <v xml:space="preserve">KG  </v>
          </cell>
          <cell r="E101">
            <v>13431.16</v>
          </cell>
        </row>
        <row r="102">
          <cell r="C102">
            <v>1330026</v>
          </cell>
          <cell r="D102" t="str">
            <v xml:space="preserve">KG  </v>
          </cell>
          <cell r="E102">
            <v>151.43</v>
          </cell>
        </row>
        <row r="103">
          <cell r="C103">
            <v>1330010</v>
          </cell>
          <cell r="D103" t="str">
            <v xml:space="preserve">KG  </v>
          </cell>
          <cell r="E103">
            <v>114</v>
          </cell>
        </row>
        <row r="104">
          <cell r="C104">
            <v>1330002</v>
          </cell>
          <cell r="D104" t="str">
            <v xml:space="preserve">MTR </v>
          </cell>
          <cell r="E104">
            <v>75</v>
          </cell>
        </row>
        <row r="105">
          <cell r="C105">
            <v>1370009</v>
          </cell>
          <cell r="D105" t="str">
            <v xml:space="preserve">MTR </v>
          </cell>
          <cell r="E105">
            <v>459.34</v>
          </cell>
        </row>
        <row r="106">
          <cell r="C106">
            <v>1141001</v>
          </cell>
          <cell r="D106" t="str">
            <v xml:space="preserve">MTR </v>
          </cell>
          <cell r="E106">
            <v>16007.17</v>
          </cell>
        </row>
        <row r="107">
          <cell r="C107">
            <v>1230006</v>
          </cell>
          <cell r="D107" t="str">
            <v xml:space="preserve">KG  </v>
          </cell>
          <cell r="E107">
            <v>42597</v>
          </cell>
        </row>
        <row r="108">
          <cell r="C108">
            <v>1250002</v>
          </cell>
          <cell r="D108" t="str">
            <v xml:space="preserve">KG  </v>
          </cell>
          <cell r="E108">
            <v>43034</v>
          </cell>
        </row>
        <row r="109">
          <cell r="C109">
            <v>1250005</v>
          </cell>
          <cell r="D109" t="str">
            <v xml:space="preserve">MTR </v>
          </cell>
          <cell r="E109">
            <v>63000</v>
          </cell>
        </row>
        <row r="110">
          <cell r="C110">
            <v>1330011</v>
          </cell>
          <cell r="D110" t="str">
            <v xml:space="preserve">MTR </v>
          </cell>
          <cell r="E110">
            <v>120</v>
          </cell>
        </row>
        <row r="111">
          <cell r="C111">
            <v>1330068</v>
          </cell>
          <cell r="D111" t="str">
            <v xml:space="preserve">MTR </v>
          </cell>
          <cell r="E111">
            <v>77</v>
          </cell>
        </row>
        <row r="112">
          <cell r="C112">
            <v>1330015</v>
          </cell>
          <cell r="D112" t="str">
            <v xml:space="preserve">KG  </v>
          </cell>
          <cell r="E112">
            <v>135</v>
          </cell>
        </row>
        <row r="113">
          <cell r="C113">
            <v>1330001</v>
          </cell>
          <cell r="D113" t="str">
            <v xml:space="preserve">MTR </v>
          </cell>
          <cell r="E113">
            <v>144</v>
          </cell>
        </row>
        <row r="114">
          <cell r="C114">
            <v>1370008</v>
          </cell>
          <cell r="D114" t="str">
            <v xml:space="preserve">MTR </v>
          </cell>
          <cell r="E114">
            <v>384.43</v>
          </cell>
        </row>
        <row r="115">
          <cell r="C115">
            <v>1220001</v>
          </cell>
          <cell r="D115" t="str">
            <v xml:space="preserve">MTR </v>
          </cell>
          <cell r="E115">
            <v>81900</v>
          </cell>
        </row>
        <row r="116">
          <cell r="C116">
            <v>1230005</v>
          </cell>
          <cell r="D116" t="str">
            <v xml:space="preserve">MTR </v>
          </cell>
          <cell r="E116">
            <v>43815.37</v>
          </cell>
        </row>
        <row r="117">
          <cell r="C117">
            <v>1270004</v>
          </cell>
          <cell r="D117" t="str">
            <v xml:space="preserve">MTR </v>
          </cell>
          <cell r="E117">
            <v>48518.9</v>
          </cell>
        </row>
        <row r="118">
          <cell r="C118">
            <v>1330012</v>
          </cell>
          <cell r="D118" t="str">
            <v xml:space="preserve">MTR </v>
          </cell>
          <cell r="E118">
            <v>119.99</v>
          </cell>
        </row>
        <row r="119">
          <cell r="C119">
            <v>1340003</v>
          </cell>
          <cell r="D119" t="str">
            <v xml:space="preserve">MTR </v>
          </cell>
          <cell r="E119">
            <v>578.65</v>
          </cell>
        </row>
        <row r="120">
          <cell r="C120">
            <v>1360001</v>
          </cell>
          <cell r="D120" t="str">
            <v xml:space="preserve">MTR </v>
          </cell>
          <cell r="E120">
            <v>22</v>
          </cell>
        </row>
        <row r="121">
          <cell r="C121">
            <v>1220012</v>
          </cell>
          <cell r="D121" t="str">
            <v xml:space="preserve">MTR </v>
          </cell>
          <cell r="E121">
            <v>8449.99</v>
          </cell>
        </row>
        <row r="122">
          <cell r="C122">
            <v>1230011</v>
          </cell>
          <cell r="D122" t="str">
            <v xml:space="preserve">MTR </v>
          </cell>
          <cell r="E122">
            <v>5479.99</v>
          </cell>
        </row>
        <row r="123">
          <cell r="C123">
            <v>1370003</v>
          </cell>
          <cell r="D123" t="str">
            <v xml:space="preserve">MTR </v>
          </cell>
          <cell r="E123">
            <v>698</v>
          </cell>
        </row>
        <row r="124">
          <cell r="C124">
            <v>1112005</v>
          </cell>
          <cell r="D124" t="str">
            <v xml:space="preserve">MTR </v>
          </cell>
          <cell r="E124">
            <v>14000.04</v>
          </cell>
        </row>
        <row r="125">
          <cell r="C125">
            <v>1250007</v>
          </cell>
          <cell r="D125" t="str">
            <v xml:space="preserve">MTR </v>
          </cell>
          <cell r="E125">
            <v>58315.98</v>
          </cell>
        </row>
        <row r="126">
          <cell r="C126">
            <v>1260008</v>
          </cell>
          <cell r="D126" t="str">
            <v xml:space="preserve">MTR </v>
          </cell>
          <cell r="E126">
            <v>10405.68</v>
          </cell>
        </row>
        <row r="127">
          <cell r="C127">
            <v>1260018</v>
          </cell>
          <cell r="D127" t="str">
            <v xml:space="preserve">MTR </v>
          </cell>
          <cell r="E127">
            <v>25593.03</v>
          </cell>
        </row>
        <row r="128">
          <cell r="C128">
            <v>1230016</v>
          </cell>
          <cell r="D128" t="str">
            <v xml:space="preserve">MTR </v>
          </cell>
          <cell r="E128">
            <v>87200</v>
          </cell>
        </row>
        <row r="129">
          <cell r="C129">
            <v>1340002</v>
          </cell>
          <cell r="D129" t="str">
            <v xml:space="preserve">MTR </v>
          </cell>
          <cell r="E129">
            <v>618</v>
          </cell>
        </row>
        <row r="130">
          <cell r="C130">
            <v>1340006</v>
          </cell>
          <cell r="D130" t="str">
            <v xml:space="preserve">MTR </v>
          </cell>
          <cell r="E130">
            <v>648.51</v>
          </cell>
        </row>
        <row r="131">
          <cell r="C131">
            <v>1340001</v>
          </cell>
          <cell r="D131" t="str">
            <v xml:space="preserve">MTR </v>
          </cell>
          <cell r="E131">
            <v>62</v>
          </cell>
        </row>
        <row r="132">
          <cell r="C132">
            <v>1260013</v>
          </cell>
          <cell r="D132" t="str">
            <v xml:space="preserve">MTR </v>
          </cell>
          <cell r="E132">
            <v>24926.720000000001</v>
          </cell>
        </row>
        <row r="133">
          <cell r="C133">
            <v>1350009</v>
          </cell>
          <cell r="D133" t="str">
            <v xml:space="preserve">MTR </v>
          </cell>
          <cell r="E133">
            <v>1320.6</v>
          </cell>
        </row>
        <row r="134">
          <cell r="C134">
            <v>1340012</v>
          </cell>
          <cell r="D134" t="str">
            <v xml:space="preserve">MTR </v>
          </cell>
          <cell r="E134">
            <v>247</v>
          </cell>
        </row>
        <row r="135">
          <cell r="C135">
            <v>1370020</v>
          </cell>
          <cell r="D135" t="str">
            <v xml:space="preserve">MTR </v>
          </cell>
          <cell r="E135">
            <v>546.12</v>
          </cell>
        </row>
        <row r="136">
          <cell r="C136">
            <v>1370012</v>
          </cell>
          <cell r="D136" t="str">
            <v xml:space="preserve">MTR </v>
          </cell>
          <cell r="E136">
            <v>485.2</v>
          </cell>
        </row>
        <row r="137">
          <cell r="C137">
            <v>1310014</v>
          </cell>
          <cell r="D137" t="str">
            <v xml:space="preserve">MTR </v>
          </cell>
          <cell r="E137">
            <v>24980</v>
          </cell>
        </row>
        <row r="138">
          <cell r="C138">
            <v>1350005</v>
          </cell>
          <cell r="D138" t="str">
            <v xml:space="preserve">MTR </v>
          </cell>
          <cell r="E138">
            <v>2751.44</v>
          </cell>
        </row>
        <row r="139">
          <cell r="C139">
            <v>1310012</v>
          </cell>
          <cell r="D139" t="str">
            <v xml:space="preserve">MTR </v>
          </cell>
          <cell r="E139">
            <v>24980</v>
          </cell>
        </row>
        <row r="140">
          <cell r="C140">
            <v>1310002</v>
          </cell>
          <cell r="D140" t="str">
            <v xml:space="preserve">UND </v>
          </cell>
          <cell r="E140">
            <v>667.87</v>
          </cell>
        </row>
        <row r="141">
          <cell r="C141">
            <v>1370013</v>
          </cell>
          <cell r="D141" t="str">
            <v xml:space="preserve">UND </v>
          </cell>
          <cell r="E141">
            <v>416.48</v>
          </cell>
        </row>
        <row r="142">
          <cell r="C142">
            <v>1230004</v>
          </cell>
          <cell r="D142" t="str">
            <v xml:space="preserve">UND </v>
          </cell>
          <cell r="E142">
            <v>20021</v>
          </cell>
        </row>
        <row r="143">
          <cell r="C143">
            <v>1310015</v>
          </cell>
          <cell r="D143" t="str">
            <v xml:space="preserve">UND </v>
          </cell>
          <cell r="E143">
            <v>665</v>
          </cell>
        </row>
        <row r="144">
          <cell r="C144">
            <v>1370030</v>
          </cell>
          <cell r="D144" t="str">
            <v xml:space="preserve">UND </v>
          </cell>
          <cell r="E144">
            <v>220</v>
          </cell>
        </row>
        <row r="145">
          <cell r="C145">
            <v>1310011</v>
          </cell>
          <cell r="D145" t="str">
            <v xml:space="preserve">UND </v>
          </cell>
          <cell r="E145">
            <v>1177</v>
          </cell>
        </row>
        <row r="146">
          <cell r="C146">
            <v>1320007</v>
          </cell>
          <cell r="D146" t="str">
            <v xml:space="preserve">UND </v>
          </cell>
          <cell r="E146">
            <v>11221.81</v>
          </cell>
        </row>
        <row r="147">
          <cell r="C147">
            <v>1370018</v>
          </cell>
          <cell r="D147" t="str">
            <v xml:space="preserve">UND </v>
          </cell>
          <cell r="E147">
            <v>448.6</v>
          </cell>
        </row>
        <row r="148">
          <cell r="C148">
            <v>1350003</v>
          </cell>
          <cell r="D148" t="str">
            <v xml:space="preserve">UND </v>
          </cell>
          <cell r="E148">
            <v>2510.8200000000002</v>
          </cell>
        </row>
        <row r="149">
          <cell r="C149">
            <v>1370017</v>
          </cell>
          <cell r="D149" t="str">
            <v xml:space="preserve">UND </v>
          </cell>
          <cell r="E149">
            <v>437.11</v>
          </cell>
        </row>
        <row r="150">
          <cell r="C150">
            <v>1380004</v>
          </cell>
          <cell r="D150" t="str">
            <v xml:space="preserve">UND </v>
          </cell>
          <cell r="E150">
            <v>22.59</v>
          </cell>
        </row>
        <row r="151">
          <cell r="C151">
            <v>1350004</v>
          </cell>
          <cell r="D151" t="str">
            <v xml:space="preserve">UND </v>
          </cell>
          <cell r="E151">
            <v>2516.09</v>
          </cell>
        </row>
        <row r="152">
          <cell r="C152">
            <v>1370019</v>
          </cell>
          <cell r="D152" t="str">
            <v xml:space="preserve">UND </v>
          </cell>
          <cell r="E152">
            <v>466.4</v>
          </cell>
        </row>
        <row r="153">
          <cell r="C153">
            <v>1310001</v>
          </cell>
          <cell r="D153" t="str">
            <v xml:space="preserve">UND </v>
          </cell>
          <cell r="E153">
            <v>682</v>
          </cell>
        </row>
        <row r="154">
          <cell r="C154">
            <v>1350001</v>
          </cell>
          <cell r="D154" t="str">
            <v xml:space="preserve">UND </v>
          </cell>
          <cell r="E154">
            <v>2285.5100000000002</v>
          </cell>
        </row>
        <row r="155">
          <cell r="C155">
            <v>1340008</v>
          </cell>
          <cell r="D155" t="str">
            <v xml:space="preserve">UND </v>
          </cell>
          <cell r="E155">
            <v>331.06</v>
          </cell>
        </row>
        <row r="156">
          <cell r="C156">
            <v>1330022</v>
          </cell>
          <cell r="D156" t="str">
            <v xml:space="preserve">UND </v>
          </cell>
          <cell r="E156">
            <v>40.6</v>
          </cell>
        </row>
        <row r="157">
          <cell r="C157">
            <v>1280002</v>
          </cell>
          <cell r="D157" t="str">
            <v xml:space="preserve">UND </v>
          </cell>
          <cell r="E157">
            <v>14353.15</v>
          </cell>
        </row>
        <row r="158">
          <cell r="C158">
            <v>1260006</v>
          </cell>
          <cell r="D158" t="str">
            <v xml:space="preserve">UND </v>
          </cell>
          <cell r="E158">
            <v>18900</v>
          </cell>
        </row>
        <row r="159">
          <cell r="C159">
            <v>1260016</v>
          </cell>
          <cell r="D159" t="str">
            <v xml:space="preserve">UND </v>
          </cell>
          <cell r="E159">
            <v>31000</v>
          </cell>
        </row>
        <row r="160">
          <cell r="C160">
            <v>1230009</v>
          </cell>
          <cell r="D160" t="str">
            <v xml:space="preserve">UND </v>
          </cell>
          <cell r="E160">
            <v>35200</v>
          </cell>
        </row>
        <row r="161">
          <cell r="C161">
            <v>1370048</v>
          </cell>
          <cell r="D161" t="str">
            <v xml:space="preserve">UND </v>
          </cell>
          <cell r="E161">
            <v>1897</v>
          </cell>
        </row>
        <row r="162">
          <cell r="C162">
            <v>1121006</v>
          </cell>
          <cell r="D162" t="str">
            <v xml:space="preserve">UND </v>
          </cell>
          <cell r="E162">
            <v>15400</v>
          </cell>
        </row>
        <row r="163">
          <cell r="C163">
            <v>1370025</v>
          </cell>
          <cell r="D163" t="str">
            <v xml:space="preserve">UND </v>
          </cell>
          <cell r="E163">
            <v>533.01</v>
          </cell>
        </row>
        <row r="164">
          <cell r="C164">
            <v>1330043</v>
          </cell>
          <cell r="D164" t="str">
            <v xml:space="preserve">UND </v>
          </cell>
          <cell r="E164">
            <v>85.11</v>
          </cell>
        </row>
        <row r="165">
          <cell r="C165">
            <v>1340009</v>
          </cell>
          <cell r="D165" t="str">
            <v xml:space="preserve">UND </v>
          </cell>
          <cell r="E165">
            <v>373.69</v>
          </cell>
        </row>
        <row r="166">
          <cell r="C166">
            <v>1330061</v>
          </cell>
          <cell r="D166" t="str">
            <v xml:space="preserve">UND </v>
          </cell>
          <cell r="E166">
            <v>67</v>
          </cell>
        </row>
        <row r="167">
          <cell r="C167">
            <v>1330028</v>
          </cell>
          <cell r="D167" t="str">
            <v xml:space="preserve">UND </v>
          </cell>
          <cell r="E167">
            <v>144.94</v>
          </cell>
        </row>
        <row r="168">
          <cell r="C168">
            <v>1330060</v>
          </cell>
          <cell r="D168" t="str">
            <v xml:space="preserve">UND </v>
          </cell>
          <cell r="E168">
            <v>82.09</v>
          </cell>
        </row>
        <row r="169">
          <cell r="C169">
            <v>1370032</v>
          </cell>
          <cell r="D169" t="str">
            <v xml:space="preserve">UND </v>
          </cell>
          <cell r="E169">
            <v>181.23</v>
          </cell>
        </row>
        <row r="170">
          <cell r="C170">
            <v>1310043</v>
          </cell>
          <cell r="D170" t="str">
            <v xml:space="preserve">UND </v>
          </cell>
          <cell r="E170">
            <v>889</v>
          </cell>
        </row>
        <row r="171">
          <cell r="C171">
            <v>1330031</v>
          </cell>
          <cell r="D171" t="str">
            <v xml:space="preserve">UND </v>
          </cell>
          <cell r="E171">
            <v>135</v>
          </cell>
        </row>
        <row r="172">
          <cell r="C172">
            <v>1370029</v>
          </cell>
          <cell r="D172" t="str">
            <v xml:space="preserve">UND </v>
          </cell>
          <cell r="E172">
            <v>579.42999999999995</v>
          </cell>
        </row>
        <row r="173">
          <cell r="C173">
            <v>1230012</v>
          </cell>
          <cell r="D173" t="str">
            <v xml:space="preserve">UND </v>
          </cell>
          <cell r="E173">
            <v>28150.76</v>
          </cell>
        </row>
        <row r="174">
          <cell r="C174">
            <v>1330032</v>
          </cell>
          <cell r="D174" t="str">
            <v xml:space="preserve">UND </v>
          </cell>
          <cell r="E174">
            <v>166.96</v>
          </cell>
        </row>
        <row r="175">
          <cell r="C175">
            <v>1370028</v>
          </cell>
          <cell r="D175" t="str">
            <v xml:space="preserve">UND </v>
          </cell>
          <cell r="E175">
            <v>185.04</v>
          </cell>
        </row>
        <row r="176">
          <cell r="C176">
            <v>1230013</v>
          </cell>
          <cell r="D176" t="str">
            <v xml:space="preserve">UND </v>
          </cell>
          <cell r="E176">
            <v>18838.57</v>
          </cell>
        </row>
        <row r="177">
          <cell r="C177">
            <v>1330034</v>
          </cell>
          <cell r="D177" t="str">
            <v xml:space="preserve">UND </v>
          </cell>
          <cell r="E177">
            <v>69.3</v>
          </cell>
        </row>
        <row r="178">
          <cell r="C178">
            <v>1330035</v>
          </cell>
          <cell r="D178" t="str">
            <v xml:space="preserve">UND </v>
          </cell>
          <cell r="E178">
            <v>69.3</v>
          </cell>
        </row>
        <row r="179">
          <cell r="C179">
            <v>1330036</v>
          </cell>
          <cell r="D179" t="str">
            <v xml:space="preserve">UND </v>
          </cell>
          <cell r="E179">
            <v>69.3</v>
          </cell>
        </row>
        <row r="180">
          <cell r="C180">
            <v>1330037</v>
          </cell>
          <cell r="D180" t="str">
            <v xml:space="preserve">UND </v>
          </cell>
          <cell r="E180">
            <v>69.3</v>
          </cell>
        </row>
        <row r="181">
          <cell r="C181">
            <v>1370035</v>
          </cell>
          <cell r="D181" t="str">
            <v xml:space="preserve">UND </v>
          </cell>
          <cell r="E181">
            <v>171.66</v>
          </cell>
        </row>
        <row r="182">
          <cell r="C182">
            <v>1330038</v>
          </cell>
          <cell r="D182" t="str">
            <v xml:space="preserve">UND </v>
          </cell>
          <cell r="E182">
            <v>69.3</v>
          </cell>
        </row>
        <row r="183">
          <cell r="C183">
            <v>1330039</v>
          </cell>
          <cell r="D183" t="str">
            <v xml:space="preserve">UND </v>
          </cell>
          <cell r="E183">
            <v>0</v>
          </cell>
        </row>
        <row r="184">
          <cell r="C184">
            <v>1220022</v>
          </cell>
          <cell r="D184" t="str">
            <v xml:space="preserve">UND </v>
          </cell>
          <cell r="E184">
            <v>61730.12</v>
          </cell>
        </row>
        <row r="185">
          <cell r="C185">
            <v>1330041</v>
          </cell>
          <cell r="D185" t="str">
            <v xml:space="preserve">UND </v>
          </cell>
          <cell r="E185">
            <v>0</v>
          </cell>
        </row>
        <row r="186">
          <cell r="C186">
            <v>1330040</v>
          </cell>
          <cell r="D186" t="str">
            <v xml:space="preserve">UND </v>
          </cell>
          <cell r="E186">
            <v>123.19</v>
          </cell>
        </row>
        <row r="187">
          <cell r="C187">
            <v>1330042</v>
          </cell>
          <cell r="D187" t="str">
            <v xml:space="preserve">UND </v>
          </cell>
          <cell r="E187">
            <v>144.19999999999999</v>
          </cell>
        </row>
        <row r="188">
          <cell r="C188">
            <v>1220020</v>
          </cell>
          <cell r="D188" t="str">
            <v xml:space="preserve">UND </v>
          </cell>
          <cell r="E188">
            <v>8200</v>
          </cell>
        </row>
        <row r="189">
          <cell r="C189">
            <v>1370027</v>
          </cell>
          <cell r="D189" t="str">
            <v xml:space="preserve">UND </v>
          </cell>
          <cell r="E189">
            <v>3530.34</v>
          </cell>
        </row>
        <row r="190">
          <cell r="C190">
            <v>1340010</v>
          </cell>
          <cell r="D190" t="str">
            <v xml:space="preserve">UND </v>
          </cell>
          <cell r="E190">
            <v>306.42</v>
          </cell>
        </row>
        <row r="191">
          <cell r="C191">
            <v>1370026</v>
          </cell>
          <cell r="D191" t="str">
            <v xml:space="preserve">UND </v>
          </cell>
          <cell r="E191">
            <v>10084.84</v>
          </cell>
        </row>
        <row r="192">
          <cell r="C192">
            <v>1330085</v>
          </cell>
          <cell r="D192" t="str">
            <v xml:space="preserve">UND </v>
          </cell>
          <cell r="E192">
            <v>128.9</v>
          </cell>
        </row>
        <row r="193">
          <cell r="C193">
            <v>1310031</v>
          </cell>
          <cell r="D193" t="str">
            <v xml:space="preserve">UND </v>
          </cell>
          <cell r="E193">
            <v>24980</v>
          </cell>
        </row>
        <row r="194">
          <cell r="C194">
            <v>1240007</v>
          </cell>
          <cell r="D194" t="str">
            <v xml:space="preserve">UND </v>
          </cell>
          <cell r="E194">
            <v>2</v>
          </cell>
        </row>
        <row r="195">
          <cell r="C195">
            <v>1350011</v>
          </cell>
          <cell r="D195" t="str">
            <v xml:space="preserve">UND </v>
          </cell>
          <cell r="E195">
            <v>1410.05</v>
          </cell>
        </row>
        <row r="196">
          <cell r="C196">
            <v>1310054</v>
          </cell>
          <cell r="D196" t="str">
            <v xml:space="preserve">UND </v>
          </cell>
          <cell r="E196">
            <v>687.11</v>
          </cell>
        </row>
        <row r="197">
          <cell r="C197">
            <v>1370036</v>
          </cell>
          <cell r="D197" t="str">
            <v xml:space="preserve">UND </v>
          </cell>
          <cell r="E197">
            <v>186.18</v>
          </cell>
        </row>
        <row r="198">
          <cell r="C198">
            <v>1350012</v>
          </cell>
          <cell r="D198" t="str">
            <v xml:space="preserve">UND </v>
          </cell>
          <cell r="E198">
            <v>1379.85</v>
          </cell>
        </row>
        <row r="199">
          <cell r="C199">
            <v>1310065</v>
          </cell>
          <cell r="D199" t="str">
            <v xml:space="preserve">UND </v>
          </cell>
          <cell r="E199">
            <v>983.86</v>
          </cell>
        </row>
        <row r="200">
          <cell r="C200">
            <v>1320011</v>
          </cell>
          <cell r="D200" t="str">
            <v xml:space="preserve">UND </v>
          </cell>
          <cell r="E200">
            <v>1132.75</v>
          </cell>
        </row>
        <row r="201">
          <cell r="C201">
            <v>1230018</v>
          </cell>
          <cell r="D201" t="str">
            <v xml:space="preserve">UND </v>
          </cell>
          <cell r="E201">
            <v>72800.240000000005</v>
          </cell>
        </row>
        <row r="202">
          <cell r="C202">
            <v>1350013</v>
          </cell>
          <cell r="D202" t="str">
            <v xml:space="preserve">UND </v>
          </cell>
          <cell r="E202">
            <v>1101.8699999999999</v>
          </cell>
        </row>
        <row r="203">
          <cell r="C203">
            <v>1310034</v>
          </cell>
          <cell r="D203" t="str">
            <v xml:space="preserve">UND </v>
          </cell>
          <cell r="E203">
            <v>748.88</v>
          </cell>
        </row>
        <row r="204">
          <cell r="C204">
            <v>1230019</v>
          </cell>
          <cell r="D204" t="str">
            <v xml:space="preserve">UND </v>
          </cell>
          <cell r="E204">
            <v>48500.2</v>
          </cell>
        </row>
        <row r="205">
          <cell r="C205">
            <v>1230020</v>
          </cell>
          <cell r="D205" t="str">
            <v xml:space="preserve">UND </v>
          </cell>
          <cell r="E205">
            <v>40766.89</v>
          </cell>
        </row>
        <row r="206">
          <cell r="C206">
            <v>1350014</v>
          </cell>
          <cell r="D206" t="str">
            <v xml:space="preserve">UND </v>
          </cell>
          <cell r="E206">
            <v>1101.99</v>
          </cell>
        </row>
        <row r="207">
          <cell r="C207">
            <v>1310035</v>
          </cell>
          <cell r="D207" t="str">
            <v xml:space="preserve">UND </v>
          </cell>
          <cell r="E207">
            <v>715.99</v>
          </cell>
        </row>
        <row r="208">
          <cell r="C208">
            <v>1270006</v>
          </cell>
          <cell r="D208" t="str">
            <v xml:space="preserve">UND </v>
          </cell>
          <cell r="E208">
            <v>29640</v>
          </cell>
        </row>
        <row r="209">
          <cell r="C209">
            <v>1121005</v>
          </cell>
          <cell r="D209" t="str">
            <v xml:space="preserve">UND </v>
          </cell>
          <cell r="E209">
            <v>22495.919999999998</v>
          </cell>
        </row>
        <row r="210">
          <cell r="C210">
            <v>1330044</v>
          </cell>
          <cell r="D210" t="str">
            <v xml:space="preserve">UND </v>
          </cell>
          <cell r="E210">
            <v>144.18</v>
          </cell>
        </row>
        <row r="211">
          <cell r="C211">
            <v>1330054</v>
          </cell>
          <cell r="D211" t="str">
            <v xml:space="preserve">UND </v>
          </cell>
          <cell r="E211">
            <v>86.88</v>
          </cell>
        </row>
        <row r="212">
          <cell r="C212">
            <v>1310039</v>
          </cell>
          <cell r="D212" t="str">
            <v xml:space="preserve">UND </v>
          </cell>
          <cell r="E212">
            <v>889</v>
          </cell>
        </row>
        <row r="213">
          <cell r="C213">
            <v>1330056</v>
          </cell>
          <cell r="D213" t="str">
            <v xml:space="preserve">UND </v>
          </cell>
          <cell r="E213">
            <v>87.29</v>
          </cell>
        </row>
        <row r="214">
          <cell r="C214">
            <v>1310049</v>
          </cell>
          <cell r="D214" t="str">
            <v xml:space="preserve">UND </v>
          </cell>
          <cell r="E214">
            <v>889</v>
          </cell>
        </row>
        <row r="215">
          <cell r="C215">
            <v>1330049</v>
          </cell>
          <cell r="D215" t="str">
            <v xml:space="preserve">UND </v>
          </cell>
          <cell r="E215">
            <v>88.1</v>
          </cell>
        </row>
        <row r="216">
          <cell r="C216">
            <v>1330048</v>
          </cell>
          <cell r="D216" t="str">
            <v xml:space="preserve">UND </v>
          </cell>
          <cell r="E216">
            <v>112</v>
          </cell>
        </row>
        <row r="217">
          <cell r="C217">
            <v>1310055</v>
          </cell>
          <cell r="D217" t="str">
            <v xml:space="preserve">UND </v>
          </cell>
          <cell r="E217">
            <v>889</v>
          </cell>
        </row>
        <row r="218">
          <cell r="C218">
            <v>1330074</v>
          </cell>
          <cell r="D218" t="str">
            <v xml:space="preserve">UND </v>
          </cell>
          <cell r="E218">
            <v>77</v>
          </cell>
        </row>
        <row r="219">
          <cell r="C219">
            <v>1330081</v>
          </cell>
          <cell r="D219" t="str">
            <v xml:space="preserve">UND </v>
          </cell>
          <cell r="E219">
            <v>136.03</v>
          </cell>
        </row>
        <row r="220">
          <cell r="C220">
            <v>1330062</v>
          </cell>
          <cell r="D220" t="str">
            <v xml:space="preserve">UND </v>
          </cell>
          <cell r="E220">
            <v>245</v>
          </cell>
        </row>
        <row r="221">
          <cell r="C221">
            <v>1330059</v>
          </cell>
          <cell r="D221" t="str">
            <v xml:space="preserve">UND </v>
          </cell>
          <cell r="E221">
            <v>82.1</v>
          </cell>
        </row>
        <row r="222">
          <cell r="C222">
            <v>1330047</v>
          </cell>
          <cell r="D222" t="str">
            <v xml:space="preserve">UND </v>
          </cell>
          <cell r="E222">
            <v>82.23</v>
          </cell>
        </row>
        <row r="223">
          <cell r="C223">
            <v>1330057</v>
          </cell>
          <cell r="D223" t="str">
            <v xml:space="preserve">UND </v>
          </cell>
          <cell r="E223">
            <v>82.66</v>
          </cell>
        </row>
        <row r="224">
          <cell r="C224">
            <v>1330045</v>
          </cell>
          <cell r="D224" t="str">
            <v xml:space="preserve">UND </v>
          </cell>
          <cell r="E224">
            <v>106.77</v>
          </cell>
        </row>
        <row r="225">
          <cell r="C225">
            <v>1330080</v>
          </cell>
          <cell r="D225" t="str">
            <v xml:space="preserve">UND </v>
          </cell>
          <cell r="E225">
            <v>144.05000000000001</v>
          </cell>
        </row>
        <row r="226">
          <cell r="C226">
            <v>1330046</v>
          </cell>
          <cell r="D226" t="str">
            <v xml:space="preserve">UND </v>
          </cell>
          <cell r="E226">
            <v>77</v>
          </cell>
        </row>
        <row r="227">
          <cell r="C227">
            <v>1330087</v>
          </cell>
          <cell r="D227" t="str">
            <v xml:space="preserve">UND </v>
          </cell>
          <cell r="E227">
            <v>144.44999999999999</v>
          </cell>
        </row>
        <row r="228">
          <cell r="C228">
            <v>1310056</v>
          </cell>
          <cell r="D228" t="str">
            <v xml:space="preserve">UND </v>
          </cell>
          <cell r="E228">
            <v>889</v>
          </cell>
        </row>
        <row r="229">
          <cell r="C229">
            <v>1310057</v>
          </cell>
          <cell r="D229" t="str">
            <v xml:space="preserve">UND </v>
          </cell>
          <cell r="E229">
            <v>889</v>
          </cell>
        </row>
        <row r="230">
          <cell r="C230">
            <v>1370039</v>
          </cell>
          <cell r="D230" t="str">
            <v xml:space="preserve">UND </v>
          </cell>
          <cell r="E230">
            <v>394.76</v>
          </cell>
        </row>
        <row r="231">
          <cell r="C231">
            <v>1330084</v>
          </cell>
          <cell r="D231" t="str">
            <v xml:space="preserve">UND </v>
          </cell>
          <cell r="E231">
            <v>249.5</v>
          </cell>
        </row>
        <row r="232">
          <cell r="C232">
            <v>1230022</v>
          </cell>
          <cell r="D232" t="str">
            <v xml:space="preserve">MTR </v>
          </cell>
          <cell r="E232">
            <v>0</v>
          </cell>
        </row>
        <row r="233">
          <cell r="C233">
            <v>1370040</v>
          </cell>
          <cell r="D233" t="str">
            <v xml:space="preserve">MTR </v>
          </cell>
          <cell r="E233">
            <v>0</v>
          </cell>
        </row>
        <row r="234">
          <cell r="C234">
            <v>1122010</v>
          </cell>
          <cell r="D234" t="str">
            <v xml:space="preserve">MTR </v>
          </cell>
          <cell r="E234">
            <v>15399.3</v>
          </cell>
        </row>
        <row r="235">
          <cell r="C235">
            <v>1122011</v>
          </cell>
          <cell r="D235" t="str">
            <v xml:space="preserve">MTR </v>
          </cell>
          <cell r="E235">
            <v>16000</v>
          </cell>
        </row>
        <row r="236">
          <cell r="C236">
            <v>1330051</v>
          </cell>
          <cell r="D236" t="str">
            <v xml:space="preserve">MTR </v>
          </cell>
          <cell r="E236">
            <v>119.7</v>
          </cell>
        </row>
        <row r="237">
          <cell r="C237">
            <v>1330078</v>
          </cell>
          <cell r="D237" t="str">
            <v xml:space="preserve">MTR </v>
          </cell>
          <cell r="E237">
            <v>155.30000000000001</v>
          </cell>
        </row>
        <row r="238">
          <cell r="C238">
            <v>1370041</v>
          </cell>
          <cell r="D238" t="str">
            <v xml:space="preserve">MTR </v>
          </cell>
          <cell r="E238">
            <v>483.66</v>
          </cell>
        </row>
        <row r="239">
          <cell r="C239">
            <v>1310059</v>
          </cell>
          <cell r="D239" t="str">
            <v xml:space="preserve">MTR </v>
          </cell>
          <cell r="E239">
            <v>889</v>
          </cell>
        </row>
        <row r="240">
          <cell r="C240">
            <v>1330076</v>
          </cell>
          <cell r="D240" t="str">
            <v xml:space="preserve">MTR </v>
          </cell>
          <cell r="E240">
            <v>77</v>
          </cell>
        </row>
        <row r="241">
          <cell r="C241">
            <v>1310060</v>
          </cell>
          <cell r="D241" t="str">
            <v xml:space="preserve">MTR </v>
          </cell>
          <cell r="E241">
            <v>889</v>
          </cell>
        </row>
        <row r="242">
          <cell r="C242">
            <v>1330077</v>
          </cell>
          <cell r="D242" t="str">
            <v xml:space="preserve">MTR </v>
          </cell>
          <cell r="E242">
            <v>77</v>
          </cell>
        </row>
        <row r="243">
          <cell r="C243">
            <v>1330066</v>
          </cell>
          <cell r="D243" t="str">
            <v xml:space="preserve">MTR </v>
          </cell>
          <cell r="E243">
            <v>81.98</v>
          </cell>
        </row>
        <row r="244">
          <cell r="C244">
            <v>1330065</v>
          </cell>
          <cell r="D244" t="str">
            <v xml:space="preserve">MTR </v>
          </cell>
          <cell r="E244">
            <v>144.44999999999999</v>
          </cell>
        </row>
        <row r="245">
          <cell r="C245">
            <v>1330082</v>
          </cell>
          <cell r="D245" t="str">
            <v xml:space="preserve">MTR </v>
          </cell>
          <cell r="E245">
            <v>135</v>
          </cell>
        </row>
        <row r="246">
          <cell r="C246">
            <v>1330083</v>
          </cell>
          <cell r="D246" t="str">
            <v xml:space="preserve">MTR </v>
          </cell>
          <cell r="E246">
            <v>76.89</v>
          </cell>
        </row>
        <row r="247">
          <cell r="C247">
            <v>1220004</v>
          </cell>
          <cell r="D247" t="str">
            <v xml:space="preserve">MTR </v>
          </cell>
          <cell r="E247">
            <v>4632</v>
          </cell>
        </row>
        <row r="248">
          <cell r="C248">
            <v>1270007</v>
          </cell>
          <cell r="D248" t="str">
            <v xml:space="preserve">MTR </v>
          </cell>
          <cell r="E248">
            <v>163580.81</v>
          </cell>
        </row>
        <row r="249">
          <cell r="C249">
            <v>1270008</v>
          </cell>
          <cell r="D249" t="str">
            <v xml:space="preserve">MTR </v>
          </cell>
          <cell r="E249">
            <v>8557.2999999999993</v>
          </cell>
        </row>
        <row r="250">
          <cell r="C250">
            <v>1260023</v>
          </cell>
          <cell r="D250" t="str">
            <v xml:space="preserve">MTR </v>
          </cell>
          <cell r="E250">
            <v>122497.84</v>
          </cell>
        </row>
        <row r="251">
          <cell r="C251">
            <v>1230023</v>
          </cell>
          <cell r="D251" t="str">
            <v xml:space="preserve">MTR </v>
          </cell>
          <cell r="E251">
            <v>41800</v>
          </cell>
        </row>
        <row r="252">
          <cell r="C252">
            <v>1370047</v>
          </cell>
          <cell r="D252" t="str">
            <v xml:space="preserve">MTR </v>
          </cell>
          <cell r="E252">
            <v>5457.84</v>
          </cell>
        </row>
        <row r="253">
          <cell r="C253">
            <v>1330088</v>
          </cell>
          <cell r="D253" t="str">
            <v xml:space="preserve">MTR </v>
          </cell>
          <cell r="E253">
            <v>267</v>
          </cell>
        </row>
        <row r="254">
          <cell r="C254">
            <v>1330089</v>
          </cell>
          <cell r="D254" t="str">
            <v xml:space="preserve">MTR </v>
          </cell>
          <cell r="E254">
            <v>82.39</v>
          </cell>
        </row>
        <row r="255">
          <cell r="C255">
            <v>1330090</v>
          </cell>
          <cell r="D255" t="str">
            <v xml:space="preserve">MTR </v>
          </cell>
          <cell r="E255">
            <v>144.44999999999999</v>
          </cell>
        </row>
        <row r="256">
          <cell r="C256">
            <v>1340015</v>
          </cell>
          <cell r="D256" t="str">
            <v xml:space="preserve">MTR </v>
          </cell>
          <cell r="E256">
            <v>476</v>
          </cell>
        </row>
        <row r="257">
          <cell r="C257">
            <v>1340016</v>
          </cell>
          <cell r="D257" t="str">
            <v xml:space="preserve">MTR </v>
          </cell>
          <cell r="E257">
            <v>550</v>
          </cell>
        </row>
        <row r="258">
          <cell r="C258">
            <v>2900101</v>
          </cell>
          <cell r="D258" t="str">
            <v xml:space="preserve">MTR </v>
          </cell>
          <cell r="E258">
            <v>0</v>
          </cell>
        </row>
        <row r="259">
          <cell r="C259">
            <v>2900201</v>
          </cell>
          <cell r="D259" t="str">
            <v xml:space="preserve">MTR </v>
          </cell>
          <cell r="E259">
            <v>0</v>
          </cell>
        </row>
        <row r="260">
          <cell r="C260">
            <v>1131003</v>
          </cell>
          <cell r="D260" t="str">
            <v xml:space="preserve">MTR </v>
          </cell>
          <cell r="E260">
            <v>0.01</v>
          </cell>
        </row>
        <row r="261">
          <cell r="C261">
            <v>2900202</v>
          </cell>
          <cell r="D261" t="str">
            <v xml:space="preserve">MTR </v>
          </cell>
          <cell r="E261">
            <v>0.74</v>
          </cell>
        </row>
        <row r="262">
          <cell r="C262">
            <v>2900301</v>
          </cell>
          <cell r="D262" t="str">
            <v xml:space="preserve">MTR </v>
          </cell>
          <cell r="E262">
            <v>0</v>
          </cell>
        </row>
        <row r="263">
          <cell r="C263">
            <v>2900601</v>
          </cell>
          <cell r="D263" t="str">
            <v xml:space="preserve">MTR </v>
          </cell>
          <cell r="E263">
            <v>0.01</v>
          </cell>
        </row>
        <row r="264">
          <cell r="C264">
            <v>1131004</v>
          </cell>
          <cell r="D264" t="str">
            <v xml:space="preserve">MTR </v>
          </cell>
          <cell r="E264">
            <v>0.01</v>
          </cell>
        </row>
        <row r="265">
          <cell r="C265">
            <v>1310062</v>
          </cell>
          <cell r="D265" t="str">
            <v xml:space="preserve">MTR </v>
          </cell>
          <cell r="E265">
            <v>1075.72</v>
          </cell>
        </row>
        <row r="266">
          <cell r="C266">
            <v>1350016</v>
          </cell>
          <cell r="D266" t="str">
            <v xml:space="preserve">MTR </v>
          </cell>
          <cell r="E266">
            <v>1434.95</v>
          </cell>
        </row>
        <row r="267">
          <cell r="C267">
            <v>2900701</v>
          </cell>
          <cell r="D267" t="str">
            <v xml:space="preserve">MTR </v>
          </cell>
          <cell r="E267">
            <v>0.01</v>
          </cell>
        </row>
        <row r="268">
          <cell r="C268">
            <v>2900901</v>
          </cell>
          <cell r="D268" t="str">
            <v xml:space="preserve">UND </v>
          </cell>
          <cell r="E268">
            <v>0.01</v>
          </cell>
        </row>
        <row r="269">
          <cell r="C269">
            <v>2901003</v>
          </cell>
          <cell r="D269" t="str">
            <v xml:space="preserve">UND </v>
          </cell>
          <cell r="E269">
            <v>0</v>
          </cell>
        </row>
        <row r="270">
          <cell r="C270">
            <v>1230024</v>
          </cell>
          <cell r="D270" t="str">
            <v xml:space="preserve">UND </v>
          </cell>
          <cell r="E270">
            <v>65400</v>
          </cell>
        </row>
        <row r="271">
          <cell r="C271">
            <v>1350017</v>
          </cell>
          <cell r="D271" t="str">
            <v xml:space="preserve">UND </v>
          </cell>
          <cell r="E271">
            <v>1459.62</v>
          </cell>
        </row>
        <row r="272">
          <cell r="C272">
            <v>1340017</v>
          </cell>
          <cell r="D272" t="str">
            <v xml:space="preserve">KG  </v>
          </cell>
          <cell r="E272">
            <v>57</v>
          </cell>
        </row>
        <row r="273">
          <cell r="C273">
            <v>1310063</v>
          </cell>
          <cell r="D273" t="str">
            <v xml:space="preserve">KG  </v>
          </cell>
          <cell r="E273">
            <v>573</v>
          </cell>
        </row>
        <row r="274">
          <cell r="C274">
            <v>2902001</v>
          </cell>
          <cell r="D274" t="str">
            <v xml:space="preserve">KG  </v>
          </cell>
          <cell r="E274">
            <v>14379.54</v>
          </cell>
        </row>
        <row r="275">
          <cell r="C275">
            <v>2902002</v>
          </cell>
          <cell r="D275" t="str">
            <v xml:space="preserve">KG  </v>
          </cell>
          <cell r="E275">
            <v>30904.86</v>
          </cell>
        </row>
        <row r="276">
          <cell r="C276">
            <v>1210009</v>
          </cell>
          <cell r="D276" t="str">
            <v xml:space="preserve">KG  </v>
          </cell>
          <cell r="E276">
            <v>10645.54</v>
          </cell>
        </row>
        <row r="277">
          <cell r="C277">
            <v>2902003</v>
          </cell>
          <cell r="D277" t="str">
            <v xml:space="preserve">KG  </v>
          </cell>
          <cell r="E277">
            <v>11952.3</v>
          </cell>
        </row>
        <row r="278">
          <cell r="C278">
            <v>2902005</v>
          </cell>
          <cell r="E278">
            <v>12389</v>
          </cell>
        </row>
        <row r="279">
          <cell r="C279">
            <v>2902006</v>
          </cell>
          <cell r="E279">
            <v>10354.68</v>
          </cell>
        </row>
        <row r="280">
          <cell r="C280">
            <v>2902007</v>
          </cell>
          <cell r="E280">
            <v>10354.68</v>
          </cell>
        </row>
        <row r="281">
          <cell r="C281">
            <v>1370049</v>
          </cell>
          <cell r="E281">
            <v>0</v>
          </cell>
        </row>
        <row r="282">
          <cell r="C282">
            <v>2902008</v>
          </cell>
          <cell r="E282">
            <v>15106.34</v>
          </cell>
        </row>
        <row r="283">
          <cell r="C283">
            <v>2903001</v>
          </cell>
          <cell r="E283">
            <v>15247.06</v>
          </cell>
        </row>
        <row r="284">
          <cell r="C284">
            <v>2903002</v>
          </cell>
          <cell r="E284">
            <v>15621.43</v>
          </cell>
        </row>
        <row r="285">
          <cell r="C285">
            <v>2903003</v>
          </cell>
          <cell r="E285">
            <v>14070.81</v>
          </cell>
        </row>
        <row r="286">
          <cell r="C286">
            <v>2903004</v>
          </cell>
          <cell r="E286">
            <v>15399.3</v>
          </cell>
        </row>
        <row r="287">
          <cell r="C287">
            <v>1230025</v>
          </cell>
          <cell r="E287">
            <v>95714.67</v>
          </cell>
        </row>
        <row r="288">
          <cell r="C288">
            <v>1230026</v>
          </cell>
          <cell r="E288">
            <v>123823.19</v>
          </cell>
        </row>
        <row r="289">
          <cell r="C289">
            <v>1270010</v>
          </cell>
          <cell r="E289">
            <v>79763.009999999995</v>
          </cell>
        </row>
        <row r="290">
          <cell r="C290">
            <v>2903005</v>
          </cell>
          <cell r="E290">
            <v>16000</v>
          </cell>
        </row>
        <row r="291">
          <cell r="C291">
            <v>2903006</v>
          </cell>
          <cell r="E291">
            <v>11840.43</v>
          </cell>
        </row>
        <row r="292">
          <cell r="C292">
            <v>2903007</v>
          </cell>
          <cell r="E292">
            <v>10370.99</v>
          </cell>
        </row>
        <row r="293">
          <cell r="C293">
            <v>2903008</v>
          </cell>
          <cell r="E293">
            <v>11928.53</v>
          </cell>
        </row>
        <row r="294">
          <cell r="C294">
            <v>2904002</v>
          </cell>
          <cell r="E294">
            <v>1983.13</v>
          </cell>
        </row>
        <row r="295">
          <cell r="C295">
            <v>2906001</v>
          </cell>
          <cell r="E295">
            <v>1983.13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</sheetNames>
    <sheetDataSet>
      <sheetData sheetId="0" refreshError="1">
        <row r="2">
          <cell r="C2">
            <v>1111002</v>
          </cell>
          <cell r="D2" t="str">
            <v xml:space="preserve">KG  </v>
          </cell>
          <cell r="E2">
            <v>2800</v>
          </cell>
        </row>
        <row r="3">
          <cell r="C3">
            <v>1112001</v>
          </cell>
          <cell r="D3" t="str">
            <v xml:space="preserve">KG  </v>
          </cell>
          <cell r="E3">
            <v>3890.18</v>
          </cell>
        </row>
        <row r="4">
          <cell r="C4">
            <v>1112002</v>
          </cell>
          <cell r="D4" t="str">
            <v xml:space="preserve">KG  </v>
          </cell>
          <cell r="E4">
            <v>3645.73</v>
          </cell>
        </row>
        <row r="5">
          <cell r="C5">
            <v>1112005</v>
          </cell>
          <cell r="D5" t="str">
            <v xml:space="preserve">KG  </v>
          </cell>
          <cell r="E5">
            <v>13703.5</v>
          </cell>
        </row>
        <row r="6">
          <cell r="C6">
            <v>1112013</v>
          </cell>
          <cell r="D6" t="str">
            <v xml:space="preserve">KG  </v>
          </cell>
          <cell r="E6">
            <v>3800</v>
          </cell>
        </row>
        <row r="7">
          <cell r="C7">
            <v>1121003</v>
          </cell>
          <cell r="D7" t="str">
            <v xml:space="preserve">KG  </v>
          </cell>
          <cell r="E7">
            <v>5799.99</v>
          </cell>
        </row>
        <row r="8">
          <cell r="C8">
            <v>1121004</v>
          </cell>
          <cell r="D8" t="str">
            <v xml:space="preserve">KG  </v>
          </cell>
          <cell r="E8">
            <v>5591.2</v>
          </cell>
        </row>
        <row r="9">
          <cell r="C9">
            <v>1121005</v>
          </cell>
          <cell r="D9" t="str">
            <v xml:space="preserve">KG  </v>
          </cell>
          <cell r="E9">
            <v>24200</v>
          </cell>
        </row>
        <row r="10">
          <cell r="C10">
            <v>1121006</v>
          </cell>
          <cell r="D10" t="str">
            <v xml:space="preserve">KG  </v>
          </cell>
          <cell r="E10">
            <v>15400</v>
          </cell>
        </row>
        <row r="11">
          <cell r="C11">
            <v>1121009</v>
          </cell>
          <cell r="D11" t="str">
            <v xml:space="preserve">KG  </v>
          </cell>
          <cell r="E11">
            <v>8340.2999999999993</v>
          </cell>
        </row>
        <row r="12">
          <cell r="C12">
            <v>1122001</v>
          </cell>
          <cell r="D12" t="str">
            <v xml:space="preserve">KG  </v>
          </cell>
          <cell r="E12">
            <v>12405.8</v>
          </cell>
        </row>
        <row r="13">
          <cell r="C13">
            <v>1122002</v>
          </cell>
          <cell r="D13" t="str">
            <v xml:space="preserve">KG  </v>
          </cell>
          <cell r="E13">
            <v>14000</v>
          </cell>
        </row>
        <row r="14">
          <cell r="C14">
            <v>1122006</v>
          </cell>
          <cell r="D14" t="str">
            <v xml:space="preserve">KG  </v>
          </cell>
          <cell r="E14">
            <v>13427.76</v>
          </cell>
        </row>
        <row r="15">
          <cell r="C15">
            <v>2903001</v>
          </cell>
          <cell r="D15" t="str">
            <v xml:space="preserve">KG  </v>
          </cell>
          <cell r="E15">
            <v>14157.66</v>
          </cell>
        </row>
        <row r="16">
          <cell r="C16">
            <v>2903002</v>
          </cell>
          <cell r="D16" t="str">
            <v xml:space="preserve">KG  </v>
          </cell>
          <cell r="E16">
            <v>14000</v>
          </cell>
        </row>
        <row r="17">
          <cell r="C17">
            <v>2903003</v>
          </cell>
          <cell r="D17" t="str">
            <v xml:space="preserve">KG  </v>
          </cell>
          <cell r="E17">
            <v>12527.93</v>
          </cell>
        </row>
        <row r="18">
          <cell r="C18">
            <v>2906001</v>
          </cell>
          <cell r="D18" t="str">
            <v xml:space="preserve">KG  </v>
          </cell>
          <cell r="E18">
            <v>1976.7</v>
          </cell>
        </row>
        <row r="19">
          <cell r="C19">
            <v>2906002</v>
          </cell>
          <cell r="D19" t="str">
            <v xml:space="preserve">KG  </v>
          </cell>
          <cell r="E19">
            <v>8851.17</v>
          </cell>
        </row>
        <row r="20">
          <cell r="C20">
            <v>1122007</v>
          </cell>
          <cell r="D20" t="str">
            <v xml:space="preserve">KG  </v>
          </cell>
          <cell r="E20">
            <v>12321.43</v>
          </cell>
        </row>
        <row r="21">
          <cell r="C21">
            <v>1122008</v>
          </cell>
          <cell r="D21" t="str">
            <v xml:space="preserve">KG  </v>
          </cell>
          <cell r="E21">
            <v>12500</v>
          </cell>
        </row>
        <row r="22">
          <cell r="C22">
            <v>1122010</v>
          </cell>
          <cell r="D22" t="str">
            <v xml:space="preserve">KG  </v>
          </cell>
          <cell r="E22">
            <v>15399.3</v>
          </cell>
        </row>
        <row r="23">
          <cell r="C23">
            <v>1122011</v>
          </cell>
          <cell r="D23" t="str">
            <v xml:space="preserve">KG  </v>
          </cell>
          <cell r="E23">
            <v>16000</v>
          </cell>
        </row>
        <row r="24">
          <cell r="C24">
            <v>1131001</v>
          </cell>
          <cell r="D24" t="str">
            <v xml:space="preserve">KG  </v>
          </cell>
          <cell r="E24">
            <v>386.89</v>
          </cell>
        </row>
        <row r="25">
          <cell r="C25">
            <v>1131002</v>
          </cell>
          <cell r="D25" t="str">
            <v xml:space="preserve">KG  </v>
          </cell>
          <cell r="E25">
            <v>0</v>
          </cell>
        </row>
        <row r="26">
          <cell r="C26">
            <v>1131003</v>
          </cell>
          <cell r="D26" t="str">
            <v xml:space="preserve">KG  </v>
          </cell>
          <cell r="E26">
            <v>0.01</v>
          </cell>
        </row>
        <row r="27">
          <cell r="C27">
            <v>1131004</v>
          </cell>
          <cell r="D27" t="str">
            <v xml:space="preserve">KG  </v>
          </cell>
          <cell r="E27">
            <v>0.01</v>
          </cell>
        </row>
        <row r="28">
          <cell r="C28">
            <v>1141001</v>
          </cell>
          <cell r="D28" t="str">
            <v xml:space="preserve">KG  </v>
          </cell>
          <cell r="E28">
            <v>16000.05</v>
          </cell>
        </row>
        <row r="29">
          <cell r="C29">
            <v>1210002</v>
          </cell>
          <cell r="D29" t="str">
            <v xml:space="preserve">KG  </v>
          </cell>
          <cell r="E29">
            <v>12885.98</v>
          </cell>
        </row>
        <row r="30">
          <cell r="C30">
            <v>1210003</v>
          </cell>
          <cell r="D30" t="str">
            <v xml:space="preserve">KG  </v>
          </cell>
          <cell r="E30">
            <v>11200.08</v>
          </cell>
        </row>
        <row r="31">
          <cell r="C31">
            <v>1210004</v>
          </cell>
          <cell r="D31" t="str">
            <v xml:space="preserve">KG  </v>
          </cell>
          <cell r="E31">
            <v>3841</v>
          </cell>
        </row>
        <row r="32">
          <cell r="C32">
            <v>1210005</v>
          </cell>
          <cell r="D32" t="str">
            <v xml:space="preserve">KG  </v>
          </cell>
          <cell r="E32">
            <v>1356</v>
          </cell>
        </row>
        <row r="33">
          <cell r="C33">
            <v>1210006</v>
          </cell>
          <cell r="D33" t="str">
            <v xml:space="preserve">KG  </v>
          </cell>
          <cell r="E33">
            <v>8904.4500000000007</v>
          </cell>
        </row>
        <row r="34">
          <cell r="C34">
            <v>1210008</v>
          </cell>
          <cell r="D34" t="str">
            <v xml:space="preserve">KG  </v>
          </cell>
          <cell r="E34">
            <v>14700</v>
          </cell>
        </row>
        <row r="35">
          <cell r="C35">
            <v>1210009</v>
          </cell>
          <cell r="D35" t="str">
            <v xml:space="preserve">KG  </v>
          </cell>
          <cell r="E35">
            <v>10948.49</v>
          </cell>
        </row>
        <row r="36">
          <cell r="C36">
            <v>1210010</v>
          </cell>
          <cell r="D36" t="str">
            <v xml:space="preserve">KG  </v>
          </cell>
          <cell r="E36">
            <v>11600</v>
          </cell>
        </row>
        <row r="37">
          <cell r="C37">
            <v>121007</v>
          </cell>
          <cell r="D37" t="str">
            <v xml:space="preserve">KG  </v>
          </cell>
          <cell r="E37">
            <v>16904.849999999999</v>
          </cell>
        </row>
        <row r="38">
          <cell r="C38">
            <v>1220001</v>
          </cell>
          <cell r="D38" t="str">
            <v xml:space="preserve">KG  </v>
          </cell>
          <cell r="E38">
            <v>85335.13</v>
          </cell>
        </row>
        <row r="39">
          <cell r="C39">
            <v>1220004</v>
          </cell>
          <cell r="D39" t="str">
            <v xml:space="preserve">KG  </v>
          </cell>
          <cell r="E39">
            <v>4632</v>
          </cell>
        </row>
        <row r="40">
          <cell r="C40">
            <v>1220005</v>
          </cell>
          <cell r="D40" t="str">
            <v xml:space="preserve">KG  </v>
          </cell>
          <cell r="E40">
            <v>17371.509999999998</v>
          </cell>
        </row>
        <row r="41">
          <cell r="C41">
            <v>1220006</v>
          </cell>
          <cell r="D41" t="str">
            <v xml:space="preserve">KG  </v>
          </cell>
          <cell r="E41">
            <v>73448.009999999995</v>
          </cell>
        </row>
        <row r="42">
          <cell r="C42">
            <v>1220007</v>
          </cell>
          <cell r="D42" t="str">
            <v xml:space="preserve">KG  </v>
          </cell>
          <cell r="E42">
            <v>60035.93</v>
          </cell>
        </row>
        <row r="43">
          <cell r="C43">
            <v>1220008</v>
          </cell>
          <cell r="D43" t="str">
            <v xml:space="preserve">KG  </v>
          </cell>
          <cell r="E43">
            <v>48507.19</v>
          </cell>
        </row>
        <row r="44">
          <cell r="C44">
            <v>1220009</v>
          </cell>
          <cell r="D44" t="str">
            <v xml:space="preserve">KG  </v>
          </cell>
          <cell r="E44">
            <v>21130.99</v>
          </cell>
        </row>
        <row r="45">
          <cell r="C45">
            <v>1220010</v>
          </cell>
          <cell r="D45" t="str">
            <v xml:space="preserve">KG  </v>
          </cell>
          <cell r="E45">
            <v>4787.5200000000004</v>
          </cell>
        </row>
        <row r="46">
          <cell r="C46">
            <v>1220011</v>
          </cell>
          <cell r="D46" t="str">
            <v xml:space="preserve">KG  </v>
          </cell>
          <cell r="E46">
            <v>9773</v>
          </cell>
        </row>
        <row r="47">
          <cell r="C47">
            <v>1220012</v>
          </cell>
          <cell r="D47" t="str">
            <v xml:space="preserve">KG  </v>
          </cell>
          <cell r="E47">
            <v>8449.99</v>
          </cell>
        </row>
        <row r="48">
          <cell r="C48">
            <v>1220013</v>
          </cell>
          <cell r="D48" t="str">
            <v xml:space="preserve">KG  </v>
          </cell>
          <cell r="E48">
            <v>35865.82</v>
          </cell>
        </row>
        <row r="49">
          <cell r="C49">
            <v>1220014</v>
          </cell>
          <cell r="D49" t="str">
            <v xml:space="preserve">KG  </v>
          </cell>
          <cell r="E49">
            <v>14056.73</v>
          </cell>
        </row>
        <row r="50">
          <cell r="C50">
            <v>1220015</v>
          </cell>
          <cell r="D50" t="str">
            <v xml:space="preserve">KG  </v>
          </cell>
          <cell r="E50">
            <v>30655.63</v>
          </cell>
        </row>
        <row r="51">
          <cell r="C51">
            <v>1220020</v>
          </cell>
          <cell r="D51" t="str">
            <v xml:space="preserve">KG  </v>
          </cell>
          <cell r="E51">
            <v>8200</v>
          </cell>
        </row>
        <row r="52">
          <cell r="C52">
            <v>1220022</v>
          </cell>
          <cell r="D52" t="str">
            <v xml:space="preserve">KG  </v>
          </cell>
          <cell r="E52">
            <v>65625</v>
          </cell>
        </row>
        <row r="53">
          <cell r="C53">
            <v>1230003</v>
          </cell>
          <cell r="D53" t="str">
            <v xml:space="preserve">KG  </v>
          </cell>
          <cell r="E53">
            <v>20076.810000000001</v>
          </cell>
        </row>
        <row r="54">
          <cell r="C54">
            <v>1230004</v>
          </cell>
          <cell r="D54" t="str">
            <v xml:space="preserve">KG  </v>
          </cell>
          <cell r="E54">
            <v>20801.03</v>
          </cell>
        </row>
        <row r="55">
          <cell r="C55">
            <v>1230005</v>
          </cell>
          <cell r="D55" t="str">
            <v xml:space="preserve">KG  </v>
          </cell>
          <cell r="E55">
            <v>44546.22</v>
          </cell>
        </row>
        <row r="56">
          <cell r="C56">
            <v>1230006</v>
          </cell>
          <cell r="D56" t="str">
            <v xml:space="preserve">KG  </v>
          </cell>
          <cell r="E56">
            <v>44424.82</v>
          </cell>
        </row>
        <row r="57">
          <cell r="C57">
            <v>1230008</v>
          </cell>
          <cell r="D57" t="str">
            <v xml:space="preserve">KG  </v>
          </cell>
          <cell r="E57">
            <v>26734.97</v>
          </cell>
        </row>
        <row r="58">
          <cell r="C58">
            <v>1230009</v>
          </cell>
          <cell r="D58" t="str">
            <v xml:space="preserve">KG  </v>
          </cell>
          <cell r="E58">
            <v>36345.9</v>
          </cell>
        </row>
        <row r="59">
          <cell r="C59">
            <v>1230010</v>
          </cell>
          <cell r="D59" t="str">
            <v xml:space="preserve">KG  </v>
          </cell>
          <cell r="E59">
            <v>53831.01</v>
          </cell>
        </row>
        <row r="60">
          <cell r="C60">
            <v>1230011</v>
          </cell>
          <cell r="D60" t="str">
            <v xml:space="preserve">KG  </v>
          </cell>
          <cell r="E60">
            <v>5480</v>
          </cell>
        </row>
        <row r="61">
          <cell r="C61">
            <v>1230012</v>
          </cell>
          <cell r="D61" t="str">
            <v xml:space="preserve">KG  </v>
          </cell>
          <cell r="E61">
            <v>28917.96</v>
          </cell>
        </row>
        <row r="62">
          <cell r="C62">
            <v>1230013</v>
          </cell>
          <cell r="D62" t="str">
            <v xml:space="preserve">KG  </v>
          </cell>
          <cell r="E62">
            <v>19963.61</v>
          </cell>
        </row>
        <row r="63">
          <cell r="C63">
            <v>1230016</v>
          </cell>
          <cell r="D63" t="str">
            <v xml:space="preserve">KG  </v>
          </cell>
          <cell r="E63">
            <v>89555.46</v>
          </cell>
        </row>
        <row r="64">
          <cell r="C64">
            <v>1230017</v>
          </cell>
          <cell r="D64" t="str">
            <v xml:space="preserve">KG  </v>
          </cell>
          <cell r="E64">
            <v>60412.33</v>
          </cell>
        </row>
        <row r="65">
          <cell r="C65">
            <v>1230018</v>
          </cell>
          <cell r="D65" t="str">
            <v xml:space="preserve">KG  </v>
          </cell>
          <cell r="E65">
            <v>75941.490000000005</v>
          </cell>
        </row>
        <row r="66">
          <cell r="C66">
            <v>1230019</v>
          </cell>
          <cell r="D66" t="str">
            <v xml:space="preserve">KG  </v>
          </cell>
          <cell r="E66">
            <v>48500.03</v>
          </cell>
        </row>
        <row r="67">
          <cell r="C67">
            <v>1230020</v>
          </cell>
          <cell r="D67" t="str">
            <v xml:space="preserve">KG  </v>
          </cell>
          <cell r="E67">
            <v>41972.57</v>
          </cell>
        </row>
        <row r="68">
          <cell r="C68">
            <v>1230022</v>
          </cell>
          <cell r="D68" t="str">
            <v xml:space="preserve">KG  </v>
          </cell>
          <cell r="E68">
            <v>0</v>
          </cell>
        </row>
        <row r="69">
          <cell r="C69">
            <v>1230023</v>
          </cell>
          <cell r="D69" t="str">
            <v xml:space="preserve">KG  </v>
          </cell>
          <cell r="E69">
            <v>41800</v>
          </cell>
        </row>
        <row r="70">
          <cell r="C70">
            <v>1230024</v>
          </cell>
          <cell r="D70" t="str">
            <v xml:space="preserve">KG  </v>
          </cell>
          <cell r="E70">
            <v>66549.95</v>
          </cell>
        </row>
        <row r="71">
          <cell r="C71">
            <v>1230025</v>
          </cell>
          <cell r="D71" t="str">
            <v xml:space="preserve">KG  </v>
          </cell>
          <cell r="E71">
            <v>95714.67</v>
          </cell>
        </row>
        <row r="72">
          <cell r="C72">
            <v>1230026</v>
          </cell>
          <cell r="D72" t="str">
            <v xml:space="preserve">KG  </v>
          </cell>
          <cell r="E72">
            <v>123823.2</v>
          </cell>
        </row>
        <row r="73">
          <cell r="C73">
            <v>1240002</v>
          </cell>
          <cell r="D73" t="str">
            <v xml:space="preserve">KG  </v>
          </cell>
          <cell r="E73">
            <v>66115.78</v>
          </cell>
        </row>
        <row r="74">
          <cell r="C74">
            <v>1240007</v>
          </cell>
          <cell r="D74" t="str">
            <v xml:space="preserve">KG  </v>
          </cell>
          <cell r="E74">
            <v>25948.57</v>
          </cell>
        </row>
        <row r="75">
          <cell r="C75">
            <v>1240008</v>
          </cell>
          <cell r="D75" t="str">
            <v xml:space="preserve">KG  </v>
          </cell>
          <cell r="E75">
            <v>12413.37</v>
          </cell>
        </row>
        <row r="76">
          <cell r="C76">
            <v>1240009</v>
          </cell>
          <cell r="D76" t="str">
            <v xml:space="preserve">KG  </v>
          </cell>
          <cell r="E76">
            <v>6700</v>
          </cell>
        </row>
        <row r="77">
          <cell r="C77">
            <v>1250001</v>
          </cell>
          <cell r="D77" t="str">
            <v xml:space="preserve">KG  </v>
          </cell>
          <cell r="E77">
            <v>4993.16</v>
          </cell>
        </row>
        <row r="78">
          <cell r="C78">
            <v>1250002</v>
          </cell>
          <cell r="D78" t="str">
            <v xml:space="preserve">KG  </v>
          </cell>
          <cell r="E78">
            <v>43506.57</v>
          </cell>
        </row>
        <row r="79">
          <cell r="C79">
            <v>1250003</v>
          </cell>
          <cell r="D79" t="str">
            <v xml:space="preserve">KG  </v>
          </cell>
          <cell r="E79">
            <v>43165.84</v>
          </cell>
        </row>
        <row r="80">
          <cell r="C80">
            <v>1250004</v>
          </cell>
          <cell r="D80" t="str">
            <v xml:space="preserve">KG  </v>
          </cell>
          <cell r="E80">
            <v>161738.1</v>
          </cell>
        </row>
        <row r="81">
          <cell r="C81">
            <v>1250005</v>
          </cell>
          <cell r="D81" t="str">
            <v xml:space="preserve">KG  </v>
          </cell>
          <cell r="E81">
            <v>66323.58</v>
          </cell>
        </row>
        <row r="82">
          <cell r="C82">
            <v>1250007</v>
          </cell>
          <cell r="D82" t="str">
            <v xml:space="preserve">KG  </v>
          </cell>
          <cell r="E82">
            <v>61455.81</v>
          </cell>
        </row>
        <row r="83">
          <cell r="C83">
            <v>1250009</v>
          </cell>
          <cell r="D83" t="str">
            <v xml:space="preserve">KG  </v>
          </cell>
          <cell r="E83">
            <v>83450.02</v>
          </cell>
        </row>
        <row r="84">
          <cell r="C84">
            <v>1260005</v>
          </cell>
          <cell r="D84" t="str">
            <v xml:space="preserve">KG  </v>
          </cell>
          <cell r="E84">
            <v>26529.759999999998</v>
          </cell>
        </row>
        <row r="85">
          <cell r="C85">
            <v>1260006</v>
          </cell>
          <cell r="D85" t="str">
            <v xml:space="preserve">KG  </v>
          </cell>
          <cell r="E85">
            <v>18900</v>
          </cell>
        </row>
        <row r="86">
          <cell r="C86">
            <v>1260008</v>
          </cell>
          <cell r="D86" t="str">
            <v xml:space="preserve">KG  </v>
          </cell>
          <cell r="E86">
            <v>10419.27</v>
          </cell>
        </row>
        <row r="87">
          <cell r="C87">
            <v>1260009</v>
          </cell>
          <cell r="D87" t="str">
            <v xml:space="preserve">KG  </v>
          </cell>
          <cell r="E87">
            <v>8601.83</v>
          </cell>
        </row>
        <row r="88">
          <cell r="C88">
            <v>1260010</v>
          </cell>
          <cell r="D88" t="str">
            <v xml:space="preserve">KG  </v>
          </cell>
          <cell r="E88">
            <v>6979.08</v>
          </cell>
        </row>
        <row r="89">
          <cell r="C89">
            <v>1260011</v>
          </cell>
          <cell r="D89" t="str">
            <v xml:space="preserve">KG  </v>
          </cell>
          <cell r="E89">
            <v>4960.3599999999997</v>
          </cell>
        </row>
        <row r="90">
          <cell r="C90">
            <v>1260012</v>
          </cell>
          <cell r="D90" t="str">
            <v xml:space="preserve">KG  </v>
          </cell>
          <cell r="E90">
            <v>46081</v>
          </cell>
        </row>
        <row r="91">
          <cell r="C91">
            <v>1260013</v>
          </cell>
          <cell r="D91" t="str">
            <v xml:space="preserve">KG  </v>
          </cell>
          <cell r="E91">
            <v>25202.69</v>
          </cell>
        </row>
        <row r="92">
          <cell r="C92">
            <v>1260014</v>
          </cell>
          <cell r="D92" t="str">
            <v xml:space="preserve">KG  </v>
          </cell>
          <cell r="E92">
            <v>30304.7</v>
          </cell>
        </row>
        <row r="93">
          <cell r="C93">
            <v>1260015</v>
          </cell>
          <cell r="D93" t="str">
            <v xml:space="preserve">KG  </v>
          </cell>
          <cell r="E93">
            <v>3390</v>
          </cell>
        </row>
        <row r="94">
          <cell r="C94">
            <v>1260016</v>
          </cell>
          <cell r="D94" t="str">
            <v xml:space="preserve">KG  </v>
          </cell>
          <cell r="E94">
            <v>31000</v>
          </cell>
        </row>
        <row r="95">
          <cell r="C95">
            <v>1260017</v>
          </cell>
          <cell r="D95" t="str">
            <v xml:space="preserve">KG  </v>
          </cell>
          <cell r="E95">
            <v>4500</v>
          </cell>
        </row>
        <row r="96">
          <cell r="C96">
            <v>1260018</v>
          </cell>
          <cell r="D96" t="str">
            <v xml:space="preserve">KG  </v>
          </cell>
          <cell r="E96">
            <v>25908.959999999999</v>
          </cell>
        </row>
        <row r="97">
          <cell r="C97">
            <v>1260022</v>
          </cell>
          <cell r="D97" t="str">
            <v xml:space="preserve">KG  </v>
          </cell>
          <cell r="E97">
            <v>22905.14</v>
          </cell>
        </row>
        <row r="98">
          <cell r="C98">
            <v>1260023</v>
          </cell>
          <cell r="D98" t="str">
            <v xml:space="preserve">KG  </v>
          </cell>
          <cell r="E98">
            <v>120906.49</v>
          </cell>
        </row>
        <row r="99">
          <cell r="C99">
            <v>1260024</v>
          </cell>
          <cell r="D99" t="str">
            <v xml:space="preserve">KG  </v>
          </cell>
          <cell r="E99">
            <v>12638.82</v>
          </cell>
        </row>
        <row r="100">
          <cell r="C100">
            <v>1260025</v>
          </cell>
          <cell r="D100" t="str">
            <v xml:space="preserve">KG  </v>
          </cell>
          <cell r="E100">
            <v>60647.040000000001</v>
          </cell>
        </row>
        <row r="101">
          <cell r="C101">
            <v>1270003</v>
          </cell>
          <cell r="D101" t="str">
            <v xml:space="preserve">KG  </v>
          </cell>
          <cell r="E101">
            <v>15828.81</v>
          </cell>
        </row>
        <row r="102">
          <cell r="C102">
            <v>1270004</v>
          </cell>
          <cell r="D102" t="str">
            <v xml:space="preserve">KG  </v>
          </cell>
          <cell r="E102">
            <v>49735.83</v>
          </cell>
        </row>
        <row r="103">
          <cell r="C103">
            <v>1270006</v>
          </cell>
          <cell r="D103" t="str">
            <v xml:space="preserve">KG  </v>
          </cell>
          <cell r="E103">
            <v>29640</v>
          </cell>
        </row>
        <row r="104">
          <cell r="C104">
            <v>1270007</v>
          </cell>
          <cell r="D104" t="str">
            <v xml:space="preserve">MTR </v>
          </cell>
          <cell r="E104">
            <v>161130.26999999999</v>
          </cell>
        </row>
        <row r="105">
          <cell r="C105">
            <v>1270008</v>
          </cell>
          <cell r="D105" t="str">
            <v xml:space="preserve">MTR </v>
          </cell>
          <cell r="E105">
            <v>8539.58</v>
          </cell>
        </row>
        <row r="106">
          <cell r="C106">
            <v>1270009</v>
          </cell>
          <cell r="D106" t="str">
            <v xml:space="preserve">MTR </v>
          </cell>
          <cell r="E106">
            <v>56233.21</v>
          </cell>
        </row>
        <row r="107">
          <cell r="C107">
            <v>1270010</v>
          </cell>
          <cell r="D107" t="str">
            <v xml:space="preserve">KG  </v>
          </cell>
          <cell r="E107">
            <v>79763.03</v>
          </cell>
        </row>
        <row r="108">
          <cell r="C108">
            <v>1280002</v>
          </cell>
          <cell r="D108" t="str">
            <v xml:space="preserve">KG  </v>
          </cell>
          <cell r="E108">
            <v>14346.71</v>
          </cell>
        </row>
        <row r="109">
          <cell r="C109">
            <v>1280003</v>
          </cell>
          <cell r="D109" t="str">
            <v xml:space="preserve">MTR </v>
          </cell>
          <cell r="E109">
            <v>34500</v>
          </cell>
        </row>
        <row r="110">
          <cell r="C110">
            <v>1310001</v>
          </cell>
          <cell r="D110" t="str">
            <v xml:space="preserve">MTR </v>
          </cell>
          <cell r="E110">
            <v>682</v>
          </cell>
        </row>
        <row r="111">
          <cell r="C111">
            <v>1310002</v>
          </cell>
          <cell r="D111" t="str">
            <v xml:space="preserve">MTR </v>
          </cell>
          <cell r="E111">
            <v>665.01</v>
          </cell>
        </row>
        <row r="112">
          <cell r="C112">
            <v>1310011</v>
          </cell>
          <cell r="D112" t="str">
            <v xml:space="preserve">KG  </v>
          </cell>
          <cell r="E112">
            <v>1177</v>
          </cell>
        </row>
        <row r="113">
          <cell r="C113">
            <v>1310012</v>
          </cell>
          <cell r="D113" t="str">
            <v xml:space="preserve">MTR </v>
          </cell>
          <cell r="E113">
            <v>26726.37</v>
          </cell>
        </row>
        <row r="114">
          <cell r="C114">
            <v>1310014</v>
          </cell>
          <cell r="D114" t="str">
            <v xml:space="preserve">MTR </v>
          </cell>
          <cell r="E114">
            <v>26266.7</v>
          </cell>
        </row>
        <row r="115">
          <cell r="C115">
            <v>1310015</v>
          </cell>
          <cell r="D115" t="str">
            <v xml:space="preserve">MTR </v>
          </cell>
          <cell r="E115">
            <v>665</v>
          </cell>
        </row>
        <row r="116">
          <cell r="C116">
            <v>1310017</v>
          </cell>
          <cell r="D116" t="str">
            <v xml:space="preserve">MTR </v>
          </cell>
          <cell r="E116">
            <v>692.63</v>
          </cell>
        </row>
        <row r="117">
          <cell r="C117">
            <v>1310018</v>
          </cell>
          <cell r="D117" t="str">
            <v xml:space="preserve">MTR </v>
          </cell>
          <cell r="E117">
            <v>449.95</v>
          </cell>
        </row>
        <row r="118">
          <cell r="C118">
            <v>1310031</v>
          </cell>
          <cell r="D118" t="str">
            <v xml:space="preserve">MTR </v>
          </cell>
          <cell r="E118">
            <v>24980</v>
          </cell>
        </row>
        <row r="119">
          <cell r="C119">
            <v>1310034</v>
          </cell>
          <cell r="D119" t="str">
            <v xml:space="preserve">MTR </v>
          </cell>
          <cell r="E119">
            <v>748.99</v>
          </cell>
        </row>
        <row r="120">
          <cell r="C120">
            <v>1310035</v>
          </cell>
          <cell r="D120" t="str">
            <v xml:space="preserve">MTR </v>
          </cell>
          <cell r="E120">
            <v>747.87</v>
          </cell>
        </row>
        <row r="121">
          <cell r="C121">
            <v>1310037</v>
          </cell>
          <cell r="D121" t="str">
            <v xml:space="preserve">MTR </v>
          </cell>
          <cell r="E121">
            <v>889</v>
          </cell>
        </row>
        <row r="122">
          <cell r="C122">
            <v>1310039</v>
          </cell>
          <cell r="D122" t="str">
            <v xml:space="preserve">MTR </v>
          </cell>
          <cell r="E122">
            <v>889.01</v>
          </cell>
        </row>
        <row r="123">
          <cell r="C123">
            <v>1310043</v>
          </cell>
          <cell r="D123" t="str">
            <v xml:space="preserve">MTR </v>
          </cell>
          <cell r="E123">
            <v>889</v>
          </cell>
        </row>
        <row r="124">
          <cell r="C124">
            <v>1310049</v>
          </cell>
          <cell r="D124" t="str">
            <v xml:space="preserve">MTR </v>
          </cell>
          <cell r="E124">
            <v>889</v>
          </cell>
        </row>
        <row r="125">
          <cell r="C125">
            <v>1310054</v>
          </cell>
          <cell r="D125" t="str">
            <v xml:space="preserve">MTR </v>
          </cell>
          <cell r="E125">
            <v>802.16</v>
          </cell>
        </row>
        <row r="126">
          <cell r="C126">
            <v>1310055</v>
          </cell>
          <cell r="D126" t="str">
            <v xml:space="preserve">MTR </v>
          </cell>
          <cell r="E126">
            <v>889</v>
          </cell>
        </row>
        <row r="127">
          <cell r="C127">
            <v>1310056</v>
          </cell>
          <cell r="D127" t="str">
            <v xml:space="preserve">MTR </v>
          </cell>
          <cell r="E127">
            <v>889</v>
          </cell>
        </row>
        <row r="128">
          <cell r="C128">
            <v>1310057</v>
          </cell>
          <cell r="D128" t="str">
            <v xml:space="preserve">MTR </v>
          </cell>
          <cell r="E128">
            <v>889</v>
          </cell>
        </row>
        <row r="129">
          <cell r="C129">
            <v>1310058</v>
          </cell>
          <cell r="D129" t="str">
            <v xml:space="preserve">MTR </v>
          </cell>
          <cell r="E129">
            <v>889</v>
          </cell>
        </row>
        <row r="130">
          <cell r="C130">
            <v>1310059</v>
          </cell>
          <cell r="D130" t="str">
            <v xml:space="preserve">MTR </v>
          </cell>
          <cell r="E130">
            <v>889</v>
          </cell>
        </row>
        <row r="131">
          <cell r="C131">
            <v>1310060</v>
          </cell>
          <cell r="D131" t="str">
            <v xml:space="preserve">MTR </v>
          </cell>
          <cell r="E131">
            <v>889</v>
          </cell>
        </row>
        <row r="132">
          <cell r="C132">
            <v>1310062</v>
          </cell>
          <cell r="D132" t="str">
            <v xml:space="preserve">MTR </v>
          </cell>
          <cell r="E132">
            <v>1080.06</v>
          </cell>
        </row>
        <row r="133">
          <cell r="C133">
            <v>1310063</v>
          </cell>
          <cell r="D133" t="str">
            <v xml:space="preserve">MTR </v>
          </cell>
          <cell r="E133">
            <v>573.01</v>
          </cell>
        </row>
        <row r="134">
          <cell r="C134">
            <v>1310065</v>
          </cell>
          <cell r="D134" t="str">
            <v xml:space="preserve">MTR </v>
          </cell>
          <cell r="E134">
            <v>984</v>
          </cell>
        </row>
        <row r="135">
          <cell r="C135">
            <v>1310066</v>
          </cell>
          <cell r="D135" t="str">
            <v xml:space="preserve">MTR </v>
          </cell>
          <cell r="E135">
            <v>779.75</v>
          </cell>
        </row>
        <row r="136">
          <cell r="C136">
            <v>1310067</v>
          </cell>
          <cell r="D136" t="str">
            <v xml:space="preserve">MTR </v>
          </cell>
          <cell r="E136">
            <v>22500</v>
          </cell>
        </row>
        <row r="137">
          <cell r="C137">
            <v>1310068</v>
          </cell>
          <cell r="D137" t="str">
            <v xml:space="preserve">MTR </v>
          </cell>
          <cell r="E137">
            <v>752</v>
          </cell>
        </row>
        <row r="138">
          <cell r="C138">
            <v>1320003</v>
          </cell>
          <cell r="D138" t="str">
            <v xml:space="preserve">MTR </v>
          </cell>
          <cell r="E138">
            <v>602.55999999999995</v>
          </cell>
        </row>
        <row r="139">
          <cell r="C139">
            <v>1320004</v>
          </cell>
          <cell r="D139" t="str">
            <v xml:space="preserve">MTR </v>
          </cell>
          <cell r="E139">
            <v>1388.8</v>
          </cell>
        </row>
        <row r="140">
          <cell r="C140">
            <v>1320005</v>
          </cell>
          <cell r="D140" t="str">
            <v xml:space="preserve">UND </v>
          </cell>
          <cell r="E140">
            <v>740.21</v>
          </cell>
        </row>
        <row r="141">
          <cell r="C141">
            <v>1320006</v>
          </cell>
          <cell r="D141" t="str">
            <v xml:space="preserve">UND </v>
          </cell>
          <cell r="E141">
            <v>963.65</v>
          </cell>
        </row>
        <row r="142">
          <cell r="C142">
            <v>1320007</v>
          </cell>
          <cell r="D142" t="str">
            <v xml:space="preserve">UND </v>
          </cell>
          <cell r="E142">
            <v>1311.31</v>
          </cell>
        </row>
        <row r="143">
          <cell r="C143">
            <v>1320010</v>
          </cell>
          <cell r="D143" t="str">
            <v xml:space="preserve">UND </v>
          </cell>
          <cell r="E143">
            <v>665.02</v>
          </cell>
        </row>
        <row r="144">
          <cell r="C144">
            <v>1320011</v>
          </cell>
          <cell r="D144" t="str">
            <v xml:space="preserve">UND </v>
          </cell>
          <cell r="E144">
            <v>1117.69</v>
          </cell>
        </row>
        <row r="145">
          <cell r="C145">
            <v>1320012</v>
          </cell>
          <cell r="D145" t="str">
            <v xml:space="preserve">UND </v>
          </cell>
          <cell r="E145">
            <v>1906.74</v>
          </cell>
        </row>
        <row r="146">
          <cell r="C146">
            <v>1320013</v>
          </cell>
          <cell r="D146" t="str">
            <v xml:space="preserve">UND </v>
          </cell>
          <cell r="E146">
            <v>824.6</v>
          </cell>
        </row>
        <row r="147">
          <cell r="C147">
            <v>1330001</v>
          </cell>
          <cell r="D147" t="str">
            <v xml:space="preserve">UND </v>
          </cell>
          <cell r="E147">
            <v>144</v>
          </cell>
        </row>
        <row r="148">
          <cell r="C148">
            <v>1330002</v>
          </cell>
          <cell r="D148" t="str">
            <v xml:space="preserve">UND </v>
          </cell>
          <cell r="E148">
            <v>75</v>
          </cell>
        </row>
        <row r="149">
          <cell r="C149">
            <v>1330004</v>
          </cell>
          <cell r="D149" t="str">
            <v xml:space="preserve">UND </v>
          </cell>
          <cell r="E149">
            <v>141.28</v>
          </cell>
        </row>
        <row r="150">
          <cell r="C150">
            <v>1330006</v>
          </cell>
          <cell r="D150" t="str">
            <v xml:space="preserve">UND </v>
          </cell>
          <cell r="E150">
            <v>103</v>
          </cell>
        </row>
        <row r="151">
          <cell r="C151">
            <v>1330007</v>
          </cell>
          <cell r="D151" t="str">
            <v xml:space="preserve">UND </v>
          </cell>
          <cell r="E151">
            <v>152.37</v>
          </cell>
        </row>
        <row r="152">
          <cell r="C152">
            <v>1330009</v>
          </cell>
          <cell r="D152" t="str">
            <v xml:space="preserve">UND </v>
          </cell>
          <cell r="E152">
            <v>233.37</v>
          </cell>
        </row>
        <row r="153">
          <cell r="C153">
            <v>1330010</v>
          </cell>
          <cell r="D153" t="str">
            <v xml:space="preserve">UND </v>
          </cell>
          <cell r="E153">
            <v>114</v>
          </cell>
        </row>
        <row r="154">
          <cell r="C154">
            <v>1330011</v>
          </cell>
          <cell r="D154" t="str">
            <v xml:space="preserve">UND </v>
          </cell>
          <cell r="E154">
            <v>120</v>
          </cell>
        </row>
        <row r="155">
          <cell r="C155">
            <v>1330012</v>
          </cell>
          <cell r="D155" t="str">
            <v xml:space="preserve">UND </v>
          </cell>
          <cell r="E155">
            <v>119.99</v>
          </cell>
        </row>
        <row r="156">
          <cell r="C156">
            <v>1330013</v>
          </cell>
          <cell r="D156" t="str">
            <v xml:space="preserve">UND </v>
          </cell>
          <cell r="E156">
            <v>241.99</v>
          </cell>
        </row>
        <row r="157">
          <cell r="C157">
            <v>1330015</v>
          </cell>
          <cell r="D157" t="str">
            <v xml:space="preserve">UND </v>
          </cell>
          <cell r="E157">
            <v>135</v>
          </cell>
        </row>
        <row r="158">
          <cell r="C158">
            <v>1330018</v>
          </cell>
          <cell r="D158" t="str">
            <v xml:space="preserve">UND </v>
          </cell>
          <cell r="E158">
            <v>125.37</v>
          </cell>
        </row>
        <row r="159">
          <cell r="C159">
            <v>1330021</v>
          </cell>
          <cell r="D159" t="str">
            <v xml:space="preserve">UND </v>
          </cell>
          <cell r="E159">
            <v>144.96</v>
          </cell>
        </row>
        <row r="160">
          <cell r="C160">
            <v>1330022</v>
          </cell>
          <cell r="D160" t="str">
            <v xml:space="preserve">UND </v>
          </cell>
          <cell r="E160">
            <v>41.34</v>
          </cell>
        </row>
        <row r="161">
          <cell r="C161">
            <v>1330026</v>
          </cell>
          <cell r="D161" t="str">
            <v xml:space="preserve">UND </v>
          </cell>
          <cell r="E161">
            <v>151.44</v>
          </cell>
        </row>
        <row r="162">
          <cell r="C162">
            <v>1330027</v>
          </cell>
          <cell r="D162" t="str">
            <v xml:space="preserve">UND </v>
          </cell>
          <cell r="E162">
            <v>327.69</v>
          </cell>
        </row>
        <row r="163">
          <cell r="C163">
            <v>1330028</v>
          </cell>
          <cell r="D163" t="str">
            <v xml:space="preserve">UND </v>
          </cell>
          <cell r="E163">
            <v>144.94</v>
          </cell>
        </row>
        <row r="164">
          <cell r="C164">
            <v>1330029</v>
          </cell>
          <cell r="D164" t="str">
            <v xml:space="preserve">UND </v>
          </cell>
          <cell r="E164">
            <v>230.28</v>
          </cell>
        </row>
        <row r="165">
          <cell r="C165">
            <v>1330031</v>
          </cell>
          <cell r="D165" t="str">
            <v xml:space="preserve">UND </v>
          </cell>
          <cell r="E165">
            <v>135</v>
          </cell>
        </row>
        <row r="166">
          <cell r="C166">
            <v>1330032</v>
          </cell>
          <cell r="D166" t="str">
            <v xml:space="preserve">UND </v>
          </cell>
          <cell r="E166">
            <v>166.97</v>
          </cell>
        </row>
        <row r="167">
          <cell r="C167">
            <v>1330034</v>
          </cell>
          <cell r="D167" t="str">
            <v xml:space="preserve">UND </v>
          </cell>
          <cell r="E167">
            <v>69.3</v>
          </cell>
        </row>
        <row r="168">
          <cell r="C168">
            <v>1330035</v>
          </cell>
          <cell r="D168" t="str">
            <v xml:space="preserve">UND </v>
          </cell>
          <cell r="E168">
            <v>69.3</v>
          </cell>
        </row>
        <row r="169">
          <cell r="C169">
            <v>1330036</v>
          </cell>
          <cell r="D169" t="str">
            <v xml:space="preserve">UND </v>
          </cell>
          <cell r="E169">
            <v>69.3</v>
          </cell>
        </row>
        <row r="170">
          <cell r="C170">
            <v>1330037</v>
          </cell>
          <cell r="D170" t="str">
            <v xml:space="preserve">UND </v>
          </cell>
          <cell r="E170">
            <v>69.3</v>
          </cell>
        </row>
        <row r="171">
          <cell r="C171">
            <v>1330038</v>
          </cell>
          <cell r="D171" t="str">
            <v xml:space="preserve">UND </v>
          </cell>
          <cell r="E171">
            <v>69.3</v>
          </cell>
        </row>
        <row r="172">
          <cell r="C172">
            <v>1330039</v>
          </cell>
          <cell r="D172" t="str">
            <v xml:space="preserve">UND </v>
          </cell>
          <cell r="E172">
            <v>0</v>
          </cell>
        </row>
        <row r="173">
          <cell r="C173">
            <v>1330040</v>
          </cell>
          <cell r="D173" t="str">
            <v xml:space="preserve">UND </v>
          </cell>
          <cell r="E173">
            <v>123.19</v>
          </cell>
        </row>
        <row r="174">
          <cell r="C174">
            <v>1330041</v>
          </cell>
          <cell r="D174" t="str">
            <v xml:space="preserve">UND </v>
          </cell>
          <cell r="E174">
            <v>0</v>
          </cell>
        </row>
        <row r="175">
          <cell r="C175">
            <v>1330042</v>
          </cell>
          <cell r="D175" t="str">
            <v xml:space="preserve">UND </v>
          </cell>
          <cell r="E175">
            <v>144.21</v>
          </cell>
        </row>
        <row r="176">
          <cell r="C176">
            <v>1330043</v>
          </cell>
          <cell r="D176" t="str">
            <v xml:space="preserve">UND </v>
          </cell>
          <cell r="E176">
            <v>85.11</v>
          </cell>
        </row>
        <row r="177">
          <cell r="C177">
            <v>1330044</v>
          </cell>
          <cell r="D177" t="str">
            <v xml:space="preserve">UND </v>
          </cell>
          <cell r="E177">
            <v>144.18</v>
          </cell>
        </row>
        <row r="178">
          <cell r="C178">
            <v>1330045</v>
          </cell>
          <cell r="D178" t="str">
            <v xml:space="preserve">UND </v>
          </cell>
          <cell r="E178">
            <v>106.77</v>
          </cell>
        </row>
        <row r="179">
          <cell r="C179">
            <v>1330046</v>
          </cell>
          <cell r="D179" t="str">
            <v xml:space="preserve">UND </v>
          </cell>
          <cell r="E179">
            <v>77</v>
          </cell>
        </row>
        <row r="180">
          <cell r="C180">
            <v>1330047</v>
          </cell>
          <cell r="D180" t="str">
            <v xml:space="preserve">UND </v>
          </cell>
          <cell r="E180">
            <v>82.23</v>
          </cell>
        </row>
        <row r="181">
          <cell r="C181">
            <v>1330048</v>
          </cell>
          <cell r="D181" t="str">
            <v xml:space="preserve">UND </v>
          </cell>
          <cell r="E181">
            <v>112</v>
          </cell>
        </row>
        <row r="182">
          <cell r="C182">
            <v>1330049</v>
          </cell>
          <cell r="D182" t="str">
            <v xml:space="preserve">UND </v>
          </cell>
          <cell r="E182">
            <v>88.11</v>
          </cell>
        </row>
        <row r="183">
          <cell r="C183">
            <v>1330050</v>
          </cell>
          <cell r="D183" t="str">
            <v xml:space="preserve">UND </v>
          </cell>
          <cell r="E183">
            <v>77</v>
          </cell>
        </row>
        <row r="184">
          <cell r="C184">
            <v>1330051</v>
          </cell>
          <cell r="D184" t="str">
            <v xml:space="preserve">UND </v>
          </cell>
          <cell r="E184">
            <v>119.7</v>
          </cell>
        </row>
        <row r="185">
          <cell r="C185">
            <v>1330052</v>
          </cell>
          <cell r="D185" t="str">
            <v xml:space="preserve">UND </v>
          </cell>
          <cell r="E185">
            <v>87.62</v>
          </cell>
        </row>
        <row r="186">
          <cell r="C186">
            <v>1330053</v>
          </cell>
          <cell r="D186" t="str">
            <v xml:space="preserve">UND </v>
          </cell>
          <cell r="E186">
            <v>87.88</v>
          </cell>
        </row>
        <row r="187">
          <cell r="C187">
            <v>1330054</v>
          </cell>
          <cell r="D187" t="str">
            <v xml:space="preserve">UND </v>
          </cell>
          <cell r="E187">
            <v>86.88</v>
          </cell>
        </row>
        <row r="188">
          <cell r="C188">
            <v>1330055</v>
          </cell>
          <cell r="D188" t="str">
            <v xml:space="preserve">UND </v>
          </cell>
          <cell r="E188">
            <v>82.02</v>
          </cell>
        </row>
        <row r="189">
          <cell r="C189">
            <v>1330056</v>
          </cell>
          <cell r="D189" t="str">
            <v xml:space="preserve">UND </v>
          </cell>
          <cell r="E189">
            <v>87.3</v>
          </cell>
        </row>
        <row r="190">
          <cell r="C190">
            <v>1330057</v>
          </cell>
          <cell r="D190" t="str">
            <v xml:space="preserve">UND </v>
          </cell>
          <cell r="E190">
            <v>82.69</v>
          </cell>
        </row>
        <row r="191">
          <cell r="C191">
            <v>1330058</v>
          </cell>
          <cell r="D191" t="str">
            <v xml:space="preserve">UND </v>
          </cell>
          <cell r="E191">
            <v>82.49</v>
          </cell>
        </row>
        <row r="192">
          <cell r="C192">
            <v>1330059</v>
          </cell>
          <cell r="D192" t="str">
            <v xml:space="preserve">UND </v>
          </cell>
          <cell r="E192">
            <v>87.63</v>
          </cell>
        </row>
        <row r="193">
          <cell r="C193">
            <v>1330060</v>
          </cell>
          <cell r="D193" t="str">
            <v xml:space="preserve">UND </v>
          </cell>
          <cell r="E193">
            <v>82.09</v>
          </cell>
        </row>
        <row r="194">
          <cell r="C194">
            <v>1330061</v>
          </cell>
          <cell r="D194" t="str">
            <v xml:space="preserve">UND </v>
          </cell>
          <cell r="E194">
            <v>67</v>
          </cell>
        </row>
        <row r="195">
          <cell r="C195">
            <v>1330062</v>
          </cell>
          <cell r="D195" t="str">
            <v xml:space="preserve">UND </v>
          </cell>
          <cell r="E195">
            <v>245</v>
          </cell>
        </row>
        <row r="196">
          <cell r="C196">
            <v>1330065</v>
          </cell>
          <cell r="D196" t="str">
            <v xml:space="preserve">UND </v>
          </cell>
          <cell r="E196">
            <v>144.44999999999999</v>
          </cell>
        </row>
        <row r="197">
          <cell r="C197">
            <v>1330066</v>
          </cell>
          <cell r="D197" t="str">
            <v xml:space="preserve">UND </v>
          </cell>
          <cell r="E197">
            <v>81.98</v>
          </cell>
        </row>
        <row r="198">
          <cell r="C198">
            <v>1330068</v>
          </cell>
          <cell r="D198" t="str">
            <v xml:space="preserve">UND </v>
          </cell>
          <cell r="E198">
            <v>77</v>
          </cell>
        </row>
        <row r="199">
          <cell r="C199">
            <v>1330074</v>
          </cell>
          <cell r="D199" t="str">
            <v xml:space="preserve">UND </v>
          </cell>
          <cell r="E199">
            <v>87.82</v>
          </cell>
        </row>
        <row r="200">
          <cell r="C200">
            <v>1330075</v>
          </cell>
          <cell r="D200" t="str">
            <v xml:space="preserve">UND </v>
          </cell>
          <cell r="E200">
            <v>88.12</v>
          </cell>
        </row>
        <row r="201">
          <cell r="C201">
            <v>1330076</v>
          </cell>
          <cell r="D201" t="str">
            <v xml:space="preserve">UND </v>
          </cell>
          <cell r="E201">
            <v>77</v>
          </cell>
        </row>
        <row r="202">
          <cell r="C202">
            <v>1330077</v>
          </cell>
          <cell r="D202" t="str">
            <v xml:space="preserve">UND </v>
          </cell>
          <cell r="E202">
            <v>77</v>
          </cell>
        </row>
        <row r="203">
          <cell r="C203">
            <v>1330078</v>
          </cell>
          <cell r="D203" t="str">
            <v xml:space="preserve">UND </v>
          </cell>
          <cell r="E203">
            <v>155.30000000000001</v>
          </cell>
        </row>
        <row r="204">
          <cell r="C204">
            <v>1330080</v>
          </cell>
          <cell r="D204" t="str">
            <v xml:space="preserve">UND </v>
          </cell>
          <cell r="E204">
            <v>144.06</v>
          </cell>
        </row>
        <row r="205">
          <cell r="C205">
            <v>1330081</v>
          </cell>
          <cell r="D205" t="str">
            <v xml:space="preserve">UND </v>
          </cell>
          <cell r="E205">
            <v>136.03</v>
          </cell>
        </row>
        <row r="206">
          <cell r="C206">
            <v>1330082</v>
          </cell>
          <cell r="D206" t="str">
            <v xml:space="preserve">UND </v>
          </cell>
          <cell r="E206">
            <v>135</v>
          </cell>
        </row>
        <row r="207">
          <cell r="C207">
            <v>1330083</v>
          </cell>
          <cell r="D207" t="str">
            <v xml:space="preserve">UND </v>
          </cell>
          <cell r="E207">
            <v>76.900000000000006</v>
          </cell>
        </row>
        <row r="208">
          <cell r="C208">
            <v>1330084</v>
          </cell>
          <cell r="D208" t="str">
            <v xml:space="preserve">UND </v>
          </cell>
          <cell r="E208">
            <v>249.5</v>
          </cell>
        </row>
        <row r="209">
          <cell r="C209">
            <v>1330085</v>
          </cell>
          <cell r="D209" t="str">
            <v xml:space="preserve">UND </v>
          </cell>
          <cell r="E209">
            <v>128.9</v>
          </cell>
        </row>
        <row r="210">
          <cell r="C210">
            <v>1330087</v>
          </cell>
          <cell r="D210" t="str">
            <v xml:space="preserve">UND </v>
          </cell>
          <cell r="E210">
            <v>144.44999999999999</v>
          </cell>
        </row>
        <row r="211">
          <cell r="C211">
            <v>1330088</v>
          </cell>
          <cell r="D211" t="str">
            <v xml:space="preserve">UND </v>
          </cell>
          <cell r="E211">
            <v>267</v>
          </cell>
        </row>
        <row r="212">
          <cell r="C212">
            <v>1330089</v>
          </cell>
          <cell r="D212" t="str">
            <v xml:space="preserve">UND </v>
          </cell>
          <cell r="E212">
            <v>94.88</v>
          </cell>
        </row>
        <row r="213">
          <cell r="C213">
            <v>1330090</v>
          </cell>
          <cell r="D213" t="str">
            <v xml:space="preserve">UND </v>
          </cell>
          <cell r="E213">
            <v>144.44999999999999</v>
          </cell>
        </row>
        <row r="214">
          <cell r="C214">
            <v>1330091</v>
          </cell>
          <cell r="D214" t="str">
            <v xml:space="preserve">UND </v>
          </cell>
          <cell r="E214">
            <v>267</v>
          </cell>
        </row>
        <row r="215">
          <cell r="C215">
            <v>1330092</v>
          </cell>
          <cell r="D215" t="str">
            <v xml:space="preserve">UND </v>
          </cell>
          <cell r="E215">
            <v>102</v>
          </cell>
        </row>
        <row r="216">
          <cell r="C216">
            <v>1340001</v>
          </cell>
          <cell r="D216" t="str">
            <v xml:space="preserve">UND </v>
          </cell>
          <cell r="E216">
            <v>62</v>
          </cell>
        </row>
        <row r="217">
          <cell r="C217">
            <v>1340002</v>
          </cell>
          <cell r="D217" t="str">
            <v xml:space="preserve">UND </v>
          </cell>
          <cell r="E217">
            <v>638.89</v>
          </cell>
        </row>
        <row r="218">
          <cell r="C218">
            <v>1340003</v>
          </cell>
          <cell r="D218" t="str">
            <v xml:space="preserve">UND </v>
          </cell>
          <cell r="E218">
            <v>578.65</v>
          </cell>
        </row>
        <row r="219">
          <cell r="C219">
            <v>1340005</v>
          </cell>
          <cell r="D219" t="str">
            <v xml:space="preserve">UND </v>
          </cell>
          <cell r="E219">
            <v>481.76</v>
          </cell>
        </row>
        <row r="220">
          <cell r="C220">
            <v>1340006</v>
          </cell>
          <cell r="D220" t="str">
            <v xml:space="preserve">UND </v>
          </cell>
          <cell r="E220">
            <v>648.51</v>
          </cell>
        </row>
        <row r="221">
          <cell r="C221">
            <v>1340008</v>
          </cell>
          <cell r="D221" t="str">
            <v xml:space="preserve">UND </v>
          </cell>
          <cell r="E221">
            <v>333.08</v>
          </cell>
        </row>
        <row r="222">
          <cell r="C222">
            <v>1340009</v>
          </cell>
          <cell r="D222" t="str">
            <v xml:space="preserve">UND </v>
          </cell>
          <cell r="E222">
            <v>373.69</v>
          </cell>
        </row>
        <row r="223">
          <cell r="C223">
            <v>1340010</v>
          </cell>
          <cell r="D223" t="str">
            <v xml:space="preserve">UND </v>
          </cell>
          <cell r="E223">
            <v>306.42</v>
          </cell>
        </row>
        <row r="224">
          <cell r="C224">
            <v>1340012</v>
          </cell>
          <cell r="D224" t="str">
            <v xml:space="preserve">UND </v>
          </cell>
          <cell r="E224">
            <v>247</v>
          </cell>
        </row>
        <row r="225">
          <cell r="C225">
            <v>1340015</v>
          </cell>
          <cell r="D225" t="str">
            <v xml:space="preserve">UND </v>
          </cell>
          <cell r="E225">
            <v>476</v>
          </cell>
        </row>
        <row r="226">
          <cell r="C226">
            <v>1340016</v>
          </cell>
          <cell r="D226" t="str">
            <v xml:space="preserve">UND </v>
          </cell>
          <cell r="E226">
            <v>550</v>
          </cell>
        </row>
        <row r="227">
          <cell r="C227">
            <v>1350001</v>
          </cell>
          <cell r="D227" t="str">
            <v xml:space="preserve">UND </v>
          </cell>
          <cell r="E227">
            <v>2288.9899999999998</v>
          </cell>
        </row>
        <row r="228">
          <cell r="C228">
            <v>1350003</v>
          </cell>
          <cell r="D228" t="str">
            <v xml:space="preserve">UND </v>
          </cell>
          <cell r="E228">
            <v>2516.98</v>
          </cell>
        </row>
        <row r="229">
          <cell r="C229">
            <v>1350004</v>
          </cell>
          <cell r="D229" t="str">
            <v xml:space="preserve">UND </v>
          </cell>
          <cell r="E229">
            <v>2517</v>
          </cell>
        </row>
        <row r="230">
          <cell r="C230">
            <v>1350005</v>
          </cell>
          <cell r="D230" t="str">
            <v xml:space="preserve">UND </v>
          </cell>
          <cell r="E230">
            <v>2752</v>
          </cell>
        </row>
        <row r="231">
          <cell r="C231">
            <v>1350009</v>
          </cell>
          <cell r="D231" t="str">
            <v xml:space="preserve">UND </v>
          </cell>
          <cell r="E231">
            <v>1320.6</v>
          </cell>
        </row>
        <row r="232">
          <cell r="C232">
            <v>1350011</v>
          </cell>
          <cell r="D232" t="str">
            <v xml:space="preserve">MTR </v>
          </cell>
          <cell r="E232">
            <v>1413.96</v>
          </cell>
        </row>
        <row r="233">
          <cell r="C233">
            <v>1350012</v>
          </cell>
          <cell r="D233" t="str">
            <v xml:space="preserve">MTR </v>
          </cell>
          <cell r="E233">
            <v>1380</v>
          </cell>
        </row>
        <row r="234">
          <cell r="C234">
            <v>1350013</v>
          </cell>
          <cell r="D234" t="str">
            <v xml:space="preserve">MTR </v>
          </cell>
          <cell r="E234">
            <v>1100.68</v>
          </cell>
        </row>
        <row r="235">
          <cell r="C235">
            <v>1350014</v>
          </cell>
          <cell r="D235" t="str">
            <v xml:space="preserve">MTR </v>
          </cell>
          <cell r="E235">
            <v>1651.88</v>
          </cell>
        </row>
        <row r="236">
          <cell r="C236">
            <v>1350016</v>
          </cell>
          <cell r="D236" t="str">
            <v xml:space="preserve">MTR </v>
          </cell>
          <cell r="E236">
            <v>1644.25</v>
          </cell>
        </row>
        <row r="237">
          <cell r="C237">
            <v>1350017</v>
          </cell>
          <cell r="D237" t="str">
            <v xml:space="preserve">MTR </v>
          </cell>
          <cell r="E237">
            <v>1576.55</v>
          </cell>
        </row>
        <row r="238">
          <cell r="C238">
            <v>1350018</v>
          </cell>
          <cell r="D238" t="str">
            <v xml:space="preserve">MTR </v>
          </cell>
          <cell r="E238">
            <v>3281</v>
          </cell>
        </row>
        <row r="239">
          <cell r="C239">
            <v>1360001</v>
          </cell>
          <cell r="D239" t="str">
            <v xml:space="preserve">MTR </v>
          </cell>
          <cell r="E239">
            <v>22</v>
          </cell>
        </row>
        <row r="240">
          <cell r="C240">
            <v>1360003</v>
          </cell>
          <cell r="D240" t="str">
            <v xml:space="preserve">MTR </v>
          </cell>
          <cell r="E240">
            <v>24.5</v>
          </cell>
        </row>
        <row r="241">
          <cell r="C241">
            <v>1370001</v>
          </cell>
          <cell r="D241" t="str">
            <v xml:space="preserve">MTR </v>
          </cell>
          <cell r="E241">
            <v>3828.65</v>
          </cell>
        </row>
        <row r="242">
          <cell r="C242">
            <v>1370002</v>
          </cell>
          <cell r="D242" t="str">
            <v xml:space="preserve">MTR </v>
          </cell>
          <cell r="E242">
            <v>5124.4799999999996</v>
          </cell>
        </row>
        <row r="243">
          <cell r="C243">
            <v>1370003</v>
          </cell>
          <cell r="D243" t="str">
            <v xml:space="preserve">MTR </v>
          </cell>
          <cell r="E243">
            <v>698</v>
          </cell>
        </row>
        <row r="244">
          <cell r="C244">
            <v>1370004</v>
          </cell>
          <cell r="D244" t="str">
            <v xml:space="preserve">MTR </v>
          </cell>
          <cell r="E244">
            <v>168.22</v>
          </cell>
        </row>
        <row r="245">
          <cell r="C245">
            <v>1370007</v>
          </cell>
          <cell r="D245" t="str">
            <v xml:space="preserve">MTR </v>
          </cell>
          <cell r="E245">
            <v>179.75</v>
          </cell>
        </row>
        <row r="246">
          <cell r="C246">
            <v>1370008</v>
          </cell>
          <cell r="D246" t="str">
            <v xml:space="preserve">MTR </v>
          </cell>
          <cell r="E246">
            <v>412.23</v>
          </cell>
        </row>
        <row r="247">
          <cell r="C247">
            <v>1370009</v>
          </cell>
          <cell r="D247" t="str">
            <v xml:space="preserve">MTR </v>
          </cell>
          <cell r="E247">
            <v>434.23</v>
          </cell>
        </row>
        <row r="248">
          <cell r="C248">
            <v>1370011</v>
          </cell>
          <cell r="D248" t="str">
            <v xml:space="preserve">MTR </v>
          </cell>
          <cell r="E248">
            <v>148.06</v>
          </cell>
        </row>
        <row r="249">
          <cell r="C249">
            <v>1370012</v>
          </cell>
          <cell r="D249" t="str">
            <v xml:space="preserve">MTR </v>
          </cell>
          <cell r="E249">
            <v>491.91</v>
          </cell>
        </row>
        <row r="250">
          <cell r="C250">
            <v>1370013</v>
          </cell>
          <cell r="D250" t="str">
            <v xml:space="preserve">MTR </v>
          </cell>
          <cell r="E250">
            <v>420.09</v>
          </cell>
        </row>
        <row r="251">
          <cell r="C251">
            <v>1370014</v>
          </cell>
          <cell r="D251" t="str">
            <v xml:space="preserve">MTR </v>
          </cell>
          <cell r="E251">
            <v>541.17999999999995</v>
          </cell>
        </row>
        <row r="252">
          <cell r="C252">
            <v>1370015</v>
          </cell>
          <cell r="D252" t="str">
            <v xml:space="preserve">MTR </v>
          </cell>
          <cell r="E252">
            <v>549.35</v>
          </cell>
        </row>
        <row r="253">
          <cell r="C253">
            <v>1370016</v>
          </cell>
          <cell r="D253" t="str">
            <v xml:space="preserve">MTR </v>
          </cell>
          <cell r="E253">
            <v>612.77</v>
          </cell>
        </row>
        <row r="254">
          <cell r="C254">
            <v>1370017</v>
          </cell>
          <cell r="D254" t="str">
            <v xml:space="preserve">MTR </v>
          </cell>
          <cell r="E254">
            <v>435.25</v>
          </cell>
        </row>
        <row r="255">
          <cell r="C255">
            <v>1370018</v>
          </cell>
          <cell r="D255" t="str">
            <v xml:space="preserve">MTR </v>
          </cell>
          <cell r="E255">
            <v>457.41</v>
          </cell>
        </row>
        <row r="256">
          <cell r="C256">
            <v>1370019</v>
          </cell>
          <cell r="D256" t="str">
            <v xml:space="preserve">MTR </v>
          </cell>
          <cell r="E256">
            <v>474.67</v>
          </cell>
        </row>
        <row r="257">
          <cell r="C257">
            <v>1370020</v>
          </cell>
          <cell r="D257" t="str">
            <v xml:space="preserve">MTR </v>
          </cell>
          <cell r="E257">
            <v>546.12</v>
          </cell>
        </row>
        <row r="258">
          <cell r="C258">
            <v>1370021</v>
          </cell>
          <cell r="D258" t="str">
            <v xml:space="preserve">MTR </v>
          </cell>
          <cell r="E258">
            <v>528.77</v>
          </cell>
        </row>
        <row r="259">
          <cell r="C259">
            <v>1370025</v>
          </cell>
          <cell r="D259" t="str">
            <v xml:space="preserve">MTR </v>
          </cell>
          <cell r="E259">
            <v>539.99</v>
          </cell>
        </row>
        <row r="260">
          <cell r="C260">
            <v>1370026</v>
          </cell>
          <cell r="D260" t="str">
            <v xml:space="preserve">MTR </v>
          </cell>
          <cell r="E260">
            <v>10084.84</v>
          </cell>
        </row>
        <row r="261">
          <cell r="C261">
            <v>1370027</v>
          </cell>
          <cell r="D261" t="str">
            <v xml:space="preserve">MTR </v>
          </cell>
          <cell r="E261">
            <v>3530.34</v>
          </cell>
        </row>
        <row r="262">
          <cell r="C262">
            <v>1370028</v>
          </cell>
          <cell r="D262" t="str">
            <v xml:space="preserve">MTR </v>
          </cell>
          <cell r="E262">
            <v>183.54</v>
          </cell>
        </row>
        <row r="263">
          <cell r="C263">
            <v>1370029</v>
          </cell>
          <cell r="D263" t="str">
            <v xml:space="preserve">MTR </v>
          </cell>
          <cell r="E263">
            <v>579.42999999999995</v>
          </cell>
        </row>
        <row r="264">
          <cell r="C264">
            <v>1370030</v>
          </cell>
          <cell r="D264" t="str">
            <v xml:space="preserve">MTR </v>
          </cell>
          <cell r="E264">
            <v>220</v>
          </cell>
        </row>
        <row r="265">
          <cell r="C265">
            <v>1370031</v>
          </cell>
          <cell r="D265" t="str">
            <v xml:space="preserve">MTR </v>
          </cell>
          <cell r="E265">
            <v>151</v>
          </cell>
        </row>
        <row r="266">
          <cell r="C266">
            <v>1370032</v>
          </cell>
          <cell r="D266" t="str">
            <v xml:space="preserve">MTR </v>
          </cell>
          <cell r="E266">
            <v>167.8</v>
          </cell>
        </row>
        <row r="267">
          <cell r="C267">
            <v>1370035</v>
          </cell>
          <cell r="D267" t="str">
            <v xml:space="preserve">MTR </v>
          </cell>
          <cell r="E267">
            <v>170.07</v>
          </cell>
        </row>
        <row r="268">
          <cell r="C268">
            <v>1370036</v>
          </cell>
          <cell r="D268" t="str">
            <v xml:space="preserve">UND </v>
          </cell>
          <cell r="E268">
            <v>181.56</v>
          </cell>
        </row>
        <row r="269">
          <cell r="C269">
            <v>1370039</v>
          </cell>
          <cell r="D269" t="str">
            <v xml:space="preserve">UND </v>
          </cell>
          <cell r="E269">
            <v>387.41</v>
          </cell>
        </row>
        <row r="270">
          <cell r="C270">
            <v>1370040</v>
          </cell>
          <cell r="D270" t="str">
            <v xml:space="preserve">UND </v>
          </cell>
          <cell r="E270">
            <v>0</v>
          </cell>
        </row>
        <row r="271">
          <cell r="C271">
            <v>1370041</v>
          </cell>
          <cell r="D271" t="str">
            <v xml:space="preserve">UND </v>
          </cell>
          <cell r="E271">
            <v>489.58</v>
          </cell>
        </row>
        <row r="272">
          <cell r="C272">
            <v>1370047</v>
          </cell>
          <cell r="D272" t="str">
            <v xml:space="preserve">KG  </v>
          </cell>
          <cell r="E272">
            <v>5457.83</v>
          </cell>
        </row>
        <row r="273">
          <cell r="C273">
            <v>1370048</v>
          </cell>
          <cell r="D273" t="str">
            <v xml:space="preserve">KG  </v>
          </cell>
          <cell r="E273">
            <v>1842.9</v>
          </cell>
        </row>
        <row r="274">
          <cell r="C274">
            <v>1370049</v>
          </cell>
          <cell r="D274" t="str">
            <v xml:space="preserve">KG  </v>
          </cell>
          <cell r="E274">
            <v>0</v>
          </cell>
        </row>
        <row r="275">
          <cell r="C275">
            <v>1370051</v>
          </cell>
          <cell r="D275" t="str">
            <v xml:space="preserve">KG  </v>
          </cell>
          <cell r="E275">
            <v>1127.29</v>
          </cell>
        </row>
        <row r="276">
          <cell r="C276">
            <v>1380002</v>
          </cell>
          <cell r="D276" t="str">
            <v xml:space="preserve">KG  </v>
          </cell>
          <cell r="E276">
            <v>73.09</v>
          </cell>
        </row>
        <row r="277">
          <cell r="C277">
            <v>1380003</v>
          </cell>
          <cell r="D277" t="str">
            <v xml:space="preserve">KG  </v>
          </cell>
          <cell r="E277">
            <v>57.19</v>
          </cell>
        </row>
        <row r="278">
          <cell r="C278">
            <v>1380004</v>
          </cell>
          <cell r="E278">
            <v>22.59</v>
          </cell>
        </row>
        <row r="279">
          <cell r="C279">
            <v>1380005</v>
          </cell>
          <cell r="E279">
            <v>30.23</v>
          </cell>
        </row>
        <row r="280">
          <cell r="C280">
            <v>2902007</v>
          </cell>
          <cell r="E280">
            <v>10354.68</v>
          </cell>
        </row>
        <row r="281">
          <cell r="C281">
            <v>1370049</v>
          </cell>
          <cell r="E281">
            <v>0</v>
          </cell>
        </row>
        <row r="282">
          <cell r="C282">
            <v>2902008</v>
          </cell>
          <cell r="E282">
            <v>15106.34</v>
          </cell>
        </row>
        <row r="283">
          <cell r="C283">
            <v>2903001</v>
          </cell>
          <cell r="E283">
            <v>15247.06</v>
          </cell>
        </row>
        <row r="284">
          <cell r="C284">
            <v>2903002</v>
          </cell>
          <cell r="E284">
            <v>15621.43</v>
          </cell>
        </row>
        <row r="285">
          <cell r="C285">
            <v>2903003</v>
          </cell>
          <cell r="E285">
            <v>14070.81</v>
          </cell>
        </row>
        <row r="286">
          <cell r="C286">
            <v>2903004</v>
          </cell>
          <cell r="E286">
            <v>15399.3</v>
          </cell>
        </row>
        <row r="287">
          <cell r="C287">
            <v>1230025</v>
          </cell>
          <cell r="E287">
            <v>95714.67</v>
          </cell>
        </row>
        <row r="288">
          <cell r="C288">
            <v>1230026</v>
          </cell>
          <cell r="E288">
            <v>123823.19</v>
          </cell>
        </row>
        <row r="289">
          <cell r="C289">
            <v>1270010</v>
          </cell>
          <cell r="E289">
            <v>79763.009999999995</v>
          </cell>
        </row>
        <row r="290">
          <cell r="C290">
            <v>2903005</v>
          </cell>
          <cell r="E290">
            <v>16000</v>
          </cell>
        </row>
        <row r="291">
          <cell r="C291">
            <v>2903006</v>
          </cell>
          <cell r="E291">
            <v>11840.43</v>
          </cell>
        </row>
        <row r="292">
          <cell r="C292">
            <v>2903007</v>
          </cell>
          <cell r="E292">
            <v>10370.99</v>
          </cell>
        </row>
        <row r="293">
          <cell r="C293">
            <v>2903008</v>
          </cell>
          <cell r="E293">
            <v>11928.53</v>
          </cell>
        </row>
        <row r="294">
          <cell r="C294">
            <v>2904002</v>
          </cell>
          <cell r="E294">
            <v>1983.13</v>
          </cell>
        </row>
        <row r="295">
          <cell r="C295">
            <v>2906001</v>
          </cell>
          <cell r="E295">
            <v>1983.13</v>
          </cell>
        </row>
        <row r="296">
          <cell r="C296">
            <v>1370051</v>
          </cell>
          <cell r="E296">
            <v>0</v>
          </cell>
        </row>
        <row r="297">
          <cell r="C297">
            <v>1320013</v>
          </cell>
          <cell r="E297">
            <v>0</v>
          </cell>
        </row>
        <row r="298">
          <cell r="C298">
            <v>1310068</v>
          </cell>
          <cell r="E298">
            <v>916</v>
          </cell>
        </row>
        <row r="299">
          <cell r="C299">
            <v>1350018</v>
          </cell>
          <cell r="E299">
            <v>3281</v>
          </cell>
        </row>
        <row r="300">
          <cell r="C300">
            <v>2906002</v>
          </cell>
          <cell r="E300">
            <v>8851.15</v>
          </cell>
        </row>
        <row r="301">
          <cell r="C301">
            <v>2907001</v>
          </cell>
          <cell r="E301">
            <v>66784.02</v>
          </cell>
        </row>
        <row r="302">
          <cell r="C302">
            <v>2913002</v>
          </cell>
          <cell r="E302">
            <v>13347.78</v>
          </cell>
        </row>
        <row r="303">
          <cell r="C303">
            <v>2913003</v>
          </cell>
          <cell r="E303">
            <v>18983.7</v>
          </cell>
        </row>
        <row r="304">
          <cell r="C304">
            <v>2913004</v>
          </cell>
          <cell r="E304">
            <v>6403.66</v>
          </cell>
        </row>
        <row r="305">
          <cell r="C305">
            <v>2913005</v>
          </cell>
          <cell r="E305">
            <v>3201.83</v>
          </cell>
        </row>
        <row r="306">
          <cell r="C306">
            <v>2913006</v>
          </cell>
          <cell r="E306">
            <v>4553.76</v>
          </cell>
        </row>
        <row r="307">
          <cell r="C307">
            <v>2916001</v>
          </cell>
          <cell r="E307">
            <v>6411650.6699999999</v>
          </cell>
        </row>
        <row r="308">
          <cell r="C308">
            <v>2916002</v>
          </cell>
          <cell r="E308">
            <v>12807.31</v>
          </cell>
        </row>
        <row r="309">
          <cell r="C309">
            <v>2916003</v>
          </cell>
          <cell r="E309">
            <v>18215.03</v>
          </cell>
        </row>
        <row r="310">
          <cell r="C310">
            <v>1330091</v>
          </cell>
          <cell r="E310">
            <v>0</v>
          </cell>
        </row>
        <row r="311">
          <cell r="C311">
            <v>1330092</v>
          </cell>
          <cell r="E311">
            <v>102</v>
          </cell>
        </row>
        <row r="312">
          <cell r="C312">
            <v>2917001</v>
          </cell>
          <cell r="E312">
            <v>1983.13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áfico2"/>
      <sheetName val="MATERIAS PRIMAS"/>
      <sheetName val="MATERIAL DE EMPAQUE"/>
      <sheetName val="Gráfico3"/>
      <sheetName val="Gráfico4"/>
      <sheetName val="Gráfico5"/>
      <sheetName val="Gráfico6"/>
      <sheetName val="Gráfico7"/>
      <sheetName val="MP OCT"/>
      <sheetName val="ME OCT"/>
      <sheetName val="EXPLOSION ME DIC 2022"/>
      <sheetName val="D1"/>
      <sheetName val="FAZAN"/>
      <sheetName val="MB FEB"/>
      <sheetName val="CERVECERO 500"/>
      <sheetName val="CERVECERO 750"/>
      <sheetName val="CERVECERO 1300"/>
      <sheetName val="CERVECERO 1500"/>
      <sheetName val="SCHON CERV PREM X 50 G"/>
      <sheetName val="OFTA CERV PREM X 6 UND"/>
      <sheetName val="SCHA JUMBO X 1200 G"/>
      <sheetName val="SCHA JUMBO X 450G exito"/>
      <sheetName val="SCHA JUMBO X 450G fazán"/>
      <sheetName val="MINI PERRO X 1.0"/>
      <sheetName val="SCHA PERRO X 480 G - 12 UNDS"/>
      <sheetName val="SCHA S. PERRO X 500 "/>
      <sheetName val="SUPER PERRO X 2500"/>
      <sheetName val="SUPER PERRO X 2500 RX"/>
      <sheetName val="CHRZ CON TERNERA 110 G 2 UND"/>
      <sheetName val="CHORIZO CON TERNERA 220"/>
      <sheetName val="CHORIZO CON TERNERA 440 G FZAN"/>
      <sheetName val="CHORIZO CON TERNERA 440  G  EXI"/>
      <sheetName val="CHORIZO CON TERNERA 1100"/>
      <sheetName val="CHORIZO DE CERDO 100 "/>
      <sheetName val="CHORIZO DE CERDO 250 EXITO"/>
      <sheetName val="CHORIZO DE CERDO 250 FAZÁN"/>
      <sheetName val="CHORIZO DE CERDO 400 g"/>
      <sheetName val="CHORIZO DE CERDO 1000"/>
      <sheetName val="CHORIZO SANTARROSANO x 300"/>
      <sheetName val="CHORIZO SANTARROSANO x 130 g"/>
      <sheetName val="CHORIZO SANTARROSANO x 65 g"/>
      <sheetName val="PROPUESTA CERVECERITO"/>
      <sheetName val="CHORIZO SANTARROSANO x 480 "/>
      <sheetName val="CHORIZO SANTARROSANO x 1200"/>
      <sheetName val="CHORIZO SANTA COCTEL x 300"/>
      <sheetName val="CHORIZO SANTA COCTEL x 1000"/>
      <sheetName val="CHORIZO SANTA CORTO 480 "/>
      <sheetName val="CHORIZO SANTA LARGO x 1200 "/>
      <sheetName val="SCHA INSTITU x 1200"/>
      <sheetName val="JMN PREMIUM FZAN 120 G "/>
      <sheetName val="JMN PREMIUM EXITO 200 G"/>
      <sheetName val="JMN PREMIUM FZAN 200 G"/>
      <sheetName val="JMN PREMIUM EXITO 220 G"/>
      <sheetName val="JMN PREMIUM 400 G"/>
      <sheetName val="HSA 450 G - 5 UNDS"/>
      <sheetName val="HSA 900 G - 10 UNDS"/>
      <sheetName val="HSA cja 2700 G - 30 UNDS"/>
      <sheetName val="HSA LOS PERRITOS"/>
      <sheetName val="ALTERNATIVA HSAS"/>
      <sheetName val="HSA POLLO 1425 X 15 "/>
      <sheetName val="HSA POLLO 1500 X10"/>
      <sheetName val="HSA POLLO 750 X5"/>
      <sheetName val="SCHA DESAYUNO 115 G - 5 UNDS"/>
      <sheetName val="SCHA DESAYUNO EXI x 240 x 7 "/>
      <sheetName val="SCHA DESAYUNO FZA x 240 x 7 UND"/>
      <sheetName val="SCHA DESAYUNO 480 G -14 UND"/>
      <sheetName val="PICK UP MILANESA"/>
      <sheetName val="MNESA POLLO 4 UND BRASSET V1."/>
      <sheetName val="MNESA POLLO 4 UND BRASSET V2."/>
      <sheetName val="SCHA DESAYUNO 960 G"/>
      <sheetName val="SCHA MANGUERA 560 G - 6 UND"/>
      <sheetName val="SCHA MANGUERA 1120G - 12UND"/>
      <sheetName val="MNESA APANADA 1800 G 15 UND"/>
      <sheetName val="MDELA FAIZAN  225 G 14 U CC"/>
      <sheetName val="EXPLORACIÓN LUCTA"/>
      <sheetName val="MEGA COMBO FAIZAN 675 G"/>
      <sheetName val="MDELA COLPAG X 250 UNDS"/>
      <sheetName val="MNESA APANADA 600 G 5 UNDS"/>
      <sheetName val="MNESA APANADA 240 G 2 UNDS"/>
      <sheetName val="SCHON AUTENTICO X 750 G"/>
      <sheetName val="SCHON AUTENTICO X 225 G"/>
      <sheetName val="MDELA FAIZAN  225 G 14 U SC"/>
      <sheetName val="SCHA CLÁSICA   225 G 9 UND"/>
      <sheetName val="SCHA CLÁSICA   450 G 18 UND"/>
      <sheetName val="SCHON POLLO X 225 G"/>
      <sheetName val="MORTADELA JAMON X 225 "/>
      <sheetName val="CERVECERO FZAN  225"/>
      <sheetName val="MEGA COMBO FAIZAN 900 G NUEVO"/>
      <sheetName val="MEGA COMBO FAIZAN 675G X3 "/>
      <sheetName val="JMN SDW  INST  500 G 28 U "/>
      <sheetName val="JMN SDW  450 G 28 U "/>
      <sheetName val="JMN SDW  EXITO X 450 "/>
      <sheetName val="JMN SDW  FZAN X 225 "/>
      <sheetName val="JMN SDW  EXITO X 225 "/>
      <sheetName val="SCHON TRAD VIANDÉ X 500 "/>
      <sheetName val="SCHON POLLO BRAKEL X 500"/>
      <sheetName val="SCHON POLLO BRAKEL X 225"/>
      <sheetName val="MDELA VIANDÉ X 225 G - 17 UND S"/>
      <sheetName val="SCHON CERV VIANDÉ X 225 G"/>
      <sheetName val="MDELA VIANDÉ X 225 G 14 UND "/>
      <sheetName val="PROPUESTA MDELA ITALIAN"/>
      <sheetName val="SCHA VIANDÉ   225 G 8 UNDS"/>
      <sheetName val="SCHA VIANDÉ 450 G - 16 UNDS"/>
      <sheetName val="SCHA VIANDÉ 400 G "/>
      <sheetName val="SÚPER COMBO VIANDÉ 900 G"/>
      <sheetName val="Hoja6"/>
      <sheetName val="Hoja7"/>
      <sheetName val="JMN PREM VIANDÉ 300 G - 15"/>
      <sheetName val="PROPUESTA JMN SANDUCHE"/>
      <sheetName val="MPFEB"/>
      <sheetName val="JMN PREM VIANDÉ 300 G - 15 V2."/>
      <sheetName val="PERRO CALIENTE VIANDE x 240G"/>
      <sheetName val="SUPER PERRO VIANDE X 400G"/>
      <sheetName val="SUPER PERRO VIANDE X 400G RX"/>
      <sheetName val="SALCHICHA UNINORTE"/>
      <sheetName val="SALCHICHA LONG"/>
      <sheetName val="CHORIZO TERNERA VIANDE"/>
      <sheetName val="CHORIZO SANTARRO VIANDE"/>
      <sheetName val="CHORIZO ANTIOQUEÑO VIANDE"/>
      <sheetName val="TOCINETA X 150 GRS FZAN"/>
      <sheetName val="TOCINETA X 1000 GRS FZAN"/>
      <sheetName val="TOCINETA X 150 RX"/>
      <sheetName val="TOCINETA X 1000 GRS RX"/>
      <sheetName val="SNACK  CERV PREM X 50 G "/>
      <sheetName val="OFTA SNACK  PREM X 3 UND"/>
      <sheetName val="PERNIL DE CERDO "/>
      <sheetName val="TOCINO BARR 1KG"/>
      <sheetName val="TOCINO PAPADA 1KG"/>
      <sheetName val="TOCINO BARRIGUERO 1KG"/>
      <sheetName val="CIF Y PV"/>
      <sheetName val="TD EXP ME"/>
      <sheetName val="Gráfico8"/>
      <sheetName val="PERNIL DE CERDO"/>
      <sheetName val="Hoja8"/>
      <sheetName val="JMN SDW  450 G 24 U "/>
      <sheetName val="EXPLOSIÓN ME DIC 2022"/>
      <sheetName val="SCHA AMERICANA QUESUDOS"/>
      <sheetName val="SCHA AMERICANA SAN ANDRÉS"/>
      <sheetName val="san andrés"/>
      <sheetName val="REPROCESO MORTADELA"/>
      <sheetName val="HUMO"/>
      <sheetName val="TOCINETA"/>
      <sheetName val="TOCINETA PP"/>
      <sheetName val="GRAFICO MB X REF."/>
      <sheetName val="MP ALZA"/>
      <sheetName val="MP ESTABLE"/>
      <sheetName val="MP BAJA"/>
      <sheetName val="ME ALZA"/>
      <sheetName val="ME ESTABLE"/>
      <sheetName val="Gráfico1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61">
          <cell r="H61">
            <v>0.51567188427501709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1">
          <cell r="G1" t="str">
            <v>Septiembre</v>
          </cell>
        </row>
        <row r="2">
          <cell r="F2" t="str">
            <v xml:space="preserve">DIC-COP/Kg </v>
          </cell>
          <cell r="G2" t="str">
            <v>DIC-COP/APP</v>
          </cell>
          <cell r="H2" t="str">
            <v xml:space="preserve">NOV-COP/Kg </v>
          </cell>
          <cell r="I2" t="str">
            <v>NOV-COP/APP</v>
          </cell>
        </row>
        <row r="3">
          <cell r="C3">
            <v>1700</v>
          </cell>
        </row>
        <row r="4">
          <cell r="F4" t="str">
            <v xml:space="preserve">DIC-COP/UMB </v>
          </cell>
          <cell r="G4" t="str">
            <v>DIC-COP/APP</v>
          </cell>
          <cell r="H4" t="str">
            <v xml:space="preserve">NOV-COP/UMB </v>
          </cell>
          <cell r="I4" t="str">
            <v>NOV-COP/APP</v>
          </cell>
        </row>
        <row r="66">
          <cell r="C66">
            <v>4457</v>
          </cell>
        </row>
      </sheetData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2">
          <cell r="C2">
            <v>1340005</v>
          </cell>
          <cell r="D2" t="str">
            <v xml:space="preserve">KG  </v>
          </cell>
          <cell r="E2">
            <v>460</v>
          </cell>
        </row>
        <row r="3">
          <cell r="C3">
            <v>1131002</v>
          </cell>
          <cell r="D3" t="str">
            <v xml:space="preserve">KG  </v>
          </cell>
          <cell r="E3">
            <v>0</v>
          </cell>
        </row>
        <row r="4">
          <cell r="C4">
            <v>1122008</v>
          </cell>
          <cell r="D4" t="str">
            <v xml:space="preserve">KG  </v>
          </cell>
          <cell r="E4">
            <v>12500</v>
          </cell>
        </row>
        <row r="5">
          <cell r="C5">
            <v>1112013</v>
          </cell>
          <cell r="D5" t="str">
            <v xml:space="preserve">KG  </v>
          </cell>
          <cell r="E5">
            <v>3800</v>
          </cell>
        </row>
        <row r="6">
          <cell r="C6">
            <v>1210005</v>
          </cell>
          <cell r="D6" t="str">
            <v xml:space="preserve">KG  </v>
          </cell>
          <cell r="E6">
            <v>1356</v>
          </cell>
        </row>
        <row r="7">
          <cell r="C7">
            <v>1220005</v>
          </cell>
          <cell r="D7" t="str">
            <v xml:space="preserve">KG  </v>
          </cell>
          <cell r="E7">
            <v>15769.98</v>
          </cell>
        </row>
        <row r="8">
          <cell r="C8">
            <v>1220007</v>
          </cell>
          <cell r="D8" t="str">
            <v xml:space="preserve">KG  </v>
          </cell>
          <cell r="E8">
            <v>59115.9</v>
          </cell>
        </row>
        <row r="9">
          <cell r="C9">
            <v>1220008</v>
          </cell>
          <cell r="D9" t="str">
            <v xml:space="preserve">KG  </v>
          </cell>
          <cell r="E9">
            <v>46549.7</v>
          </cell>
        </row>
        <row r="10">
          <cell r="C10">
            <v>1220009</v>
          </cell>
          <cell r="D10" t="str">
            <v xml:space="preserve">KG  </v>
          </cell>
          <cell r="E10">
            <v>20299</v>
          </cell>
        </row>
        <row r="11">
          <cell r="C11">
            <v>1220011</v>
          </cell>
          <cell r="D11" t="str">
            <v xml:space="preserve">KG  </v>
          </cell>
          <cell r="E11">
            <v>9773</v>
          </cell>
        </row>
        <row r="12">
          <cell r="C12">
            <v>1220014</v>
          </cell>
          <cell r="D12" t="str">
            <v xml:space="preserve">KG  </v>
          </cell>
          <cell r="E12">
            <v>13300</v>
          </cell>
        </row>
        <row r="13">
          <cell r="C13">
            <v>1250001</v>
          </cell>
          <cell r="D13" t="str">
            <v xml:space="preserve">KG  </v>
          </cell>
          <cell r="E13">
            <v>4888</v>
          </cell>
        </row>
        <row r="14">
          <cell r="C14">
            <v>1250003</v>
          </cell>
          <cell r="D14" t="str">
            <v xml:space="preserve">KG  </v>
          </cell>
          <cell r="E14">
            <v>42797.31</v>
          </cell>
        </row>
        <row r="15">
          <cell r="C15">
            <v>1260010</v>
          </cell>
          <cell r="D15" t="str">
            <v xml:space="preserve">KG  </v>
          </cell>
          <cell r="E15">
            <v>7048.44</v>
          </cell>
        </row>
        <row r="16">
          <cell r="C16">
            <v>1260015</v>
          </cell>
          <cell r="D16" t="str">
            <v xml:space="preserve">KG  </v>
          </cell>
          <cell r="E16">
            <v>3289.99</v>
          </cell>
        </row>
        <row r="17">
          <cell r="C17">
            <v>1360003</v>
          </cell>
          <cell r="D17" t="str">
            <v xml:space="preserve">KG  </v>
          </cell>
          <cell r="E17">
            <v>24.5</v>
          </cell>
        </row>
        <row r="18">
          <cell r="C18">
            <v>1270003</v>
          </cell>
          <cell r="D18" t="str">
            <v xml:space="preserve">KG  </v>
          </cell>
          <cell r="E18">
            <v>15446.47</v>
          </cell>
        </row>
        <row r="19">
          <cell r="C19">
            <v>1370004</v>
          </cell>
          <cell r="D19" t="str">
            <v xml:space="preserve">KG  </v>
          </cell>
          <cell r="E19">
            <v>166.69</v>
          </cell>
        </row>
        <row r="20">
          <cell r="C20">
            <v>1112002</v>
          </cell>
          <cell r="D20" t="str">
            <v xml:space="preserve">KG  </v>
          </cell>
          <cell r="E20">
            <v>3596.65</v>
          </cell>
        </row>
        <row r="21">
          <cell r="C21">
            <v>2906001</v>
          </cell>
          <cell r="D21" t="str">
            <v xml:space="preserve">KG  </v>
          </cell>
          <cell r="E21">
            <v>1985.72</v>
          </cell>
        </row>
        <row r="22">
          <cell r="C22">
            <v>2904002</v>
          </cell>
          <cell r="D22" t="str">
            <v xml:space="preserve">KG  </v>
          </cell>
          <cell r="E22">
            <v>1985.72</v>
          </cell>
        </row>
        <row r="23">
          <cell r="C23">
            <v>2917001</v>
          </cell>
          <cell r="D23" t="str">
            <v xml:space="preserve">KG  </v>
          </cell>
          <cell r="E23">
            <v>1985.72</v>
          </cell>
        </row>
        <row r="24">
          <cell r="C24">
            <v>1121004</v>
          </cell>
          <cell r="D24" t="str">
            <v xml:space="preserve">KG  </v>
          </cell>
          <cell r="E24">
            <v>5609.77</v>
          </cell>
        </row>
        <row r="25">
          <cell r="C25">
            <v>1280002</v>
          </cell>
          <cell r="D25" t="str">
            <v xml:space="preserve">KG  </v>
          </cell>
          <cell r="E25">
            <v>12370.02</v>
          </cell>
        </row>
        <row r="26">
          <cell r="C26">
            <v>1280003</v>
          </cell>
          <cell r="D26" t="str">
            <v xml:space="preserve">KG  </v>
          </cell>
          <cell r="E26">
            <v>34500</v>
          </cell>
        </row>
        <row r="27">
          <cell r="C27">
            <v>1121009</v>
          </cell>
          <cell r="D27" t="str">
            <v xml:space="preserve">KG  </v>
          </cell>
          <cell r="E27">
            <v>8427.2800000000007</v>
          </cell>
        </row>
        <row r="28">
          <cell r="C28">
            <v>1210003</v>
          </cell>
          <cell r="D28" t="str">
            <v xml:space="preserve">KG  </v>
          </cell>
          <cell r="E28">
            <v>11253.24</v>
          </cell>
        </row>
        <row r="29">
          <cell r="C29">
            <v>1210004</v>
          </cell>
          <cell r="D29" t="str">
            <v xml:space="preserve">KG  </v>
          </cell>
          <cell r="E29">
            <v>3818.5</v>
          </cell>
        </row>
        <row r="30">
          <cell r="C30">
            <v>1220015</v>
          </cell>
          <cell r="D30" t="str">
            <v xml:space="preserve">KG  </v>
          </cell>
          <cell r="E30">
            <v>29190</v>
          </cell>
        </row>
        <row r="31">
          <cell r="C31">
            <v>1240002</v>
          </cell>
          <cell r="D31" t="str">
            <v xml:space="preserve">KG  </v>
          </cell>
          <cell r="E31">
            <v>65222.11</v>
          </cell>
        </row>
        <row r="32">
          <cell r="C32">
            <v>1250004</v>
          </cell>
          <cell r="D32" t="str">
            <v xml:space="preserve">KG  </v>
          </cell>
          <cell r="E32">
            <v>156520.01999999999</v>
          </cell>
        </row>
        <row r="33">
          <cell r="C33">
            <v>1260005</v>
          </cell>
          <cell r="D33" t="str">
            <v xml:space="preserve">KG  </v>
          </cell>
          <cell r="E33">
            <v>25850</v>
          </cell>
        </row>
        <row r="34">
          <cell r="C34">
            <v>1260009</v>
          </cell>
          <cell r="D34" t="str">
            <v xml:space="preserve">KG  </v>
          </cell>
          <cell r="E34">
            <v>8625.84</v>
          </cell>
        </row>
        <row r="35">
          <cell r="C35">
            <v>1260012</v>
          </cell>
          <cell r="D35" t="str">
            <v xml:space="preserve">KG  </v>
          </cell>
          <cell r="E35">
            <v>46081</v>
          </cell>
        </row>
        <row r="36">
          <cell r="C36">
            <v>1210006</v>
          </cell>
          <cell r="D36" t="str">
            <v xml:space="preserve">KG  </v>
          </cell>
          <cell r="E36">
            <v>8904.5300000000007</v>
          </cell>
        </row>
        <row r="37">
          <cell r="C37">
            <v>121007</v>
          </cell>
          <cell r="D37" t="str">
            <v xml:space="preserve">KG  </v>
          </cell>
          <cell r="E37">
            <v>16155.29</v>
          </cell>
        </row>
        <row r="38">
          <cell r="C38">
            <v>1260017</v>
          </cell>
          <cell r="D38" t="str">
            <v xml:space="preserve">KG  </v>
          </cell>
          <cell r="E38">
            <v>4500</v>
          </cell>
        </row>
        <row r="39">
          <cell r="C39">
            <v>1250009</v>
          </cell>
          <cell r="D39" t="str">
            <v xml:space="preserve">KG  </v>
          </cell>
          <cell r="E39">
            <v>79895</v>
          </cell>
        </row>
        <row r="40">
          <cell r="C40">
            <v>1260024</v>
          </cell>
          <cell r="D40" t="str">
            <v xml:space="preserve">KG  </v>
          </cell>
          <cell r="E40">
            <v>12586.82</v>
          </cell>
        </row>
        <row r="41">
          <cell r="C41">
            <v>1310037</v>
          </cell>
          <cell r="D41" t="str">
            <v xml:space="preserve">KG  </v>
          </cell>
          <cell r="E41">
            <v>889</v>
          </cell>
        </row>
        <row r="42">
          <cell r="C42">
            <v>1330052</v>
          </cell>
          <cell r="D42" t="str">
            <v xml:space="preserve">KG  </v>
          </cell>
          <cell r="E42">
            <v>82.48</v>
          </cell>
        </row>
        <row r="43">
          <cell r="C43">
            <v>1320010</v>
          </cell>
          <cell r="D43" t="str">
            <v xml:space="preserve">KG  </v>
          </cell>
          <cell r="E43">
            <v>685.2</v>
          </cell>
        </row>
        <row r="44">
          <cell r="C44">
            <v>1320004</v>
          </cell>
          <cell r="D44" t="str">
            <v xml:space="preserve">KG  </v>
          </cell>
          <cell r="E44">
            <v>1403.52</v>
          </cell>
        </row>
        <row r="45">
          <cell r="C45">
            <v>1310058</v>
          </cell>
          <cell r="D45" t="str">
            <v xml:space="preserve">KG  </v>
          </cell>
          <cell r="E45">
            <v>889</v>
          </cell>
        </row>
        <row r="46">
          <cell r="C46">
            <v>1330075</v>
          </cell>
          <cell r="D46" t="str">
            <v xml:space="preserve">KG  </v>
          </cell>
          <cell r="E46">
            <v>82.39</v>
          </cell>
        </row>
        <row r="47">
          <cell r="C47">
            <v>1310018</v>
          </cell>
          <cell r="D47" t="str">
            <v xml:space="preserve">KG  </v>
          </cell>
          <cell r="E47">
            <v>454.33</v>
          </cell>
        </row>
        <row r="48">
          <cell r="C48">
            <v>1330007</v>
          </cell>
          <cell r="D48" t="str">
            <v xml:space="preserve">KG  </v>
          </cell>
          <cell r="E48">
            <v>144.93</v>
          </cell>
        </row>
        <row r="49">
          <cell r="C49">
            <v>1370007</v>
          </cell>
          <cell r="D49" t="str">
            <v xml:space="preserve">KG  </v>
          </cell>
          <cell r="E49">
            <v>178.15</v>
          </cell>
        </row>
        <row r="50">
          <cell r="C50">
            <v>2903002</v>
          </cell>
          <cell r="D50" t="str">
            <v xml:space="preserve">KG  </v>
          </cell>
          <cell r="E50">
            <v>15621.43</v>
          </cell>
        </row>
        <row r="51">
          <cell r="C51">
            <v>2903003</v>
          </cell>
          <cell r="D51" t="str">
            <v xml:space="preserve">KG  </v>
          </cell>
          <cell r="E51">
            <v>14070.81</v>
          </cell>
        </row>
        <row r="52">
          <cell r="C52">
            <v>1122001</v>
          </cell>
          <cell r="D52" t="str">
            <v xml:space="preserve">KG  </v>
          </cell>
          <cell r="E52">
            <v>14070.81</v>
          </cell>
        </row>
        <row r="53">
          <cell r="C53">
            <v>1220010</v>
          </cell>
          <cell r="D53" t="str">
            <v xml:space="preserve">KG  </v>
          </cell>
          <cell r="E53">
            <v>7753.69</v>
          </cell>
        </row>
        <row r="54">
          <cell r="C54">
            <v>1270009</v>
          </cell>
          <cell r="D54" t="str">
            <v xml:space="preserve">KG  </v>
          </cell>
          <cell r="E54">
            <v>54250.99</v>
          </cell>
        </row>
        <row r="55">
          <cell r="C55">
            <v>1330055</v>
          </cell>
          <cell r="D55" t="str">
            <v xml:space="preserve">KG  </v>
          </cell>
          <cell r="E55">
            <v>82.01</v>
          </cell>
        </row>
        <row r="56">
          <cell r="C56">
            <v>1320005</v>
          </cell>
          <cell r="D56" t="str">
            <v xml:space="preserve">KG  </v>
          </cell>
          <cell r="E56">
            <v>740.21</v>
          </cell>
        </row>
        <row r="57">
          <cell r="C57">
            <v>1330006</v>
          </cell>
          <cell r="D57" t="str">
            <v xml:space="preserve">KG  </v>
          </cell>
          <cell r="E57">
            <v>103</v>
          </cell>
        </row>
        <row r="58">
          <cell r="C58">
            <v>1330013</v>
          </cell>
          <cell r="D58" t="str">
            <v xml:space="preserve">KG  </v>
          </cell>
          <cell r="E58">
            <v>242</v>
          </cell>
        </row>
        <row r="59">
          <cell r="C59">
            <v>1370011</v>
          </cell>
          <cell r="D59" t="str">
            <v xml:space="preserve">KG  </v>
          </cell>
          <cell r="E59">
            <v>148.94999999999999</v>
          </cell>
        </row>
        <row r="60">
          <cell r="C60">
            <v>1121003</v>
          </cell>
          <cell r="D60" t="str">
            <v xml:space="preserve">KG  </v>
          </cell>
          <cell r="E60">
            <v>5800</v>
          </cell>
        </row>
        <row r="61">
          <cell r="C61">
            <v>1210002</v>
          </cell>
          <cell r="D61" t="str">
            <v xml:space="preserve">KG  </v>
          </cell>
          <cell r="E61">
            <v>12866</v>
          </cell>
        </row>
        <row r="62">
          <cell r="C62">
            <v>1330029</v>
          </cell>
          <cell r="D62" t="str">
            <v xml:space="preserve">KG  </v>
          </cell>
          <cell r="E62">
            <v>230.28</v>
          </cell>
        </row>
        <row r="63">
          <cell r="C63">
            <v>1330009</v>
          </cell>
          <cell r="D63" t="str">
            <v xml:space="preserve">KG  </v>
          </cell>
          <cell r="E63">
            <v>233.37</v>
          </cell>
        </row>
        <row r="64">
          <cell r="C64">
            <v>1330050</v>
          </cell>
          <cell r="D64" t="str">
            <v xml:space="preserve">KG  </v>
          </cell>
          <cell r="E64">
            <v>77</v>
          </cell>
        </row>
        <row r="65">
          <cell r="C65">
            <v>1370031</v>
          </cell>
          <cell r="D65" t="str">
            <v xml:space="preserve">KG  </v>
          </cell>
          <cell r="E65">
            <v>152.47999999999999</v>
          </cell>
        </row>
        <row r="66">
          <cell r="C66">
            <v>1330027</v>
          </cell>
          <cell r="D66" t="str">
            <v xml:space="preserve">KG  </v>
          </cell>
          <cell r="E66">
            <v>309.99</v>
          </cell>
        </row>
        <row r="67">
          <cell r="C67">
            <v>1310066</v>
          </cell>
          <cell r="D67" t="str">
            <v xml:space="preserve">KG  </v>
          </cell>
          <cell r="E67">
            <v>780.6</v>
          </cell>
        </row>
        <row r="68">
          <cell r="C68">
            <v>1320012</v>
          </cell>
          <cell r="D68" t="str">
            <v xml:space="preserve">KG  </v>
          </cell>
          <cell r="E68">
            <v>1964.05</v>
          </cell>
        </row>
        <row r="69">
          <cell r="C69">
            <v>1310017</v>
          </cell>
          <cell r="D69" t="str">
            <v xml:space="preserve">KG  </v>
          </cell>
          <cell r="E69">
            <v>693.54</v>
          </cell>
        </row>
        <row r="70">
          <cell r="C70">
            <v>1320003</v>
          </cell>
          <cell r="D70" t="str">
            <v xml:space="preserve">KG  </v>
          </cell>
          <cell r="E70">
            <v>628.52</v>
          </cell>
        </row>
        <row r="71">
          <cell r="C71">
            <v>1330018</v>
          </cell>
          <cell r="D71" t="str">
            <v xml:space="preserve">KG  </v>
          </cell>
          <cell r="E71">
            <v>125.36</v>
          </cell>
        </row>
        <row r="72">
          <cell r="C72">
            <v>1370001</v>
          </cell>
          <cell r="D72" t="str">
            <v xml:space="preserve">KG  </v>
          </cell>
          <cell r="E72">
            <v>921.86</v>
          </cell>
        </row>
        <row r="73">
          <cell r="C73">
            <v>1380002</v>
          </cell>
          <cell r="D73" t="str">
            <v xml:space="preserve">KG  </v>
          </cell>
          <cell r="E73">
            <v>74.11</v>
          </cell>
        </row>
        <row r="74">
          <cell r="C74">
            <v>1111002</v>
          </cell>
          <cell r="D74" t="str">
            <v xml:space="preserve">KG  </v>
          </cell>
          <cell r="E74">
            <v>2800.01</v>
          </cell>
        </row>
        <row r="75">
          <cell r="C75">
            <v>1112001</v>
          </cell>
          <cell r="D75" t="str">
            <v xml:space="preserve">KG  </v>
          </cell>
          <cell r="E75">
            <v>3731.72</v>
          </cell>
        </row>
        <row r="76">
          <cell r="C76">
            <v>1220006</v>
          </cell>
          <cell r="D76" t="str">
            <v xml:space="preserve">KG  </v>
          </cell>
          <cell r="E76">
            <v>73448</v>
          </cell>
        </row>
        <row r="77">
          <cell r="C77">
            <v>1260011</v>
          </cell>
          <cell r="D77" t="str">
            <v xml:space="preserve">KG  </v>
          </cell>
          <cell r="E77">
            <v>5552.8</v>
          </cell>
        </row>
        <row r="78">
          <cell r="C78">
            <v>1260014</v>
          </cell>
          <cell r="D78" t="str">
            <v xml:space="preserve">KG  </v>
          </cell>
          <cell r="E78">
            <v>30514.09</v>
          </cell>
        </row>
        <row r="79">
          <cell r="C79">
            <v>1230017</v>
          </cell>
          <cell r="D79" t="str">
            <v xml:space="preserve">KG  </v>
          </cell>
          <cell r="E79">
            <v>59600</v>
          </cell>
        </row>
        <row r="80">
          <cell r="C80">
            <v>1260022</v>
          </cell>
          <cell r="D80" t="str">
            <v xml:space="preserve">KG  </v>
          </cell>
          <cell r="E80">
            <v>23387.67</v>
          </cell>
        </row>
        <row r="81">
          <cell r="C81">
            <v>1240005</v>
          </cell>
          <cell r="D81" t="str">
            <v xml:space="preserve">KG  </v>
          </cell>
          <cell r="E81">
            <v>47900</v>
          </cell>
        </row>
        <row r="82">
          <cell r="C82">
            <v>1210008</v>
          </cell>
          <cell r="D82" t="str">
            <v xml:space="preserve">KG  </v>
          </cell>
          <cell r="E82">
            <v>14700</v>
          </cell>
        </row>
        <row r="83">
          <cell r="C83">
            <v>1330053</v>
          </cell>
          <cell r="D83" t="str">
            <v xml:space="preserve">KG  </v>
          </cell>
          <cell r="E83">
            <v>87.19</v>
          </cell>
        </row>
        <row r="84">
          <cell r="C84">
            <v>1370016</v>
          </cell>
          <cell r="D84" t="str">
            <v xml:space="preserve">KG  </v>
          </cell>
          <cell r="E84">
            <v>607.71</v>
          </cell>
        </row>
        <row r="85">
          <cell r="C85">
            <v>1380005</v>
          </cell>
          <cell r="D85" t="str">
            <v xml:space="preserve">KG  </v>
          </cell>
          <cell r="E85">
            <v>28.99</v>
          </cell>
        </row>
        <row r="86">
          <cell r="C86">
            <v>1122006</v>
          </cell>
          <cell r="D86" t="str">
            <v xml:space="preserve">KG  </v>
          </cell>
          <cell r="E86">
            <v>13431.16</v>
          </cell>
        </row>
        <row r="87">
          <cell r="C87">
            <v>1122007</v>
          </cell>
          <cell r="D87" t="str">
            <v xml:space="preserve">KG  </v>
          </cell>
          <cell r="E87">
            <v>11742.15</v>
          </cell>
        </row>
        <row r="88">
          <cell r="C88">
            <v>1230003</v>
          </cell>
          <cell r="D88" t="str">
            <v xml:space="preserve">KG  </v>
          </cell>
          <cell r="E88">
            <v>19014.13</v>
          </cell>
        </row>
        <row r="89">
          <cell r="C89">
            <v>1370015</v>
          </cell>
          <cell r="D89" t="str">
            <v xml:space="preserve">KG  </v>
          </cell>
          <cell r="E89">
            <v>545.02</v>
          </cell>
        </row>
        <row r="90">
          <cell r="C90">
            <v>1380003</v>
          </cell>
          <cell r="D90" t="str">
            <v xml:space="preserve">KG  </v>
          </cell>
          <cell r="E90">
            <v>56.49</v>
          </cell>
        </row>
        <row r="91">
          <cell r="C91">
            <v>1370014</v>
          </cell>
          <cell r="D91" t="str">
            <v xml:space="preserve">KG  </v>
          </cell>
          <cell r="E91">
            <v>537.66999999999996</v>
          </cell>
        </row>
        <row r="92">
          <cell r="C92">
            <v>1370021</v>
          </cell>
          <cell r="D92" t="str">
            <v xml:space="preserve">KG  </v>
          </cell>
          <cell r="E92">
            <v>528.77</v>
          </cell>
        </row>
        <row r="93">
          <cell r="C93">
            <v>1220013</v>
          </cell>
          <cell r="D93" t="str">
            <v xml:space="preserve">KG  </v>
          </cell>
          <cell r="E93">
            <v>35100</v>
          </cell>
        </row>
        <row r="94">
          <cell r="C94">
            <v>1240004</v>
          </cell>
          <cell r="D94" t="str">
            <v xml:space="preserve">KG  </v>
          </cell>
          <cell r="E94">
            <v>11340</v>
          </cell>
        </row>
        <row r="95">
          <cell r="C95">
            <v>1330004</v>
          </cell>
          <cell r="D95" t="str">
            <v xml:space="preserve">KG  </v>
          </cell>
          <cell r="E95">
            <v>141.27000000000001</v>
          </cell>
        </row>
        <row r="96">
          <cell r="C96">
            <v>1370002</v>
          </cell>
          <cell r="D96" t="str">
            <v xml:space="preserve">KG  </v>
          </cell>
          <cell r="E96">
            <v>5434.99</v>
          </cell>
        </row>
        <row r="97">
          <cell r="C97">
            <v>1131001</v>
          </cell>
          <cell r="D97" t="str">
            <v xml:space="preserve">KG  </v>
          </cell>
          <cell r="E97">
            <v>386.91</v>
          </cell>
        </row>
        <row r="98">
          <cell r="C98">
            <v>2903001</v>
          </cell>
          <cell r="D98" t="str">
            <v xml:space="preserve">KG  </v>
          </cell>
          <cell r="E98">
            <v>15247.06</v>
          </cell>
        </row>
        <row r="99">
          <cell r="C99">
            <v>1122002</v>
          </cell>
          <cell r="D99" t="str">
            <v xml:space="preserve">KG  </v>
          </cell>
          <cell r="E99">
            <v>15247.06</v>
          </cell>
        </row>
        <row r="100">
          <cell r="C100">
            <v>1230008</v>
          </cell>
          <cell r="D100" t="str">
            <v xml:space="preserve">KG  </v>
          </cell>
          <cell r="E100">
            <v>25396</v>
          </cell>
        </row>
        <row r="101">
          <cell r="C101">
            <v>1230010</v>
          </cell>
          <cell r="D101" t="str">
            <v xml:space="preserve">KG  </v>
          </cell>
          <cell r="E101">
            <v>51309.58</v>
          </cell>
        </row>
        <row r="102">
          <cell r="C102">
            <v>1260025</v>
          </cell>
          <cell r="D102" t="str">
            <v xml:space="preserve">KG  </v>
          </cell>
          <cell r="E102">
            <v>58731.48</v>
          </cell>
        </row>
        <row r="103">
          <cell r="C103">
            <v>1320006</v>
          </cell>
          <cell r="D103" t="str">
            <v xml:space="preserve">KG  </v>
          </cell>
          <cell r="E103">
            <v>963.65</v>
          </cell>
        </row>
        <row r="104">
          <cell r="C104">
            <v>1330021</v>
          </cell>
          <cell r="D104" t="str">
            <v xml:space="preserve">MTR </v>
          </cell>
          <cell r="E104">
            <v>144.96</v>
          </cell>
        </row>
        <row r="105">
          <cell r="C105">
            <v>1330058</v>
          </cell>
          <cell r="D105" t="str">
            <v xml:space="preserve">MTR </v>
          </cell>
          <cell r="E105">
            <v>82.49</v>
          </cell>
        </row>
        <row r="106">
          <cell r="C106">
            <v>1330026</v>
          </cell>
          <cell r="D106" t="str">
            <v xml:space="preserve">MTR </v>
          </cell>
          <cell r="E106">
            <v>151.43</v>
          </cell>
        </row>
        <row r="107">
          <cell r="C107">
            <v>1330010</v>
          </cell>
          <cell r="D107" t="str">
            <v xml:space="preserve">KG  </v>
          </cell>
          <cell r="E107">
            <v>114</v>
          </cell>
        </row>
        <row r="108">
          <cell r="C108">
            <v>1330002</v>
          </cell>
          <cell r="D108" t="str">
            <v xml:space="preserve">KG  </v>
          </cell>
          <cell r="E108">
            <v>75</v>
          </cell>
        </row>
        <row r="109">
          <cell r="C109">
            <v>1370009</v>
          </cell>
          <cell r="D109" t="str">
            <v xml:space="preserve">MTR </v>
          </cell>
          <cell r="E109">
            <v>459.34</v>
          </cell>
        </row>
        <row r="110">
          <cell r="C110">
            <v>1141001</v>
          </cell>
          <cell r="D110" t="str">
            <v xml:space="preserve">MTR </v>
          </cell>
          <cell r="E110">
            <v>16007.17</v>
          </cell>
        </row>
        <row r="111">
          <cell r="C111">
            <v>1230006</v>
          </cell>
          <cell r="D111" t="str">
            <v xml:space="preserve">MTR </v>
          </cell>
          <cell r="E111">
            <v>42597</v>
          </cell>
        </row>
        <row r="112">
          <cell r="C112">
            <v>1250002</v>
          </cell>
          <cell r="D112" t="str">
            <v xml:space="preserve">KG  </v>
          </cell>
          <cell r="E112">
            <v>43034</v>
          </cell>
        </row>
        <row r="113">
          <cell r="C113">
            <v>1250005</v>
          </cell>
          <cell r="D113" t="str">
            <v xml:space="preserve">MTR </v>
          </cell>
          <cell r="E113">
            <v>63000</v>
          </cell>
        </row>
        <row r="114">
          <cell r="C114">
            <v>1330011</v>
          </cell>
          <cell r="D114" t="str">
            <v xml:space="preserve">MTR </v>
          </cell>
          <cell r="E114">
            <v>120</v>
          </cell>
        </row>
        <row r="115">
          <cell r="C115">
            <v>1330068</v>
          </cell>
          <cell r="D115" t="str">
            <v xml:space="preserve">MTR </v>
          </cell>
          <cell r="E115">
            <v>77</v>
          </cell>
        </row>
        <row r="116">
          <cell r="C116">
            <v>1330015</v>
          </cell>
          <cell r="D116" t="str">
            <v xml:space="preserve">MTR </v>
          </cell>
          <cell r="E116">
            <v>135</v>
          </cell>
        </row>
        <row r="117">
          <cell r="C117">
            <v>1330001</v>
          </cell>
          <cell r="D117" t="str">
            <v xml:space="preserve">MTR </v>
          </cell>
          <cell r="E117">
            <v>144</v>
          </cell>
        </row>
        <row r="118">
          <cell r="C118">
            <v>1370008</v>
          </cell>
          <cell r="D118" t="str">
            <v xml:space="preserve">MTR </v>
          </cell>
          <cell r="E118">
            <v>384.43</v>
          </cell>
        </row>
        <row r="119">
          <cell r="C119">
            <v>1220001</v>
          </cell>
          <cell r="D119" t="str">
            <v xml:space="preserve">MTR </v>
          </cell>
          <cell r="E119">
            <v>81900</v>
          </cell>
        </row>
        <row r="120">
          <cell r="C120">
            <v>1230005</v>
          </cell>
          <cell r="D120" t="str">
            <v xml:space="preserve">MTR </v>
          </cell>
          <cell r="E120">
            <v>43815.37</v>
          </cell>
        </row>
        <row r="121">
          <cell r="C121">
            <v>1270004</v>
          </cell>
          <cell r="D121" t="str">
            <v xml:space="preserve">MTR </v>
          </cell>
          <cell r="E121">
            <v>48518.9</v>
          </cell>
        </row>
        <row r="122">
          <cell r="C122">
            <v>1330012</v>
          </cell>
          <cell r="D122" t="str">
            <v xml:space="preserve">MTR </v>
          </cell>
          <cell r="E122">
            <v>119.99</v>
          </cell>
        </row>
        <row r="123">
          <cell r="C123">
            <v>1340003</v>
          </cell>
          <cell r="D123" t="str">
            <v xml:space="preserve">MTR </v>
          </cell>
          <cell r="E123">
            <v>578.65</v>
          </cell>
        </row>
        <row r="124">
          <cell r="C124">
            <v>1360001</v>
          </cell>
          <cell r="D124" t="str">
            <v xml:space="preserve">MTR </v>
          </cell>
          <cell r="E124">
            <v>22</v>
          </cell>
        </row>
        <row r="125">
          <cell r="C125">
            <v>1220012</v>
          </cell>
          <cell r="D125" t="str">
            <v xml:space="preserve">MTR </v>
          </cell>
          <cell r="E125">
            <v>8449.99</v>
          </cell>
        </row>
        <row r="126">
          <cell r="C126">
            <v>1230011</v>
          </cell>
          <cell r="D126" t="str">
            <v xml:space="preserve">MTR </v>
          </cell>
          <cell r="E126">
            <v>5479.99</v>
          </cell>
        </row>
        <row r="127">
          <cell r="C127">
            <v>1370003</v>
          </cell>
          <cell r="D127" t="str">
            <v xml:space="preserve">MTR </v>
          </cell>
          <cell r="E127">
            <v>698</v>
          </cell>
        </row>
        <row r="128">
          <cell r="C128">
            <v>1112005</v>
          </cell>
          <cell r="D128" t="str">
            <v xml:space="preserve">MTR </v>
          </cell>
          <cell r="E128">
            <v>14000.04</v>
          </cell>
        </row>
        <row r="129">
          <cell r="C129">
            <v>1250007</v>
          </cell>
          <cell r="D129" t="str">
            <v xml:space="preserve">MTR </v>
          </cell>
          <cell r="E129">
            <v>58315.98</v>
          </cell>
        </row>
        <row r="130">
          <cell r="C130">
            <v>1260008</v>
          </cell>
          <cell r="D130" t="str">
            <v xml:space="preserve">MTR </v>
          </cell>
          <cell r="E130">
            <v>10405.68</v>
          </cell>
        </row>
        <row r="131">
          <cell r="C131">
            <v>1260018</v>
          </cell>
          <cell r="D131" t="str">
            <v xml:space="preserve">MTR </v>
          </cell>
          <cell r="E131">
            <v>25593.03</v>
          </cell>
        </row>
        <row r="132">
          <cell r="C132">
            <v>1230016</v>
          </cell>
          <cell r="D132" t="str">
            <v xml:space="preserve">MTR </v>
          </cell>
          <cell r="E132">
            <v>87200</v>
          </cell>
        </row>
        <row r="133">
          <cell r="C133">
            <v>1340002</v>
          </cell>
          <cell r="D133" t="str">
            <v xml:space="preserve">MTR </v>
          </cell>
          <cell r="E133">
            <v>618</v>
          </cell>
        </row>
        <row r="134">
          <cell r="C134">
            <v>1340006</v>
          </cell>
          <cell r="D134" t="str">
            <v xml:space="preserve">MTR </v>
          </cell>
          <cell r="E134">
            <v>648.51</v>
          </cell>
        </row>
        <row r="135">
          <cell r="C135">
            <v>1340001</v>
          </cell>
          <cell r="D135" t="str">
            <v xml:space="preserve">MTR </v>
          </cell>
          <cell r="E135">
            <v>62</v>
          </cell>
        </row>
        <row r="136">
          <cell r="C136">
            <v>1260013</v>
          </cell>
          <cell r="D136" t="str">
            <v xml:space="preserve">MTR </v>
          </cell>
          <cell r="E136">
            <v>24926.720000000001</v>
          </cell>
        </row>
        <row r="137">
          <cell r="C137">
            <v>1350009</v>
          </cell>
          <cell r="D137" t="str">
            <v xml:space="preserve">MTR </v>
          </cell>
          <cell r="E137">
            <v>1320.6</v>
          </cell>
        </row>
        <row r="138">
          <cell r="C138">
            <v>1340012</v>
          </cell>
          <cell r="D138" t="str">
            <v xml:space="preserve">MTR </v>
          </cell>
          <cell r="E138">
            <v>247</v>
          </cell>
        </row>
        <row r="139">
          <cell r="C139">
            <v>1370020</v>
          </cell>
          <cell r="D139" t="str">
            <v xml:space="preserve">MTR </v>
          </cell>
          <cell r="E139">
            <v>546.12</v>
          </cell>
        </row>
        <row r="140">
          <cell r="C140">
            <v>1370012</v>
          </cell>
          <cell r="D140" t="str">
            <v xml:space="preserve">UND </v>
          </cell>
          <cell r="E140">
            <v>485.2</v>
          </cell>
        </row>
        <row r="141">
          <cell r="C141">
            <v>1310014</v>
          </cell>
          <cell r="D141" t="str">
            <v xml:space="preserve">UND </v>
          </cell>
          <cell r="E141">
            <v>24980</v>
          </cell>
        </row>
        <row r="142">
          <cell r="C142">
            <v>1350005</v>
          </cell>
          <cell r="D142" t="str">
            <v xml:space="preserve">UND </v>
          </cell>
          <cell r="E142">
            <v>2751.44</v>
          </cell>
        </row>
        <row r="143">
          <cell r="C143">
            <v>1310012</v>
          </cell>
          <cell r="D143" t="str">
            <v xml:space="preserve">UND </v>
          </cell>
          <cell r="E143">
            <v>24980</v>
          </cell>
        </row>
        <row r="144">
          <cell r="C144">
            <v>1310002</v>
          </cell>
          <cell r="D144" t="str">
            <v xml:space="preserve">UND </v>
          </cell>
          <cell r="E144">
            <v>667.87</v>
          </cell>
        </row>
        <row r="145">
          <cell r="C145">
            <v>1370013</v>
          </cell>
          <cell r="D145" t="str">
            <v xml:space="preserve">UND </v>
          </cell>
          <cell r="E145">
            <v>416.48</v>
          </cell>
        </row>
        <row r="146">
          <cell r="C146">
            <v>1230004</v>
          </cell>
          <cell r="D146" t="str">
            <v xml:space="preserve">UND </v>
          </cell>
          <cell r="E146">
            <v>20021</v>
          </cell>
        </row>
        <row r="147">
          <cell r="C147">
            <v>1310015</v>
          </cell>
          <cell r="D147" t="str">
            <v xml:space="preserve">UND </v>
          </cell>
          <cell r="E147">
            <v>665</v>
          </cell>
        </row>
        <row r="148">
          <cell r="C148">
            <v>1370030</v>
          </cell>
          <cell r="D148" t="str">
            <v xml:space="preserve">UND </v>
          </cell>
          <cell r="E148">
            <v>220</v>
          </cell>
        </row>
        <row r="149">
          <cell r="C149">
            <v>1310011</v>
          </cell>
          <cell r="D149" t="str">
            <v xml:space="preserve">UND </v>
          </cell>
          <cell r="E149">
            <v>1177</v>
          </cell>
        </row>
        <row r="150">
          <cell r="C150">
            <v>1320007</v>
          </cell>
          <cell r="D150" t="str">
            <v xml:space="preserve">UND </v>
          </cell>
          <cell r="E150">
            <v>11221.81</v>
          </cell>
        </row>
        <row r="151">
          <cell r="C151">
            <v>1370018</v>
          </cell>
          <cell r="D151" t="str">
            <v xml:space="preserve">UND </v>
          </cell>
          <cell r="E151">
            <v>448.6</v>
          </cell>
        </row>
        <row r="152">
          <cell r="C152">
            <v>1350003</v>
          </cell>
          <cell r="D152" t="str">
            <v xml:space="preserve">UND </v>
          </cell>
          <cell r="E152">
            <v>2510.8200000000002</v>
          </cell>
        </row>
        <row r="153">
          <cell r="C153">
            <v>1370017</v>
          </cell>
          <cell r="D153" t="str">
            <v xml:space="preserve">UND </v>
          </cell>
          <cell r="E153">
            <v>437.11</v>
          </cell>
        </row>
        <row r="154">
          <cell r="C154">
            <v>1380004</v>
          </cell>
          <cell r="D154" t="str">
            <v xml:space="preserve">UND </v>
          </cell>
          <cell r="E154">
            <v>22.59</v>
          </cell>
        </row>
        <row r="155">
          <cell r="C155">
            <v>1350004</v>
          </cell>
          <cell r="D155" t="str">
            <v xml:space="preserve">UND </v>
          </cell>
          <cell r="E155">
            <v>2516.09</v>
          </cell>
        </row>
        <row r="156">
          <cell r="C156">
            <v>1370019</v>
          </cell>
          <cell r="D156" t="str">
            <v xml:space="preserve">UND </v>
          </cell>
          <cell r="E156">
            <v>466.4</v>
          </cell>
        </row>
        <row r="157">
          <cell r="C157">
            <v>1310001</v>
          </cell>
          <cell r="D157" t="str">
            <v xml:space="preserve">UND </v>
          </cell>
          <cell r="E157">
            <v>682</v>
          </cell>
        </row>
        <row r="158">
          <cell r="C158">
            <v>1350001</v>
          </cell>
          <cell r="D158" t="str">
            <v xml:space="preserve">UND </v>
          </cell>
          <cell r="E158">
            <v>2285.5100000000002</v>
          </cell>
        </row>
        <row r="159">
          <cell r="C159">
            <v>1340008</v>
          </cell>
          <cell r="D159" t="str">
            <v xml:space="preserve">UND </v>
          </cell>
          <cell r="E159">
            <v>331.06</v>
          </cell>
        </row>
        <row r="160">
          <cell r="C160">
            <v>1330022</v>
          </cell>
          <cell r="D160" t="str">
            <v xml:space="preserve">UND </v>
          </cell>
          <cell r="E160">
            <v>40.6</v>
          </cell>
        </row>
        <row r="161">
          <cell r="C161">
            <v>1260006</v>
          </cell>
          <cell r="D161" t="str">
            <v xml:space="preserve">UND </v>
          </cell>
          <cell r="E161">
            <v>18900</v>
          </cell>
        </row>
        <row r="162">
          <cell r="C162">
            <v>2906002</v>
          </cell>
          <cell r="D162" t="str">
            <v xml:space="preserve">UND </v>
          </cell>
          <cell r="E162">
            <v>8851.15</v>
          </cell>
        </row>
        <row r="163">
          <cell r="C163">
            <v>1260016</v>
          </cell>
          <cell r="D163" t="str">
            <v xml:space="preserve">UND </v>
          </cell>
          <cell r="E163">
            <v>31000</v>
          </cell>
        </row>
        <row r="164">
          <cell r="C164">
            <v>1370022</v>
          </cell>
          <cell r="D164" t="str">
            <v xml:space="preserve">UND </v>
          </cell>
          <cell r="E164">
            <v>1573.55</v>
          </cell>
        </row>
        <row r="165">
          <cell r="C165">
            <v>1230009</v>
          </cell>
          <cell r="D165" t="str">
            <v xml:space="preserve">UND </v>
          </cell>
          <cell r="E165">
            <v>35200</v>
          </cell>
        </row>
        <row r="166">
          <cell r="C166">
            <v>2916001</v>
          </cell>
          <cell r="D166" t="str">
            <v xml:space="preserve">UND </v>
          </cell>
          <cell r="E166">
            <v>6411650.6699999999</v>
          </cell>
        </row>
        <row r="167">
          <cell r="C167">
            <v>2901001</v>
          </cell>
          <cell r="D167" t="str">
            <v xml:space="preserve">UND </v>
          </cell>
          <cell r="E167">
            <v>15214.64</v>
          </cell>
        </row>
        <row r="168">
          <cell r="C168">
            <v>1121006</v>
          </cell>
          <cell r="D168" t="str">
            <v xml:space="preserve">UND </v>
          </cell>
          <cell r="E168">
            <v>15400</v>
          </cell>
        </row>
        <row r="169">
          <cell r="C169">
            <v>2902001</v>
          </cell>
          <cell r="D169" t="str">
            <v xml:space="preserve">UND </v>
          </cell>
          <cell r="E169">
            <v>14379.54</v>
          </cell>
        </row>
        <row r="170">
          <cell r="C170">
            <v>1370025</v>
          </cell>
          <cell r="D170" t="str">
            <v xml:space="preserve">UND </v>
          </cell>
          <cell r="E170">
            <v>533.01</v>
          </cell>
        </row>
        <row r="171">
          <cell r="C171">
            <v>1330043</v>
          </cell>
          <cell r="D171" t="str">
            <v xml:space="preserve">UND </v>
          </cell>
          <cell r="E171">
            <v>85.11</v>
          </cell>
        </row>
        <row r="172">
          <cell r="C172">
            <v>1340009</v>
          </cell>
          <cell r="D172" t="str">
            <v xml:space="preserve">UND </v>
          </cell>
          <cell r="E172">
            <v>373.69</v>
          </cell>
        </row>
        <row r="173">
          <cell r="C173">
            <v>1330061</v>
          </cell>
          <cell r="D173" t="str">
            <v xml:space="preserve">UND </v>
          </cell>
          <cell r="E173">
            <v>67</v>
          </cell>
        </row>
        <row r="174">
          <cell r="C174">
            <v>1330028</v>
          </cell>
          <cell r="D174" t="str">
            <v xml:space="preserve">UND </v>
          </cell>
          <cell r="E174">
            <v>144.94</v>
          </cell>
        </row>
        <row r="175">
          <cell r="C175">
            <v>1330060</v>
          </cell>
          <cell r="D175" t="str">
            <v xml:space="preserve">UND </v>
          </cell>
          <cell r="E175">
            <v>82.09</v>
          </cell>
        </row>
        <row r="176">
          <cell r="C176">
            <v>1370032</v>
          </cell>
          <cell r="D176" t="str">
            <v xml:space="preserve">UND </v>
          </cell>
          <cell r="E176">
            <v>181.23</v>
          </cell>
        </row>
        <row r="177">
          <cell r="C177">
            <v>1310043</v>
          </cell>
          <cell r="D177" t="str">
            <v xml:space="preserve">UND </v>
          </cell>
          <cell r="E177">
            <v>889</v>
          </cell>
        </row>
        <row r="178">
          <cell r="C178">
            <v>1330031</v>
          </cell>
          <cell r="D178" t="str">
            <v xml:space="preserve">UND </v>
          </cell>
          <cell r="E178">
            <v>135</v>
          </cell>
        </row>
        <row r="179">
          <cell r="C179">
            <v>1370029</v>
          </cell>
          <cell r="D179" t="str">
            <v xml:space="preserve">UND </v>
          </cell>
          <cell r="E179">
            <v>579.42999999999995</v>
          </cell>
        </row>
        <row r="180">
          <cell r="C180">
            <v>1230012</v>
          </cell>
          <cell r="D180" t="str">
            <v xml:space="preserve">UND </v>
          </cell>
          <cell r="E180">
            <v>28150.76</v>
          </cell>
        </row>
        <row r="181">
          <cell r="C181">
            <v>1330032</v>
          </cell>
          <cell r="D181" t="str">
            <v xml:space="preserve">UND </v>
          </cell>
          <cell r="E181">
            <v>166.96</v>
          </cell>
        </row>
        <row r="182">
          <cell r="C182">
            <v>1370028</v>
          </cell>
          <cell r="D182" t="str">
            <v xml:space="preserve">UND </v>
          </cell>
          <cell r="E182">
            <v>185.04</v>
          </cell>
        </row>
        <row r="183">
          <cell r="C183">
            <v>1230013</v>
          </cell>
          <cell r="D183" t="str">
            <v xml:space="preserve">UND </v>
          </cell>
          <cell r="E183">
            <v>18838.57</v>
          </cell>
        </row>
        <row r="184">
          <cell r="C184">
            <v>1330034</v>
          </cell>
          <cell r="D184" t="str">
            <v xml:space="preserve">UND </v>
          </cell>
          <cell r="E184">
            <v>69.3</v>
          </cell>
        </row>
        <row r="185">
          <cell r="C185">
            <v>1330035</v>
          </cell>
          <cell r="D185" t="str">
            <v xml:space="preserve">UND </v>
          </cell>
          <cell r="E185">
            <v>69.3</v>
          </cell>
        </row>
        <row r="186">
          <cell r="C186">
            <v>1330036</v>
          </cell>
          <cell r="D186" t="str">
            <v xml:space="preserve">UND </v>
          </cell>
          <cell r="E186">
            <v>69.3</v>
          </cell>
        </row>
        <row r="187">
          <cell r="C187">
            <v>1330037</v>
          </cell>
          <cell r="D187" t="str">
            <v xml:space="preserve">UND </v>
          </cell>
          <cell r="E187">
            <v>69.3</v>
          </cell>
        </row>
        <row r="188">
          <cell r="C188">
            <v>1370035</v>
          </cell>
          <cell r="D188" t="str">
            <v xml:space="preserve">UND </v>
          </cell>
          <cell r="E188">
            <v>171.66</v>
          </cell>
        </row>
        <row r="189">
          <cell r="C189">
            <v>1330038</v>
          </cell>
          <cell r="D189" t="str">
            <v xml:space="preserve">UND </v>
          </cell>
          <cell r="E189">
            <v>69.3</v>
          </cell>
        </row>
        <row r="190">
          <cell r="C190">
            <v>1330039</v>
          </cell>
          <cell r="D190" t="str">
            <v xml:space="preserve">UND </v>
          </cell>
          <cell r="E190">
            <v>0</v>
          </cell>
        </row>
        <row r="191">
          <cell r="C191">
            <v>2907001</v>
          </cell>
          <cell r="D191" t="str">
            <v xml:space="preserve">UND </v>
          </cell>
          <cell r="E191">
            <v>66784.02</v>
          </cell>
        </row>
        <row r="192">
          <cell r="C192">
            <v>1220022</v>
          </cell>
          <cell r="D192" t="str">
            <v xml:space="preserve">UND </v>
          </cell>
          <cell r="E192">
            <v>61730.12</v>
          </cell>
        </row>
        <row r="193">
          <cell r="C193">
            <v>1330041</v>
          </cell>
          <cell r="D193" t="str">
            <v xml:space="preserve">UND </v>
          </cell>
          <cell r="E193">
            <v>0</v>
          </cell>
        </row>
        <row r="194">
          <cell r="C194">
            <v>1330040</v>
          </cell>
          <cell r="D194" t="str">
            <v xml:space="preserve">UND </v>
          </cell>
          <cell r="E194">
            <v>123.19</v>
          </cell>
        </row>
        <row r="195">
          <cell r="C195">
            <v>1330042</v>
          </cell>
          <cell r="D195" t="str">
            <v xml:space="preserve">UND </v>
          </cell>
          <cell r="E195">
            <v>144.19999999999999</v>
          </cell>
        </row>
        <row r="196">
          <cell r="C196">
            <v>1220020</v>
          </cell>
          <cell r="D196" t="str">
            <v xml:space="preserve">UND </v>
          </cell>
          <cell r="E196">
            <v>8200</v>
          </cell>
        </row>
        <row r="197">
          <cell r="C197">
            <v>1370027</v>
          </cell>
          <cell r="D197" t="str">
            <v xml:space="preserve">UND </v>
          </cell>
          <cell r="E197">
            <v>3530.34</v>
          </cell>
        </row>
        <row r="198">
          <cell r="C198">
            <v>1340010</v>
          </cell>
          <cell r="D198" t="str">
            <v xml:space="preserve">UND </v>
          </cell>
          <cell r="E198">
            <v>306.42</v>
          </cell>
        </row>
        <row r="199">
          <cell r="C199">
            <v>1370026</v>
          </cell>
          <cell r="D199" t="str">
            <v xml:space="preserve">UND </v>
          </cell>
          <cell r="E199">
            <v>10084.84</v>
          </cell>
        </row>
        <row r="200">
          <cell r="C200">
            <v>1330085</v>
          </cell>
          <cell r="D200" t="str">
            <v xml:space="preserve">UND </v>
          </cell>
          <cell r="E200">
            <v>128.9</v>
          </cell>
        </row>
        <row r="201">
          <cell r="C201">
            <v>1310031</v>
          </cell>
          <cell r="D201" t="str">
            <v xml:space="preserve">UND </v>
          </cell>
          <cell r="E201">
            <v>24980</v>
          </cell>
        </row>
        <row r="202">
          <cell r="C202">
            <v>1350011</v>
          </cell>
          <cell r="D202" t="str">
            <v xml:space="preserve">UND </v>
          </cell>
          <cell r="E202">
            <v>1410.05</v>
          </cell>
        </row>
        <row r="203">
          <cell r="C203">
            <v>1310054</v>
          </cell>
          <cell r="D203" t="str">
            <v xml:space="preserve">UND </v>
          </cell>
          <cell r="E203">
            <v>687.11</v>
          </cell>
        </row>
        <row r="204">
          <cell r="C204">
            <v>1370036</v>
          </cell>
          <cell r="D204" t="str">
            <v xml:space="preserve">UND </v>
          </cell>
          <cell r="E204">
            <v>186.18</v>
          </cell>
        </row>
        <row r="205">
          <cell r="C205">
            <v>1350012</v>
          </cell>
          <cell r="D205" t="str">
            <v xml:space="preserve">UND </v>
          </cell>
          <cell r="E205">
            <v>1379.85</v>
          </cell>
        </row>
        <row r="206">
          <cell r="C206">
            <v>1310065</v>
          </cell>
          <cell r="D206" t="str">
            <v xml:space="preserve">UND </v>
          </cell>
          <cell r="E206">
            <v>983.86</v>
          </cell>
        </row>
        <row r="207">
          <cell r="C207">
            <v>1320011</v>
          </cell>
          <cell r="D207" t="str">
            <v xml:space="preserve">UND </v>
          </cell>
          <cell r="E207">
            <v>1132.75</v>
          </cell>
        </row>
        <row r="208">
          <cell r="C208">
            <v>1230018</v>
          </cell>
          <cell r="D208" t="str">
            <v xml:space="preserve">UND </v>
          </cell>
          <cell r="E208">
            <v>72800.240000000005</v>
          </cell>
        </row>
        <row r="209">
          <cell r="C209">
            <v>1350013</v>
          </cell>
          <cell r="D209" t="str">
            <v xml:space="preserve">UND </v>
          </cell>
          <cell r="E209">
            <v>1101.8699999999999</v>
          </cell>
        </row>
        <row r="210">
          <cell r="C210">
            <v>1310034</v>
          </cell>
          <cell r="D210" t="str">
            <v xml:space="preserve">UND </v>
          </cell>
          <cell r="E210">
            <v>748.88</v>
          </cell>
        </row>
        <row r="211">
          <cell r="C211">
            <v>1230019</v>
          </cell>
          <cell r="D211" t="str">
            <v xml:space="preserve">UND </v>
          </cell>
          <cell r="E211">
            <v>48500.2</v>
          </cell>
        </row>
        <row r="212">
          <cell r="C212">
            <v>1230020</v>
          </cell>
          <cell r="D212" t="str">
            <v xml:space="preserve">UND </v>
          </cell>
          <cell r="E212">
            <v>40766.89</v>
          </cell>
        </row>
        <row r="213">
          <cell r="C213">
            <v>1350014</v>
          </cell>
          <cell r="D213" t="str">
            <v xml:space="preserve">UND </v>
          </cell>
          <cell r="E213">
            <v>1101.99</v>
          </cell>
        </row>
        <row r="214">
          <cell r="C214">
            <v>1310035</v>
          </cell>
          <cell r="D214" t="str">
            <v xml:space="preserve">UND </v>
          </cell>
          <cell r="E214">
            <v>715.99</v>
          </cell>
        </row>
        <row r="215">
          <cell r="C215">
            <v>2913002</v>
          </cell>
          <cell r="D215" t="str">
            <v xml:space="preserve">UND </v>
          </cell>
          <cell r="E215">
            <v>13347.78</v>
          </cell>
        </row>
        <row r="216">
          <cell r="C216">
            <v>2916002</v>
          </cell>
          <cell r="D216" t="str">
            <v xml:space="preserve">UND </v>
          </cell>
          <cell r="E216">
            <v>12807.31</v>
          </cell>
        </row>
        <row r="217">
          <cell r="C217">
            <v>1270006</v>
          </cell>
          <cell r="D217" t="str">
            <v xml:space="preserve">UND </v>
          </cell>
          <cell r="E217">
            <v>29640</v>
          </cell>
        </row>
        <row r="218">
          <cell r="C218">
            <v>2913003</v>
          </cell>
          <cell r="D218" t="str">
            <v xml:space="preserve">UND </v>
          </cell>
          <cell r="E218">
            <v>18983.7</v>
          </cell>
        </row>
        <row r="219">
          <cell r="C219">
            <v>2916003</v>
          </cell>
          <cell r="D219" t="str">
            <v xml:space="preserve">UND </v>
          </cell>
          <cell r="E219">
            <v>18215.03</v>
          </cell>
        </row>
        <row r="220">
          <cell r="C220">
            <v>1121005</v>
          </cell>
          <cell r="D220" t="str">
            <v xml:space="preserve">UND </v>
          </cell>
          <cell r="E220">
            <v>22495.919999999998</v>
          </cell>
        </row>
        <row r="221">
          <cell r="C221">
            <v>2913004</v>
          </cell>
          <cell r="D221" t="str">
            <v xml:space="preserve">UND </v>
          </cell>
          <cell r="E221">
            <v>6403.66</v>
          </cell>
        </row>
        <row r="222">
          <cell r="C222">
            <v>2913005</v>
          </cell>
          <cell r="D222" t="str">
            <v xml:space="preserve">UND </v>
          </cell>
          <cell r="E222">
            <v>3201.83</v>
          </cell>
        </row>
        <row r="223">
          <cell r="C223">
            <v>1330044</v>
          </cell>
          <cell r="D223" t="str">
            <v xml:space="preserve">UND </v>
          </cell>
          <cell r="E223">
            <v>144.18</v>
          </cell>
        </row>
        <row r="224">
          <cell r="C224">
            <v>1330054</v>
          </cell>
          <cell r="D224" t="str">
            <v xml:space="preserve">UND </v>
          </cell>
          <cell r="E224">
            <v>86.88</v>
          </cell>
        </row>
        <row r="225">
          <cell r="C225">
            <v>2913006</v>
          </cell>
          <cell r="D225" t="str">
            <v xml:space="preserve">UND </v>
          </cell>
          <cell r="E225">
            <v>4553.76</v>
          </cell>
        </row>
        <row r="226">
          <cell r="C226">
            <v>1310039</v>
          </cell>
          <cell r="D226" t="str">
            <v xml:space="preserve">UND </v>
          </cell>
          <cell r="E226">
            <v>889</v>
          </cell>
        </row>
        <row r="227">
          <cell r="C227">
            <v>1330056</v>
          </cell>
          <cell r="D227" t="str">
            <v xml:space="preserve">UND </v>
          </cell>
          <cell r="E227">
            <v>87.29</v>
          </cell>
        </row>
        <row r="228">
          <cell r="C228">
            <v>1310049</v>
          </cell>
          <cell r="D228" t="str">
            <v xml:space="preserve">UND </v>
          </cell>
          <cell r="E228">
            <v>889</v>
          </cell>
        </row>
        <row r="229">
          <cell r="C229">
            <v>1330049</v>
          </cell>
          <cell r="D229" t="str">
            <v xml:space="preserve">UND </v>
          </cell>
          <cell r="E229">
            <v>88.1</v>
          </cell>
        </row>
        <row r="230">
          <cell r="C230">
            <v>1330048</v>
          </cell>
          <cell r="D230" t="str">
            <v xml:space="preserve">UND </v>
          </cell>
          <cell r="E230">
            <v>112</v>
          </cell>
        </row>
        <row r="231">
          <cell r="C231">
            <v>1310055</v>
          </cell>
          <cell r="D231" t="str">
            <v xml:space="preserve">UND </v>
          </cell>
          <cell r="E231">
            <v>889</v>
          </cell>
        </row>
        <row r="232">
          <cell r="C232">
            <v>1330074</v>
          </cell>
          <cell r="D232" t="str">
            <v xml:space="preserve">MTR </v>
          </cell>
          <cell r="E232">
            <v>77</v>
          </cell>
        </row>
        <row r="233">
          <cell r="C233">
            <v>1330081</v>
          </cell>
          <cell r="D233" t="str">
            <v xml:space="preserve">MTR </v>
          </cell>
          <cell r="E233">
            <v>136.03</v>
          </cell>
        </row>
        <row r="234">
          <cell r="C234">
            <v>1330062</v>
          </cell>
          <cell r="D234" t="str">
            <v xml:space="preserve">MTR </v>
          </cell>
          <cell r="E234">
            <v>245</v>
          </cell>
        </row>
        <row r="235">
          <cell r="C235">
            <v>1330059</v>
          </cell>
          <cell r="D235" t="str">
            <v xml:space="preserve">MTR </v>
          </cell>
          <cell r="E235">
            <v>82.1</v>
          </cell>
        </row>
        <row r="236">
          <cell r="C236">
            <v>1330047</v>
          </cell>
          <cell r="D236" t="str">
            <v xml:space="preserve">MTR </v>
          </cell>
          <cell r="E236">
            <v>82.23</v>
          </cell>
        </row>
        <row r="237">
          <cell r="C237">
            <v>1330057</v>
          </cell>
          <cell r="D237" t="str">
            <v xml:space="preserve">MTR </v>
          </cell>
          <cell r="E237">
            <v>82.66</v>
          </cell>
        </row>
        <row r="238">
          <cell r="C238">
            <v>1330045</v>
          </cell>
          <cell r="D238" t="str">
            <v xml:space="preserve">MTR </v>
          </cell>
          <cell r="E238">
            <v>106.77</v>
          </cell>
        </row>
        <row r="239">
          <cell r="C239">
            <v>1330080</v>
          </cell>
          <cell r="D239" t="str">
            <v xml:space="preserve">MTR </v>
          </cell>
          <cell r="E239">
            <v>144.05000000000001</v>
          </cell>
        </row>
        <row r="240">
          <cell r="C240">
            <v>1330046</v>
          </cell>
          <cell r="D240" t="str">
            <v xml:space="preserve">MTR </v>
          </cell>
          <cell r="E240">
            <v>77</v>
          </cell>
        </row>
        <row r="241">
          <cell r="C241">
            <v>1330087</v>
          </cell>
          <cell r="D241" t="str">
            <v xml:space="preserve">MTR </v>
          </cell>
          <cell r="E241">
            <v>144.44999999999999</v>
          </cell>
        </row>
        <row r="242">
          <cell r="C242">
            <v>1310056</v>
          </cell>
          <cell r="D242" t="str">
            <v xml:space="preserve">MTR </v>
          </cell>
          <cell r="E242">
            <v>889</v>
          </cell>
        </row>
        <row r="243">
          <cell r="C243">
            <v>1310057</v>
          </cell>
          <cell r="D243" t="str">
            <v xml:space="preserve">MTR </v>
          </cell>
          <cell r="E243">
            <v>889</v>
          </cell>
        </row>
        <row r="244">
          <cell r="C244">
            <v>1370039</v>
          </cell>
          <cell r="D244" t="str">
            <v xml:space="preserve">MTR </v>
          </cell>
          <cell r="E244">
            <v>394.76</v>
          </cell>
        </row>
        <row r="245">
          <cell r="C245">
            <v>1330084</v>
          </cell>
          <cell r="D245" t="str">
            <v xml:space="preserve">MTR </v>
          </cell>
          <cell r="E245">
            <v>249.5</v>
          </cell>
        </row>
        <row r="246">
          <cell r="C246">
            <v>1230022</v>
          </cell>
          <cell r="D246" t="str">
            <v xml:space="preserve">MTR </v>
          </cell>
          <cell r="E246">
            <v>0</v>
          </cell>
        </row>
        <row r="247">
          <cell r="C247">
            <v>1370040</v>
          </cell>
          <cell r="D247" t="str">
            <v xml:space="preserve">MTR </v>
          </cell>
          <cell r="E247">
            <v>0</v>
          </cell>
        </row>
        <row r="248">
          <cell r="C248">
            <v>2903004</v>
          </cell>
          <cell r="D248" t="str">
            <v xml:space="preserve">MTR </v>
          </cell>
          <cell r="E248">
            <v>15399.3</v>
          </cell>
        </row>
        <row r="249">
          <cell r="C249">
            <v>1122010</v>
          </cell>
          <cell r="D249" t="str">
            <v xml:space="preserve">MTR </v>
          </cell>
          <cell r="E249">
            <v>15399.3</v>
          </cell>
        </row>
        <row r="250">
          <cell r="C250">
            <v>2903005</v>
          </cell>
          <cell r="D250" t="str">
            <v xml:space="preserve">MTR </v>
          </cell>
          <cell r="E250">
            <v>16000</v>
          </cell>
        </row>
        <row r="251">
          <cell r="C251">
            <v>1122011</v>
          </cell>
          <cell r="D251" t="str">
            <v xml:space="preserve">MTR </v>
          </cell>
          <cell r="E251">
            <v>16000</v>
          </cell>
        </row>
        <row r="252">
          <cell r="C252">
            <v>1330051</v>
          </cell>
          <cell r="D252" t="str">
            <v xml:space="preserve">MTR </v>
          </cell>
          <cell r="E252">
            <v>119.7</v>
          </cell>
        </row>
        <row r="253">
          <cell r="C253">
            <v>1330078</v>
          </cell>
          <cell r="D253" t="str">
            <v xml:space="preserve">MTR </v>
          </cell>
          <cell r="E253">
            <v>155.30000000000001</v>
          </cell>
        </row>
        <row r="254">
          <cell r="C254">
            <v>2903006</v>
          </cell>
          <cell r="D254" t="str">
            <v xml:space="preserve">MTR </v>
          </cell>
          <cell r="E254">
            <v>11840.43</v>
          </cell>
        </row>
        <row r="255">
          <cell r="C255">
            <v>1370041</v>
          </cell>
          <cell r="D255" t="str">
            <v xml:space="preserve">MTR </v>
          </cell>
          <cell r="E255">
            <v>483.66</v>
          </cell>
        </row>
        <row r="256">
          <cell r="C256">
            <v>1310059</v>
          </cell>
          <cell r="D256" t="str">
            <v xml:space="preserve">MTR </v>
          </cell>
          <cell r="E256">
            <v>889</v>
          </cell>
        </row>
        <row r="257">
          <cell r="C257">
            <v>1330076</v>
          </cell>
          <cell r="D257" t="str">
            <v xml:space="preserve">MTR </v>
          </cell>
          <cell r="E257">
            <v>77</v>
          </cell>
        </row>
        <row r="258">
          <cell r="C258">
            <v>1310060</v>
          </cell>
          <cell r="D258" t="str">
            <v xml:space="preserve">MTR </v>
          </cell>
          <cell r="E258">
            <v>889</v>
          </cell>
        </row>
        <row r="259">
          <cell r="C259">
            <v>1330077</v>
          </cell>
          <cell r="D259" t="str">
            <v xml:space="preserve">MTR </v>
          </cell>
          <cell r="E259">
            <v>77</v>
          </cell>
        </row>
        <row r="260">
          <cell r="C260">
            <v>1330066</v>
          </cell>
          <cell r="D260" t="str">
            <v xml:space="preserve">MTR </v>
          </cell>
          <cell r="E260">
            <v>81.98</v>
          </cell>
        </row>
        <row r="261">
          <cell r="C261">
            <v>1330065</v>
          </cell>
          <cell r="D261" t="str">
            <v xml:space="preserve">MTR </v>
          </cell>
          <cell r="E261">
            <v>144.44999999999999</v>
          </cell>
        </row>
        <row r="262">
          <cell r="C262">
            <v>1330082</v>
          </cell>
          <cell r="D262" t="str">
            <v xml:space="preserve">MTR </v>
          </cell>
          <cell r="E262">
            <v>135</v>
          </cell>
        </row>
        <row r="263">
          <cell r="C263">
            <v>1330083</v>
          </cell>
          <cell r="D263" t="str">
            <v xml:space="preserve">MTR </v>
          </cell>
          <cell r="E263">
            <v>76.89</v>
          </cell>
        </row>
        <row r="264">
          <cell r="C264">
            <v>2903007</v>
          </cell>
          <cell r="D264" t="str">
            <v xml:space="preserve">MTR </v>
          </cell>
          <cell r="E264">
            <v>10370.99</v>
          </cell>
        </row>
        <row r="265">
          <cell r="C265">
            <v>2903008</v>
          </cell>
          <cell r="D265" t="str">
            <v xml:space="preserve">MTR </v>
          </cell>
          <cell r="E265">
            <v>11928.53</v>
          </cell>
        </row>
        <row r="266">
          <cell r="C266">
            <v>1220004</v>
          </cell>
          <cell r="D266" t="str">
            <v xml:space="preserve">MTR </v>
          </cell>
          <cell r="E266">
            <v>4632</v>
          </cell>
        </row>
        <row r="267">
          <cell r="C267">
            <v>1270007</v>
          </cell>
          <cell r="D267" t="str">
            <v xml:space="preserve">MTR </v>
          </cell>
          <cell r="E267">
            <v>163580.81</v>
          </cell>
        </row>
        <row r="268">
          <cell r="C268">
            <v>1270008</v>
          </cell>
          <cell r="D268" t="str">
            <v xml:space="preserve">UND </v>
          </cell>
          <cell r="E268">
            <v>8557.2999999999993</v>
          </cell>
        </row>
        <row r="269">
          <cell r="C269">
            <v>1260023</v>
          </cell>
          <cell r="D269" t="str">
            <v xml:space="preserve">UND </v>
          </cell>
          <cell r="E269">
            <v>122497.84</v>
          </cell>
        </row>
        <row r="270">
          <cell r="C270">
            <v>1230023</v>
          </cell>
          <cell r="D270" t="str">
            <v xml:space="preserve">UND </v>
          </cell>
          <cell r="E270">
            <v>41800</v>
          </cell>
        </row>
        <row r="271">
          <cell r="C271">
            <v>1370047</v>
          </cell>
          <cell r="D271" t="str">
            <v xml:space="preserve">UND </v>
          </cell>
          <cell r="E271">
            <v>5457.84</v>
          </cell>
        </row>
        <row r="272">
          <cell r="C272">
            <v>1330088</v>
          </cell>
          <cell r="D272" t="str">
            <v xml:space="preserve">KG  </v>
          </cell>
          <cell r="E272">
            <v>267</v>
          </cell>
        </row>
        <row r="273">
          <cell r="C273">
            <v>1330089</v>
          </cell>
          <cell r="D273" t="str">
            <v xml:space="preserve">KG  </v>
          </cell>
          <cell r="E273">
            <v>82.39</v>
          </cell>
        </row>
        <row r="274">
          <cell r="C274">
            <v>1330090</v>
          </cell>
          <cell r="D274" t="str">
            <v xml:space="preserve">KG  </v>
          </cell>
          <cell r="E274">
            <v>144.44999999999999</v>
          </cell>
        </row>
        <row r="275">
          <cell r="C275">
            <v>1340015</v>
          </cell>
          <cell r="D275" t="str">
            <v xml:space="preserve">KG  </v>
          </cell>
          <cell r="E275">
            <v>476</v>
          </cell>
        </row>
        <row r="276">
          <cell r="C276">
            <v>1340016</v>
          </cell>
          <cell r="D276" t="str">
            <v xml:space="preserve">KG  </v>
          </cell>
          <cell r="E276">
            <v>550</v>
          </cell>
        </row>
        <row r="277">
          <cell r="C277">
            <v>1131003</v>
          </cell>
          <cell r="D277" t="str">
            <v xml:space="preserve">KG  </v>
          </cell>
          <cell r="E277">
            <v>0.01</v>
          </cell>
        </row>
        <row r="278">
          <cell r="C278">
            <v>1131004</v>
          </cell>
          <cell r="D278"/>
          <cell r="E278">
            <v>0.01</v>
          </cell>
        </row>
        <row r="279">
          <cell r="C279">
            <v>1310062</v>
          </cell>
          <cell r="D279"/>
          <cell r="E279">
            <v>1075.72</v>
          </cell>
        </row>
        <row r="280">
          <cell r="C280">
            <v>1350016</v>
          </cell>
          <cell r="D280"/>
          <cell r="E280">
            <v>1434.95</v>
          </cell>
        </row>
        <row r="281">
          <cell r="C281">
            <v>1230024</v>
          </cell>
          <cell r="D281"/>
          <cell r="E281">
            <v>65400</v>
          </cell>
        </row>
        <row r="282">
          <cell r="C282">
            <v>1350017</v>
          </cell>
          <cell r="D282"/>
          <cell r="E282">
            <v>1459.62</v>
          </cell>
        </row>
        <row r="283">
          <cell r="C283">
            <v>1340017</v>
          </cell>
          <cell r="D283"/>
          <cell r="E283">
            <v>57</v>
          </cell>
        </row>
        <row r="284">
          <cell r="C284">
            <v>1310063</v>
          </cell>
          <cell r="D284"/>
          <cell r="E284">
            <v>573</v>
          </cell>
        </row>
        <row r="285">
          <cell r="C285">
            <v>1210009</v>
          </cell>
          <cell r="D285"/>
          <cell r="E285">
            <v>10645.54</v>
          </cell>
        </row>
        <row r="286">
          <cell r="C286">
            <v>1370048</v>
          </cell>
          <cell r="D286"/>
          <cell r="E286">
            <v>1897</v>
          </cell>
        </row>
        <row r="287">
          <cell r="C287">
            <v>1370049</v>
          </cell>
          <cell r="D287"/>
          <cell r="E287">
            <v>0</v>
          </cell>
        </row>
        <row r="288">
          <cell r="C288">
            <v>1230025</v>
          </cell>
          <cell r="D288"/>
          <cell r="E288">
            <v>95714.67</v>
          </cell>
        </row>
        <row r="289">
          <cell r="C289">
            <v>1230026</v>
          </cell>
          <cell r="D289"/>
          <cell r="E289">
            <v>123823.19</v>
          </cell>
        </row>
        <row r="290">
          <cell r="C290">
            <v>1270010</v>
          </cell>
          <cell r="D290"/>
          <cell r="E290">
            <v>79763.009999999995</v>
          </cell>
        </row>
        <row r="291">
          <cell r="C291">
            <v>1250008</v>
          </cell>
          <cell r="D291"/>
          <cell r="E291">
            <v>71910.080000000002</v>
          </cell>
        </row>
        <row r="292">
          <cell r="C292">
            <v>1370051</v>
          </cell>
          <cell r="D292"/>
          <cell r="E292">
            <v>0</v>
          </cell>
        </row>
        <row r="293">
          <cell r="C293">
            <v>1320013</v>
          </cell>
          <cell r="D293"/>
          <cell r="E293">
            <v>0</v>
          </cell>
        </row>
        <row r="294">
          <cell r="C294">
            <v>1310068</v>
          </cell>
          <cell r="D294"/>
          <cell r="E294">
            <v>916</v>
          </cell>
        </row>
        <row r="295">
          <cell r="C295">
            <v>1350018</v>
          </cell>
          <cell r="D295"/>
          <cell r="E295">
            <v>3281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áfico1"/>
      <sheetName val="MATERIAS PRIMAS"/>
      <sheetName val="MATERIAL DE EMPAQUE"/>
      <sheetName val="Gráfico9"/>
      <sheetName val="Gráfico10"/>
      <sheetName val="Gráfico11"/>
      <sheetName val="Gráfico12"/>
      <sheetName val="Gráfico13"/>
      <sheetName val="MP OCT"/>
      <sheetName val="ME OCT"/>
      <sheetName val="EXPLOSION ME DIC 2022"/>
      <sheetName val="D1"/>
      <sheetName val="FAZAN"/>
      <sheetName val="MB FEB"/>
      <sheetName val="CERVECERO 500"/>
      <sheetName val="CERVECERO 750"/>
      <sheetName val="CERVECERO 1300"/>
      <sheetName val="CERVECERO 1500"/>
      <sheetName val="SCHON CERV PREM X 50 G"/>
      <sheetName val="OFTA CERV PREM X 6 UND"/>
      <sheetName val="SCHA JUMBO X 1200 G"/>
      <sheetName val="SCHA JUMBO X 450G exito"/>
      <sheetName val="SCHA JUMBO X 450G fazán"/>
      <sheetName val="MINI PERRO X 1.0"/>
      <sheetName val="SCHA PERRO X 480 G - 12 UNDS"/>
      <sheetName val="SCHA S. PERRO X 500 "/>
      <sheetName val="SUPER PERRO X 2500"/>
      <sheetName val="SUPER PERRO X 2500 RX"/>
      <sheetName val="CHRZ CON TERNERA 110 G 2 UND"/>
      <sheetName val="CHORIZO CON TERNERA 220"/>
      <sheetName val="CHORIZO CON TERNERA 440 G FZAN"/>
      <sheetName val="CHORIZO CON TERNERA 440  G  EXI"/>
      <sheetName val="CHORIZO CON TERNERA 1100"/>
      <sheetName val="CHORIZO DE CERDO 100 "/>
      <sheetName val="CHORIZO DE CERDO 250 EXITO"/>
      <sheetName val="CHORIZO DE CERDO 250 FAZÁN"/>
      <sheetName val="CHORIZO DE CERDO 400 g"/>
      <sheetName val="CHORIZO DE CERDO 1000"/>
      <sheetName val="CHORIZO SANTARROSANO x 300"/>
      <sheetName val="CHORIZO SANTARROSANO x 130 g"/>
      <sheetName val="CHORIZO SANTARROSANO x 65 g"/>
      <sheetName val="PROPUESTA CERVECERITO"/>
      <sheetName val="CHORIZO SANTARROSANO x 480 "/>
      <sheetName val="CHORIZO SANTARROSANO x 1200"/>
      <sheetName val="CHORIZO SANTA COCTEL x 300"/>
      <sheetName val="CHORIZO SANTA COCTEL x 1000"/>
      <sheetName val="CHORIZO SANTA CORTO 480 "/>
      <sheetName val="CHORIZO SANTA LARGO x 1200 "/>
      <sheetName val="SCHA INSTITU x 1200"/>
      <sheetName val="JMN PREMIUM FZAN 120 G "/>
      <sheetName val="JMN PREMIUM EXITO 200 G"/>
      <sheetName val="JMN PREMIUM FZAN 200 G"/>
      <sheetName val="JMN PREMIUM EXITO 220 G"/>
      <sheetName val="JMN PREMIUM 400 G"/>
      <sheetName val="HSA 450 G - 5 UNDS"/>
      <sheetName val="HSA 900 G - 10 UNDS"/>
      <sheetName val="HSA cja 2700 G - 30 UNDS"/>
      <sheetName val="HSA LOS PERRITOS"/>
      <sheetName val="ALTERNATIVA HSAS"/>
      <sheetName val="HSA POLLO 1425 X 15 "/>
      <sheetName val="HSA POLLO 1500 X10"/>
      <sheetName val="HSA POLLO 750 X5"/>
      <sheetName val="SCHA DESAYUNO 115 G - 5 UNDS"/>
      <sheetName val="SCHA DESAYUNO EXI x 240 x 7 "/>
      <sheetName val="SCHA DESAYUNO FZA x 240 x 7 UND"/>
      <sheetName val="SCHA DESAYUNO 480 G -14 UND"/>
      <sheetName val="PICK UP MILANESA"/>
      <sheetName val="MNESA POLLO 4 UND BRASSET V1."/>
      <sheetName val="MNESA POLLO 4 UND BRASSET V2."/>
      <sheetName val="SCHA DESAYUNO 960 G"/>
      <sheetName val="SCHA MANGUERA 560 G - 6 UND"/>
      <sheetName val="SCHA MANGUERA 1120G - 12UND"/>
      <sheetName val="MNESA APANADA 1800 G 15 UND"/>
      <sheetName val="MDELA FAIZAN  225 G 14 U CC"/>
      <sheetName val="EXPLORACIÓN LUCTA"/>
      <sheetName val="MEGA COMBO FAIZAN 675 G"/>
      <sheetName val="MDELA COLPAG X 250 UNDS"/>
      <sheetName val="MNESA APANADA 600 G 5 UNDS"/>
      <sheetName val="MNESA APANADA 240 G 2 UNDS"/>
      <sheetName val="SCHON AUTENTICO X 750 G"/>
      <sheetName val="SCHON AUTENTICO X 225 G"/>
      <sheetName val="MDELA FAIZAN  225 G 14 U SC"/>
      <sheetName val="SCHA CLÁSICA   225 G 9 UND"/>
      <sheetName val="SCHA CLÁSICA   450 G 18 UND"/>
      <sheetName val="SCHON POLLO BRAKEL X 500"/>
      <sheetName val="SCHON POLLO X 225 G"/>
      <sheetName val="MORTADELA JAMON X 225 "/>
      <sheetName val="CERVECERO FZAN  225"/>
      <sheetName val="MEGA COMBO FAIZAN 900 G NUEVO"/>
      <sheetName val="MEGA COMBO FAIZAN 675G X3 "/>
      <sheetName val="JMN SDW  INST  500 G 28 U "/>
      <sheetName val="JMN SDW  450 G 28 U "/>
      <sheetName val="JMN SDW  EXITO X 450 "/>
      <sheetName val="JMN SDW  FZAN X 225 "/>
      <sheetName val="JMN SDW  EXITO X 225 "/>
      <sheetName val="SCHON TRAD VIANDÉ X 500 "/>
      <sheetName val="SCHON POLLO BRAKEL X 225"/>
      <sheetName val="MDELA VIANDÉ X 225 G - 17 UND S"/>
      <sheetName val="SCHON CERV VIANDÉ X 225 G"/>
      <sheetName val="MDELA VIANDÉ X 225 G 14 UND "/>
      <sheetName val="PROPUESTA MDELA ITALIAN"/>
      <sheetName val="SCHA VIANDÉ   225 G 8 UNDS"/>
      <sheetName val="SCHA VIANDÉ 450 G - 16 UNDS"/>
      <sheetName val="SCHA VIANDÉ 400 G "/>
      <sheetName val="SÚPER COMBO VIANDÉ 900 G"/>
      <sheetName val="Hoja6"/>
      <sheetName val="Hoja7"/>
      <sheetName val="JMN PREM VIANDÉ 300 G - 15"/>
      <sheetName val="PROPUESTA JMN SANDUCHE"/>
      <sheetName val="MPFEB"/>
      <sheetName val="JMN PREM VIANDÉ 300 G - 15 V2."/>
      <sheetName val="PERRO CALIENTE VIANDE x 240G"/>
      <sheetName val="SUPER PERRO VIANDE X 400G"/>
      <sheetName val="SUPER PERRO VIANDE X 400G RX"/>
      <sheetName val="SALCHICHA UNINORTE"/>
      <sheetName val="SALCHICHA LONG"/>
      <sheetName val="CHORIZO TERNERA VIANDE"/>
      <sheetName val="CHORIZO SANTARRO VIANDE"/>
      <sheetName val="CHORIZO ANTIOQUEÑO VIANDE"/>
      <sheetName val="TOCINETA X 150 GRS FZAN"/>
      <sheetName val="TOCINETA X 1000 GRS FZAN"/>
      <sheetName val="TOCINETA X 150 RX"/>
      <sheetName val="TOCINETA X 1000 GRS RX"/>
      <sheetName val="SNACK  CERV PREM X 50 G "/>
      <sheetName val="OFTA SNACK  PREM X 3 UND"/>
      <sheetName val="SCHA SUIZA X 9"/>
      <sheetName val="PERNIL DE CERDO "/>
      <sheetName val="TOCINO BARR 1KG"/>
      <sheetName val="TOCINO PAPADA 1KG"/>
      <sheetName val="TOCINO BARRIGUERO 1KG"/>
      <sheetName val="CIF Y PV"/>
      <sheetName val="TD EXP ME"/>
      <sheetName val="Gráfico14"/>
      <sheetName val="PERNIL DE CERDO"/>
      <sheetName val="Hoja8"/>
      <sheetName val="JMN SDW  450 G 24 U "/>
      <sheetName val="EXPLOSIÓN ME DIC 2022"/>
      <sheetName val="SCHA AMERICANA QUESUDOS"/>
      <sheetName val="SCHA AMERICANA SAN ANDRÉS"/>
      <sheetName val="san andrés"/>
      <sheetName val="REPROCESO MORTADELA"/>
      <sheetName val="HUMO"/>
      <sheetName val="TOCINETA"/>
      <sheetName val="TOCINETA PP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1">
          <cell r="G1" t="str">
            <v>Septiembre</v>
          </cell>
        </row>
        <row r="2">
          <cell r="F2" t="str">
            <v xml:space="preserve">ENE-COP/Kg </v>
          </cell>
          <cell r="G2" t="str">
            <v>ENE-COP/APP</v>
          </cell>
        </row>
        <row r="4">
          <cell r="F4" t="str">
            <v xml:space="preserve">ENE-COP/UMB </v>
          </cell>
          <cell r="G4" t="str">
            <v>ENE-COP/APP</v>
          </cell>
        </row>
      </sheetData>
      <sheetData sheetId="13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 refreshError="1">
        <row r="2">
          <cell r="B2" t="str">
            <v>SUPRA MEAT F451</v>
          </cell>
          <cell r="C2">
            <v>121007</v>
          </cell>
        </row>
        <row r="3">
          <cell r="B3" t="str">
            <v xml:space="preserve">PIEL DE POLLO                           </v>
          </cell>
          <cell r="C3">
            <v>1111002</v>
          </cell>
        </row>
        <row r="4">
          <cell r="B4" t="str">
            <v>PASTA DE POLLO IMPORTADA PREMIUM</v>
          </cell>
          <cell r="C4">
            <v>1112001</v>
          </cell>
        </row>
        <row r="5">
          <cell r="B5" t="str">
            <v>PASTA DE POLLO ESTANDAR</v>
          </cell>
          <cell r="C5">
            <v>1112002</v>
          </cell>
        </row>
        <row r="6">
          <cell r="B6" t="str">
            <v xml:space="preserve">RECORTE DE PECHUGA 95 5 SIN PIEL        </v>
          </cell>
          <cell r="C6">
            <v>1112005</v>
          </cell>
        </row>
        <row r="7">
          <cell r="B7" t="str">
            <v>TOCINO</v>
          </cell>
          <cell r="C7">
            <v>1121001</v>
          </cell>
        </row>
        <row r="8">
          <cell r="B8" t="str">
            <v>GRASA EMPELLA</v>
          </cell>
          <cell r="C8">
            <v>1121003</v>
          </cell>
        </row>
        <row r="9">
          <cell r="B9" t="str">
            <v>PIEL DE CERDO DESGRASADA</v>
          </cell>
          <cell r="C9">
            <v>1121004</v>
          </cell>
        </row>
        <row r="10">
          <cell r="B10" t="str">
            <v>TOCINO BARRIGUERO PARA INYECCION</v>
          </cell>
          <cell r="C10">
            <v>1121005</v>
          </cell>
        </row>
        <row r="11">
          <cell r="B11" t="str">
            <v>TOCINO PAPADA PARA INYECCION</v>
          </cell>
          <cell r="C11">
            <v>1121006</v>
          </cell>
        </row>
        <row r="12">
          <cell r="B12" t="str">
            <v>TOCINO FORANEO</v>
          </cell>
          <cell r="C12">
            <v>1121009</v>
          </cell>
        </row>
        <row r="13">
          <cell r="B13" t="str">
            <v>BRAZUELO DE CERDO NACIONAL</v>
          </cell>
          <cell r="C13">
            <v>1122001</v>
          </cell>
        </row>
        <row r="14">
          <cell r="B14" t="str">
            <v>PIERNA DE CERDO</v>
          </cell>
          <cell r="C14">
            <v>1122002</v>
          </cell>
        </row>
        <row r="15">
          <cell r="B15" t="str">
            <v xml:space="preserve">RECORTE CERDO 80/20 NAL EMULSIFICADOS </v>
          </cell>
          <cell r="C15">
            <v>1122004</v>
          </cell>
        </row>
        <row r="16">
          <cell r="B16" t="str">
            <v>BRAZUELO DE CERDO IMPORTADO</v>
          </cell>
          <cell r="C16">
            <v>1122006</v>
          </cell>
        </row>
        <row r="17">
          <cell r="B17" t="str">
            <v>RECORTE DE CERDO 80/20 IMPORTADO</v>
          </cell>
          <cell r="C17">
            <v>1122007</v>
          </cell>
        </row>
        <row r="18">
          <cell r="B18" t="str">
            <v>RECORTE CERDO 80/20 NAL MEZCLADOS</v>
          </cell>
          <cell r="C18">
            <v>1122008</v>
          </cell>
        </row>
        <row r="19">
          <cell r="B19" t="str">
            <v>BRAZUELO DE CERDO NACIONAL (FORANEO)</v>
          </cell>
          <cell r="C19">
            <v>1122010</v>
          </cell>
        </row>
        <row r="20">
          <cell r="B20" t="str">
            <v>PIERNA DE CERDO NACIONAL (FORANEA)</v>
          </cell>
          <cell r="C20">
            <v>1122011</v>
          </cell>
        </row>
        <row r="21">
          <cell r="B21" t="str">
            <v xml:space="preserve">HIELO EN ESCAMAS                        </v>
          </cell>
          <cell r="C21">
            <v>1131001</v>
          </cell>
        </row>
        <row r="22">
          <cell r="B22" t="str">
            <v>AGUA POTABLE</v>
          </cell>
          <cell r="C22">
            <v>1131002</v>
          </cell>
        </row>
        <row r="23">
          <cell r="B23" t="str">
            <v>CARNE DE TERNERA</v>
          </cell>
          <cell r="C23">
            <v>1141001</v>
          </cell>
        </row>
        <row r="24">
          <cell r="B24" t="str">
            <v>MEZCLA FOSFATOS CARFOSEL996 (GRANULAR)</v>
          </cell>
          <cell r="C24">
            <v>1210002</v>
          </cell>
        </row>
        <row r="25">
          <cell r="B25" t="str">
            <v xml:space="preserve">ERITORBATO DE SODIO                     </v>
          </cell>
          <cell r="C25">
            <v>1210003</v>
          </cell>
        </row>
        <row r="26">
          <cell r="B26" t="str">
            <v xml:space="preserve">SAL CURANTE AL 12 %                     </v>
          </cell>
          <cell r="C26">
            <v>1210004</v>
          </cell>
        </row>
        <row r="27">
          <cell r="B27" t="str">
            <v xml:space="preserve">SAL YODADA REFISAL                      </v>
          </cell>
          <cell r="C27">
            <v>1210005</v>
          </cell>
        </row>
        <row r="28">
          <cell r="B28" t="str">
            <v xml:space="preserve">SAL REDUCIDA EN SODIO 60/40             </v>
          </cell>
          <cell r="C28">
            <v>1210006</v>
          </cell>
        </row>
        <row r="29">
          <cell r="B29" t="str">
            <v xml:space="preserve">SABOR CERDO COCIDO                      </v>
          </cell>
          <cell r="C29">
            <v>1220001</v>
          </cell>
        </row>
        <row r="30">
          <cell r="B30" t="str">
            <v xml:space="preserve">AZUCAR REFINADA                         </v>
          </cell>
          <cell r="C30">
            <v>1220004</v>
          </cell>
        </row>
        <row r="31">
          <cell r="B31" t="str">
            <v xml:space="preserve">AJO MOLIDO DESHIDRATADO B.1             </v>
          </cell>
          <cell r="C31">
            <v>1220005</v>
          </cell>
        </row>
        <row r="32">
          <cell r="B32" t="str">
            <v xml:space="preserve">PIMIENTA BLANCA MOLIDA                  </v>
          </cell>
          <cell r="C32">
            <v>1220006</v>
          </cell>
        </row>
        <row r="33">
          <cell r="B33" t="str">
            <v>PIMIENTA NEGRA MOLIDA</v>
          </cell>
          <cell r="C33">
            <v>1220007</v>
          </cell>
        </row>
        <row r="34">
          <cell r="B34" t="str">
            <v xml:space="preserve">COMINO MOLIDO B                         </v>
          </cell>
          <cell r="C34">
            <v>1220008</v>
          </cell>
        </row>
        <row r="35">
          <cell r="B35" t="str">
            <v xml:space="preserve">CEBOLLA EN POLVO                        </v>
          </cell>
          <cell r="C35">
            <v>1220009</v>
          </cell>
        </row>
        <row r="36">
          <cell r="B36" t="str">
            <v xml:space="preserve">DEXTROSA                                </v>
          </cell>
          <cell r="C36">
            <v>1220010</v>
          </cell>
        </row>
        <row r="37">
          <cell r="B37" t="str">
            <v xml:space="preserve">ADITIVO BURGER MEAT 80 B NAT            </v>
          </cell>
          <cell r="C37">
            <v>1220011</v>
          </cell>
        </row>
        <row r="38">
          <cell r="B38" t="str">
            <v xml:space="preserve">APANADO NARANJA GRUESO                  </v>
          </cell>
          <cell r="C38">
            <v>1220012</v>
          </cell>
        </row>
        <row r="39">
          <cell r="B39" t="str">
            <v xml:space="preserve">AROMA SALCHICHON TRADICIONAL 84987B     </v>
          </cell>
          <cell r="C39">
            <v>1220013</v>
          </cell>
        </row>
        <row r="40">
          <cell r="B40" t="str">
            <v xml:space="preserve">PVH LIQUIDA M 1222                      </v>
          </cell>
          <cell r="C40">
            <v>1220014</v>
          </cell>
        </row>
        <row r="41">
          <cell r="B41" t="str">
            <v>MEZCLA LIQUIDA SALCHICHA</v>
          </cell>
          <cell r="C41">
            <v>1220015</v>
          </cell>
        </row>
        <row r="42">
          <cell r="B42" t="str">
            <v>SALSA DE CIRUELAS SOBRE X 80G TECNAS</v>
          </cell>
          <cell r="C42">
            <v>1220020</v>
          </cell>
        </row>
        <row r="43">
          <cell r="B43" t="str">
            <v>LUCTAROMA SCHA POLLO ASADO 82894B</v>
          </cell>
          <cell r="C43">
            <v>1220022</v>
          </cell>
        </row>
        <row r="44">
          <cell r="B44" t="str">
            <v xml:space="preserve">PREPARADO SABOR  CERVECERO NEO          </v>
          </cell>
          <cell r="C44">
            <v>1230003</v>
          </cell>
        </row>
        <row r="45">
          <cell r="B45" t="str">
            <v xml:space="preserve">PREPARADO SABOR CERVECERO SV GF         </v>
          </cell>
          <cell r="C45">
            <v>1230004</v>
          </cell>
        </row>
        <row r="46">
          <cell r="B46" t="str">
            <v xml:space="preserve">PREPARADO SABOR CHORIZO CERDO           </v>
          </cell>
          <cell r="C46">
            <v>1230005</v>
          </cell>
        </row>
        <row r="47">
          <cell r="B47" t="str">
            <v xml:space="preserve">PREPARADO SABOR CHORIZO TERNERA         </v>
          </cell>
          <cell r="C47">
            <v>1230006</v>
          </cell>
        </row>
        <row r="48">
          <cell r="B48" t="str">
            <v xml:space="preserve">PREPARADO SABOR JAMON T 3391            </v>
          </cell>
          <cell r="C48">
            <v>1230008</v>
          </cell>
        </row>
        <row r="49">
          <cell r="B49" t="str">
            <v xml:space="preserve">PREPARADO SABOR CERVECERO PREMIUM SV    </v>
          </cell>
          <cell r="C49">
            <v>1230009</v>
          </cell>
        </row>
        <row r="50">
          <cell r="B50" t="str">
            <v xml:space="preserve">TAROMA HAM                              </v>
          </cell>
          <cell r="C50">
            <v>1230010</v>
          </cell>
        </row>
        <row r="51">
          <cell r="B51" t="str">
            <v xml:space="preserve">BATIDO COMPLETO                         </v>
          </cell>
          <cell r="C51">
            <v>1230011</v>
          </cell>
        </row>
        <row r="52">
          <cell r="B52" t="str">
            <v>CEBOLLA PUERRO</v>
          </cell>
          <cell r="C52">
            <v>1230012</v>
          </cell>
        </row>
        <row r="53">
          <cell r="B53" t="str">
            <v>PAPRIKA POLVO</v>
          </cell>
          <cell r="C53">
            <v>1230013</v>
          </cell>
        </row>
        <row r="54">
          <cell r="B54" t="str">
            <v>AROMA SCHON DE POLLO 88447B LUCTA</v>
          </cell>
          <cell r="C54">
            <v>1230016</v>
          </cell>
        </row>
        <row r="55">
          <cell r="B55" t="str">
            <v xml:space="preserve">AROMA MORTADELA TRAD 88896B </v>
          </cell>
          <cell r="C55">
            <v>1230017</v>
          </cell>
        </row>
        <row r="56">
          <cell r="B56" t="str">
            <v>LUCTAROMA CEBOLLA FRITA 82973B</v>
          </cell>
          <cell r="C56">
            <v>1230018</v>
          </cell>
        </row>
        <row r="57">
          <cell r="B57" t="str">
            <v>LUCTAROMA CHORIZO ANTIOQUEÑO 81110B</v>
          </cell>
          <cell r="C57">
            <v>1230019</v>
          </cell>
        </row>
        <row r="58">
          <cell r="B58" t="str">
            <v>CILANTRO MOLIDO</v>
          </cell>
          <cell r="C58">
            <v>1230020</v>
          </cell>
        </row>
        <row r="59">
          <cell r="B59" t="str">
            <v>TOMATE EN POLVO</v>
          </cell>
          <cell r="C59">
            <v>1230022</v>
          </cell>
        </row>
        <row r="60">
          <cell r="B60" t="str">
            <v>LUCTAROMA AHUMADO TOCINETA 85812B</v>
          </cell>
          <cell r="C60">
            <v>1230023</v>
          </cell>
        </row>
        <row r="61">
          <cell r="B61" t="str">
            <v xml:space="preserve">CONSERVANTE INBAC ACN NA                </v>
          </cell>
          <cell r="C61">
            <v>1240002</v>
          </cell>
        </row>
        <row r="62">
          <cell r="B62" t="str">
            <v>NISINA</v>
          </cell>
          <cell r="C62">
            <v>1240003</v>
          </cell>
        </row>
        <row r="63">
          <cell r="B63" t="str">
            <v>ACETATO DE SODIO</v>
          </cell>
          <cell r="C63">
            <v>1240004</v>
          </cell>
        </row>
        <row r="64">
          <cell r="B64" t="str">
            <v xml:space="preserve">COLOR CARAMELO                          </v>
          </cell>
          <cell r="C64">
            <v>1250001</v>
          </cell>
        </row>
        <row r="65">
          <cell r="B65" t="str">
            <v xml:space="preserve">COLOR LOY NARANJA LIQ A10 1             </v>
          </cell>
          <cell r="C65">
            <v>1250002</v>
          </cell>
        </row>
        <row r="66">
          <cell r="B66" t="str">
            <v>COLOR NATURAL HEMOGLOBINA I RED</v>
          </cell>
          <cell r="C66">
            <v>1250003</v>
          </cell>
        </row>
        <row r="67">
          <cell r="B67" t="str">
            <v>COLOR NATURAL NARANJA PR801WD</v>
          </cell>
          <cell r="C67">
            <v>1250004</v>
          </cell>
        </row>
        <row r="68">
          <cell r="B68" t="str">
            <v xml:space="preserve">COLOR NATURAL NARANJA RA 40-3 9827      </v>
          </cell>
          <cell r="C68">
            <v>1250005</v>
          </cell>
        </row>
        <row r="69">
          <cell r="B69" t="str">
            <v xml:space="preserve">ENTURBIANTE EN POLVO DPA                </v>
          </cell>
          <cell r="C69">
            <v>1250007</v>
          </cell>
        </row>
        <row r="70">
          <cell r="B70" t="str">
            <v>LINICOL RED V. X 22 kg (L)</v>
          </cell>
          <cell r="C70">
            <v>1250008</v>
          </cell>
        </row>
        <row r="71">
          <cell r="B71" t="str">
            <v>COLOR NATURAL ROJO AC150</v>
          </cell>
          <cell r="C71">
            <v>1250009</v>
          </cell>
        </row>
        <row r="72">
          <cell r="B72" t="str">
            <v>PLASMA PORCINO</v>
          </cell>
          <cell r="C72">
            <v>1260005</v>
          </cell>
        </row>
        <row r="73">
          <cell r="B73" t="str">
            <v xml:space="preserve">EXTRACTO PROTEICO LC 300                </v>
          </cell>
          <cell r="C73">
            <v>1260006</v>
          </cell>
        </row>
        <row r="74">
          <cell r="B74" t="str">
            <v>PROTEINA TEXTURIZADA DE SOYA 70%</v>
          </cell>
          <cell r="C74">
            <v>1260008</v>
          </cell>
        </row>
        <row r="75">
          <cell r="B75" t="str">
            <v>PROTEINA CONCENTRADA DE SOYA 70%</v>
          </cell>
          <cell r="C75">
            <v>1260009</v>
          </cell>
        </row>
        <row r="76">
          <cell r="B76" t="str">
            <v>PROTEINA CONCENTRADA SOYA 65%</v>
          </cell>
          <cell r="C76">
            <v>1260010</v>
          </cell>
        </row>
        <row r="77">
          <cell r="B77" t="str">
            <v xml:space="preserve">SOLU TEX GRASAS NEUTRO                  </v>
          </cell>
          <cell r="C77">
            <v>1260012</v>
          </cell>
        </row>
        <row r="78">
          <cell r="B78" t="str">
            <v>PROTEINA TEXTURIZADA DE TRIGO - HAMB CJA</v>
          </cell>
          <cell r="C78">
            <v>1260013</v>
          </cell>
        </row>
        <row r="79">
          <cell r="B79" t="str">
            <v>CARRAGENINA</v>
          </cell>
          <cell r="C79">
            <v>1260014</v>
          </cell>
        </row>
        <row r="80">
          <cell r="B80" t="str">
            <v>ALMIDON DE YUCA</v>
          </cell>
          <cell r="C80">
            <v>1260015</v>
          </cell>
        </row>
        <row r="81">
          <cell r="B81" t="str">
            <v>SUPERGEL GRANULOS CURADOS PLUS</v>
          </cell>
          <cell r="C81">
            <v>1260016</v>
          </cell>
        </row>
        <row r="82">
          <cell r="B82" t="str">
            <v>ALMIDON MODIFICADO DE MAIZ</v>
          </cell>
          <cell r="C82">
            <v>1260017</v>
          </cell>
        </row>
        <row r="83">
          <cell r="B83" t="str">
            <v>PROTEINA TEXTURIZADA DE TRIGO - MNESA</v>
          </cell>
          <cell r="C83">
            <v>1260018</v>
          </cell>
        </row>
        <row r="84">
          <cell r="B84" t="str">
            <v>PROTEINA COLAGENICA ALTA FUNCIONALIDAD</v>
          </cell>
          <cell r="C84">
            <v>1260022</v>
          </cell>
        </row>
        <row r="85">
          <cell r="B85" t="str">
            <v>TRANSGLUTAMINASA PROLINK MB-MM BOLSA 1KG</v>
          </cell>
          <cell r="C85">
            <v>1260023</v>
          </cell>
        </row>
        <row r="86">
          <cell r="B86" t="str">
            <v xml:space="preserve">HUMO CHARDEX EN POLVO                   </v>
          </cell>
          <cell r="C86">
            <v>1270001</v>
          </cell>
        </row>
        <row r="87">
          <cell r="B87" t="str">
            <v>HUMO TRUSMOKE 45</v>
          </cell>
          <cell r="C87">
            <v>1270003</v>
          </cell>
        </row>
        <row r="88">
          <cell r="B88" t="str">
            <v>HUMO TRUSMOKE OIL EX</v>
          </cell>
          <cell r="C88">
            <v>1270004</v>
          </cell>
        </row>
        <row r="89">
          <cell r="B89" t="str">
            <v>HUMO ENVIRO 24P X 4KG</v>
          </cell>
          <cell r="C89">
            <v>1270006</v>
          </cell>
        </row>
        <row r="90">
          <cell r="B90" t="str">
            <v>TBBQ GSF DRY X 500 G</v>
          </cell>
          <cell r="C90">
            <v>1270007</v>
          </cell>
        </row>
        <row r="91">
          <cell r="B91" t="str">
            <v>TRUSMOKE 25 x 4 KG</v>
          </cell>
          <cell r="C91">
            <v>1270008</v>
          </cell>
        </row>
        <row r="92">
          <cell r="B92" t="str">
            <v>MEZCLA PARA ELABORAR EMULSIONES CÁRNICAS</v>
          </cell>
          <cell r="C92">
            <v>1280002</v>
          </cell>
        </row>
        <row r="93">
          <cell r="B93" t="str">
            <v>NEUTRALIZADOR PARA EMULSIÓN</v>
          </cell>
          <cell r="C93">
            <v>1280003</v>
          </cell>
        </row>
        <row r="94">
          <cell r="B94" t="str">
            <v xml:space="preserve">LAM SUP JAMON VIANDE X300G 70X415MM     </v>
          </cell>
          <cell r="C94">
            <v>1310001</v>
          </cell>
        </row>
        <row r="95">
          <cell r="B95" t="str">
            <v xml:space="preserve">LAM SUP MDELA VIANDE 225G X 17UNDS 415  </v>
          </cell>
          <cell r="C95">
            <v>1310002</v>
          </cell>
        </row>
        <row r="96">
          <cell r="B96" t="str">
            <v xml:space="preserve">LAM SUP MDELA FAIZAN X 225G 14UN 302C   </v>
          </cell>
          <cell r="C96">
            <v>1310005</v>
          </cell>
        </row>
        <row r="97">
          <cell r="B97" t="str">
            <v xml:space="preserve">LAM SUP SALCHI SUPERPERRO FAIZAN 302    </v>
          </cell>
          <cell r="C97">
            <v>1310010</v>
          </cell>
        </row>
        <row r="98">
          <cell r="B98" t="str">
            <v xml:space="preserve">LAM SUP SALCHI VIANDE 450G X 16UNDS     </v>
          </cell>
          <cell r="C98">
            <v>1310011</v>
          </cell>
        </row>
        <row r="99">
          <cell r="B99" t="str">
            <v>LAM COMBO VIANDE</v>
          </cell>
          <cell r="C99">
            <v>1310012</v>
          </cell>
        </row>
        <row r="100">
          <cell r="B100" t="str">
            <v>LAM SUP MEGA COMBO FAIZAN X 900 G X 4 UD</v>
          </cell>
          <cell r="C100">
            <v>1310014</v>
          </cell>
        </row>
        <row r="101">
          <cell r="B101" t="str">
            <v xml:space="preserve">LAM SUP SALCHI VIANDE 225G X 8UNDS 415  </v>
          </cell>
          <cell r="C101">
            <v>1310015</v>
          </cell>
        </row>
        <row r="102">
          <cell r="B102" t="str">
            <v xml:space="preserve">LAM SUP TRANS ECOWEB M/PAUV 60U 404MM   </v>
          </cell>
          <cell r="C102">
            <v>1310017</v>
          </cell>
        </row>
        <row r="103">
          <cell r="B103" t="str">
            <v>LAM SUP TRANS ECOWEB M/PAUV 42U 301MM</v>
          </cell>
          <cell r="C103">
            <v>1310018</v>
          </cell>
        </row>
        <row r="104">
          <cell r="B104" t="str">
            <v xml:space="preserve">LAM SUP JAMON SAND (I) 500GR            </v>
          </cell>
          <cell r="C104">
            <v>1310021</v>
          </cell>
        </row>
        <row r="105">
          <cell r="B105" t="str">
            <v xml:space="preserve">LAM SUP MINIPERRO 1000 40 UND           </v>
          </cell>
          <cell r="C105">
            <v>1310029</v>
          </cell>
        </row>
        <row r="106">
          <cell r="B106" t="str">
            <v>LAM SUP MEGA COMBO FAIZAN X 675 G X 3 UD</v>
          </cell>
          <cell r="C106">
            <v>1310031</v>
          </cell>
        </row>
        <row r="107">
          <cell r="B107" t="str">
            <v>LAM SUP SUPER PERRO D1 400 X 5 X 301 MM</v>
          </cell>
          <cell r="C107">
            <v>1310033</v>
          </cell>
        </row>
        <row r="108">
          <cell r="B108" t="str">
            <v>LAM SUP CHZO TERNERA D1 225 X 5 X 415 MM</v>
          </cell>
          <cell r="C108">
            <v>1310034</v>
          </cell>
        </row>
        <row r="109">
          <cell r="B109" t="str">
            <v>LAM SUP CHZO ANTIOQUEÑO D1 225X 5X415 MM</v>
          </cell>
          <cell r="C109">
            <v>1310035</v>
          </cell>
        </row>
        <row r="110">
          <cell r="B110" t="str">
            <v>LAM SUP MDELA JAMONADA X 225G 302 MM</v>
          </cell>
          <cell r="C110">
            <v>1310036</v>
          </cell>
        </row>
        <row r="111">
          <cell r="B111" t="str">
            <v xml:space="preserve">LAM SUP SALCH CLASICA 225G 9UN 302 </v>
          </cell>
          <cell r="C111">
            <v>1310037</v>
          </cell>
        </row>
        <row r="112">
          <cell r="B112" t="str">
            <v>LAM SUP JAMON CERD PREM 200GR 10TJ 302MM</v>
          </cell>
          <cell r="C112">
            <v>1310038</v>
          </cell>
        </row>
        <row r="113">
          <cell r="B113" t="str">
            <v>LAM SUP CHZO CON TERNERA 440 X 8U 302 MM</v>
          </cell>
          <cell r="C113">
            <v>1310039</v>
          </cell>
        </row>
        <row r="114">
          <cell r="B114" t="str">
            <v>LAM SUP JMN PREM 400GR X 20TJ 302 MM</v>
          </cell>
          <cell r="C114">
            <v>1310040</v>
          </cell>
        </row>
        <row r="115">
          <cell r="B115" t="str">
            <v>LAM SUP JMN SANDUCHE X 225 G 302 MM</v>
          </cell>
          <cell r="C115">
            <v>1310041</v>
          </cell>
        </row>
        <row r="116">
          <cell r="B116" t="str">
            <v>LAM SUP SALCH DESAYUNO 480G 14UN 302 MM</v>
          </cell>
          <cell r="C116">
            <v>1310042</v>
          </cell>
        </row>
        <row r="117">
          <cell r="B117" t="str">
            <v>LAM SUP SALCH DESAYUNO 115 X 5 UN 302 MM</v>
          </cell>
          <cell r="C117">
            <v>1310043</v>
          </cell>
        </row>
        <row r="118">
          <cell r="B118" t="str">
            <v>LAM SUP CHZO TERNERA 1100 G  20 U 302 MM</v>
          </cell>
          <cell r="C118">
            <v>1310046</v>
          </cell>
        </row>
        <row r="119">
          <cell r="B119" t="str">
            <v>LAM SUP CHZO SANTARO 300 G X 5 U 302 MM</v>
          </cell>
          <cell r="C119">
            <v>1310049</v>
          </cell>
        </row>
        <row r="120">
          <cell r="B120" t="str">
            <v>LAM SUP JMN SAND X 450 G 24 TJ  302 MM</v>
          </cell>
          <cell r="C120">
            <v>1310052</v>
          </cell>
        </row>
        <row r="121">
          <cell r="B121" t="str">
            <v>LAM SUP SCHA PERRO D1 240 X 6 X 302 MM</v>
          </cell>
          <cell r="C121">
            <v>1310054</v>
          </cell>
        </row>
        <row r="122">
          <cell r="B122" t="str">
            <v>LAM SUP CHZO TERNER 220 G X 4 U 302 MM</v>
          </cell>
          <cell r="C122">
            <v>1310055</v>
          </cell>
        </row>
        <row r="123">
          <cell r="B123" t="str">
            <v>LAM SUP CHZO CERDO 100 G X 2 U 302 MM</v>
          </cell>
          <cell r="C123">
            <v>1310056</v>
          </cell>
        </row>
        <row r="124">
          <cell r="B124" t="str">
            <v>LAM SUP CHZO CERDO 1000 G X 20 U 302 MM</v>
          </cell>
          <cell r="C124">
            <v>1310057</v>
          </cell>
        </row>
        <row r="125">
          <cell r="B125" t="str">
            <v>LAM SUP SALCH CLASICA 450G 18UN 302</v>
          </cell>
          <cell r="C125">
            <v>1310058</v>
          </cell>
        </row>
        <row r="126">
          <cell r="B126" t="str">
            <v xml:space="preserve">LAM SUP SALCH SUPER PERRO 500G 10UN 302 </v>
          </cell>
          <cell r="C126">
            <v>1310059</v>
          </cell>
        </row>
        <row r="127">
          <cell r="B127" t="str">
            <v>LAM SUP JAMON CERD PREM 120GR 6TJ 302MM</v>
          </cell>
          <cell r="C127">
            <v>1310060</v>
          </cell>
        </row>
        <row r="128">
          <cell r="B128" t="str">
            <v>LAM SUP JAMON CERD PREM 220GR 11TJ 302MM</v>
          </cell>
          <cell r="C128">
            <v>1310061</v>
          </cell>
        </row>
        <row r="129">
          <cell r="B129" t="str">
            <v>LAM INFE 90-423 MM 3.5MILS</v>
          </cell>
          <cell r="C129">
            <v>1320003</v>
          </cell>
        </row>
        <row r="130">
          <cell r="B130" t="str">
            <v xml:space="preserve">LAM INFE SUDPACK GVA200 BT323 MM 8MM    </v>
          </cell>
          <cell r="C130">
            <v>1320004</v>
          </cell>
        </row>
        <row r="131">
          <cell r="B131" t="str">
            <v xml:space="preserve">LAM INFE SUDPACK GVP 130-323 MM         </v>
          </cell>
          <cell r="C131">
            <v>1320005</v>
          </cell>
        </row>
        <row r="132">
          <cell r="B132" t="str">
            <v xml:space="preserve">LAM INFE SUDPACK GVA 200 BT 423MM       </v>
          </cell>
          <cell r="C132">
            <v>1320007</v>
          </cell>
        </row>
        <row r="133">
          <cell r="B133" t="str">
            <v>ETI CHORIZO DE CERDO 250G X 5 UDS</v>
          </cell>
          <cell r="C133">
            <v>1330001</v>
          </cell>
        </row>
        <row r="134">
          <cell r="B134" t="str">
            <v xml:space="preserve">ETI CHORIZO TERNERA X 120G X 2 UDS      </v>
          </cell>
          <cell r="C134">
            <v>1330002</v>
          </cell>
        </row>
        <row r="135">
          <cell r="B135" t="str">
            <v xml:space="preserve">ETI JAMON DE CERDO PREMIUM X 200G       </v>
          </cell>
          <cell r="C135">
            <v>1330004</v>
          </cell>
        </row>
        <row r="136">
          <cell r="B136" t="str">
            <v xml:space="preserve">ETI SALCHI DESAYU PREM X125G X5UNDS     </v>
          </cell>
          <cell r="C136">
            <v>1330006</v>
          </cell>
        </row>
        <row r="137">
          <cell r="B137" t="str">
            <v xml:space="preserve">ETI SALCHIPERRO CALIENTE 480 G X 12UND  </v>
          </cell>
          <cell r="C137">
            <v>1330009</v>
          </cell>
        </row>
        <row r="138">
          <cell r="B138" t="str">
            <v xml:space="preserve">ETI JAMON SANDUCHE 500GR 28TJ           </v>
          </cell>
          <cell r="C138">
            <v>1330010</v>
          </cell>
        </row>
        <row r="139">
          <cell r="B139" t="str">
            <v>ETI CHZO TERNERA 440 G X 8U - G.EXITO</v>
          </cell>
          <cell r="C139">
            <v>1330011</v>
          </cell>
        </row>
        <row r="140">
          <cell r="B140" t="str">
            <v xml:space="preserve">ETI CHORIZO CERDO 500GR X 10U           </v>
          </cell>
          <cell r="C140">
            <v>1330012</v>
          </cell>
        </row>
        <row r="141">
          <cell r="B141" t="str">
            <v xml:space="preserve">ETI MEGA SALCHICHA X 560GR X 6U         </v>
          </cell>
          <cell r="C141">
            <v>1330013</v>
          </cell>
        </row>
        <row r="142">
          <cell r="B142" t="str">
            <v xml:space="preserve">ETI CHORIZO TERNERA 1020 17 UNDS        </v>
          </cell>
          <cell r="C142">
            <v>1330015</v>
          </cell>
        </row>
        <row r="143">
          <cell r="B143" t="str">
            <v>ETI BLANCA GENERICA 100 X 80</v>
          </cell>
          <cell r="C143">
            <v>1330022</v>
          </cell>
        </row>
        <row r="144">
          <cell r="B144" t="str">
            <v>ETI JAMON SANDUCHE 450 GR X 24 U</v>
          </cell>
          <cell r="C144">
            <v>1330028</v>
          </cell>
        </row>
        <row r="145">
          <cell r="B145" t="str">
            <v>ETI CHORIZO SANTA ROSANO X 260 G X 4 UND</v>
          </cell>
          <cell r="C145">
            <v>1330031</v>
          </cell>
        </row>
        <row r="146">
          <cell r="B146" t="str">
            <v>ETI SALCHICHA JUMBO X 450 G X 6 UND</v>
          </cell>
          <cell r="C146">
            <v>1330032</v>
          </cell>
        </row>
        <row r="147">
          <cell r="B147" t="str">
            <v>ETI CHORIZO SANTARROSANO X 65 G</v>
          </cell>
          <cell r="C147">
            <v>1330034</v>
          </cell>
        </row>
        <row r="148">
          <cell r="B148" t="str">
            <v>ETI CHORIZO CON TERNERA X 60 G</v>
          </cell>
          <cell r="C148">
            <v>1330035</v>
          </cell>
        </row>
        <row r="149">
          <cell r="B149" t="str">
            <v>ETI SCHA DESAYUNO X 35 G</v>
          </cell>
          <cell r="C149">
            <v>1330036</v>
          </cell>
        </row>
        <row r="150">
          <cell r="B150" t="str">
            <v>ETI CHORIZO CERDO X 50 G</v>
          </cell>
          <cell r="C150">
            <v>1330038</v>
          </cell>
        </row>
        <row r="151">
          <cell r="B151" t="str">
            <v>ETI CERVECERITO X 30 G</v>
          </cell>
          <cell r="C151">
            <v>1330039</v>
          </cell>
        </row>
        <row r="152">
          <cell r="B152" t="str">
            <v>ETI SALCHICHA DESAYUNO PREMIUM X 240G</v>
          </cell>
          <cell r="C152">
            <v>1330040</v>
          </cell>
        </row>
        <row r="153">
          <cell r="B153" t="str">
            <v>ETI SALCHICHA COMUN MAQUILA X 230G</v>
          </cell>
          <cell r="C153">
            <v>1330041</v>
          </cell>
        </row>
        <row r="154">
          <cell r="B154" t="str">
            <v>ETI JAMON SANDUCHE 225 GR X 12 U</v>
          </cell>
          <cell r="C154">
            <v>1330042</v>
          </cell>
        </row>
        <row r="155">
          <cell r="B155" t="str">
            <v>ETI CERVECERITO 50 GR X 5 TAJ</v>
          </cell>
          <cell r="C155">
            <v>1330043</v>
          </cell>
        </row>
        <row r="156">
          <cell r="B156" t="str">
            <v>ETI RESPALDO CHORIZO CERDO 400GR X 8U</v>
          </cell>
          <cell r="C156">
            <v>1330045</v>
          </cell>
        </row>
        <row r="157">
          <cell r="B157" t="str">
            <v xml:space="preserve">ETI RESPALDO CHORIZO SANTA ROSANO X 480 </v>
          </cell>
          <cell r="C157">
            <v>1330046</v>
          </cell>
        </row>
        <row r="158">
          <cell r="B158" t="str">
            <v>ETI RESPALDO CHORIZO CERDO 250GR X 5U</v>
          </cell>
          <cell r="C158">
            <v>1330047</v>
          </cell>
        </row>
        <row r="159">
          <cell r="B159" t="str">
            <v>ETI RESPALDO SALCHICHA DESAYUNO 240</v>
          </cell>
          <cell r="C159">
            <v>1330048</v>
          </cell>
        </row>
        <row r="160">
          <cell r="B160" t="str">
            <v>ETI RESPALD CHORIZO SANTA ROSANO X 300 G</v>
          </cell>
          <cell r="C160">
            <v>1330049</v>
          </cell>
        </row>
        <row r="161">
          <cell r="B161" t="str">
            <v>ETI RESPALDO SCHA JUMBO 450 G X 6 UND</v>
          </cell>
          <cell r="C161">
            <v>1330051</v>
          </cell>
        </row>
        <row r="162">
          <cell r="B162" t="str">
            <v>ETI RESPALDO SCHA CLASICA 225 G X 9 UND</v>
          </cell>
          <cell r="C162">
            <v>1330052</v>
          </cell>
        </row>
        <row r="163">
          <cell r="B163" t="str">
            <v>ETI RESPALDO MDELA CLASICA 225 G X 14 TJ</v>
          </cell>
          <cell r="C163">
            <v>1330053</v>
          </cell>
        </row>
        <row r="164">
          <cell r="B164" t="str">
            <v>ETI RESPALDO MDELA JAMONAD 225 G X 12 TJ</v>
          </cell>
          <cell r="C164">
            <v>1330054</v>
          </cell>
        </row>
        <row r="165">
          <cell r="B165" t="str">
            <v>ETI RESPALDO SCHA DESAYUNO 480 G X 14 UN</v>
          </cell>
          <cell r="C165">
            <v>1330055</v>
          </cell>
        </row>
        <row r="166">
          <cell r="B166" t="str">
            <v>ETI RESPALDO CHZO TERNERA 440 G - FAIZAN</v>
          </cell>
          <cell r="C166">
            <v>1330056</v>
          </cell>
        </row>
        <row r="167">
          <cell r="B167" t="str">
            <v>ETI RESPALDO JMN PREMIUM 200 G X 10 TJ</v>
          </cell>
          <cell r="C167">
            <v>1330057</v>
          </cell>
        </row>
        <row r="168">
          <cell r="B168" t="str">
            <v>ETI RESPALDO JMN PREMIUM 400 G X 20 TJ</v>
          </cell>
          <cell r="C168">
            <v>1330058</v>
          </cell>
        </row>
        <row r="169">
          <cell r="B169" t="str">
            <v>ETI RESPALDO JMN SANDUCHE 225 G X 12 TJ</v>
          </cell>
          <cell r="C169">
            <v>1330059</v>
          </cell>
        </row>
        <row r="170">
          <cell r="B170" t="str">
            <v>ETI RESPALDO JMN SANDUCHE 450 G X 24 TJ</v>
          </cell>
          <cell r="C170">
            <v>1330060</v>
          </cell>
        </row>
        <row r="171">
          <cell r="B171" t="str">
            <v xml:space="preserve">ETI SELLO OCTOGONAL BOLSA CERVECERITO </v>
          </cell>
          <cell r="C171">
            <v>1330061</v>
          </cell>
        </row>
        <row r="172">
          <cell r="B172" t="str">
            <v>ETI SELLO OCTOGONAL COMBO ÉXITO</v>
          </cell>
          <cell r="C172">
            <v>1330063</v>
          </cell>
        </row>
        <row r="173">
          <cell r="B173" t="str">
            <v>ETI SELLO OCTOGONAL AUTENTICO 750 G</v>
          </cell>
          <cell r="C173">
            <v>1330064</v>
          </cell>
        </row>
        <row r="174">
          <cell r="B174" t="str">
            <v xml:space="preserve">ETI RESPALDO JMN PREMIUM 220 G X 11 TJ </v>
          </cell>
          <cell r="C174">
            <v>1330066</v>
          </cell>
        </row>
        <row r="175">
          <cell r="B175" t="str">
            <v>ETI RESPAL CHZO TERNERA 440 G 8 U EXITO</v>
          </cell>
          <cell r="C175">
            <v>1330068</v>
          </cell>
        </row>
        <row r="176">
          <cell r="B176" t="str">
            <v>ETI RESPALDO CHZO TERNERA 220 G X 4 UN</v>
          </cell>
          <cell r="C176">
            <v>1330074</v>
          </cell>
        </row>
        <row r="177">
          <cell r="B177" t="str">
            <v>ETI RESPALDO SCHA CLASICA 450 G X 18 UND</v>
          </cell>
          <cell r="C177">
            <v>1330075</v>
          </cell>
        </row>
        <row r="178">
          <cell r="B178" t="str">
            <v>ETI RESPALDO SCHA S.PERRO 500 G X 10 UND</v>
          </cell>
          <cell r="C178">
            <v>1330076</v>
          </cell>
        </row>
        <row r="179">
          <cell r="B179" t="str">
            <v>ETI RESPALDO JMN PREMIUM 120 G X 6TJ</v>
          </cell>
          <cell r="C179">
            <v>1330077</v>
          </cell>
        </row>
        <row r="180">
          <cell r="B180" t="str">
            <v>ETI MEGA SALCHICHA X 1120GR X 12U</v>
          </cell>
          <cell r="C180">
            <v>1330078</v>
          </cell>
        </row>
        <row r="181">
          <cell r="B181" t="str">
            <v>ETI CHORIZO CERDO 400 G X 8 UND</v>
          </cell>
          <cell r="C181">
            <v>1330080</v>
          </cell>
        </row>
        <row r="182">
          <cell r="B182" t="str">
            <v>ETI CHORIZO CON TERNERA X 110 GR X 2 U</v>
          </cell>
          <cell r="C182">
            <v>1330081</v>
          </cell>
        </row>
        <row r="183">
          <cell r="B183" t="str">
            <v>ETI CHZO COCTEL SANTA ROSANO X 300 G</v>
          </cell>
          <cell r="C183">
            <v>1330082</v>
          </cell>
        </row>
        <row r="184">
          <cell r="B184" t="str">
            <v>ETI RESPALDO CHZO COCTEL SROSANO X 300 G</v>
          </cell>
          <cell r="C184">
            <v>1330083</v>
          </cell>
        </row>
        <row r="185">
          <cell r="B185" t="str">
            <v>ETI CHZO COCTEL SANTA ROSANO X 1000 G</v>
          </cell>
          <cell r="C185">
            <v>1330084</v>
          </cell>
        </row>
        <row r="186">
          <cell r="B186" t="str">
            <v>ETI CHORIZO SANTA ROSANO X 480 G</v>
          </cell>
          <cell r="C186">
            <v>1330087</v>
          </cell>
        </row>
        <row r="187">
          <cell r="B187" t="str">
            <v xml:space="preserve">ETI TOCINETA FAZAN AHUM X 150 G X 10 TJ </v>
          </cell>
          <cell r="C187">
            <v>1330088</v>
          </cell>
        </row>
        <row r="188">
          <cell r="B188" t="str">
            <v xml:space="preserve">ETI RESPALDO TOCINETA FAZAN AHUM 150 G </v>
          </cell>
          <cell r="C188">
            <v>1330089</v>
          </cell>
        </row>
        <row r="189">
          <cell r="B189" t="str">
            <v xml:space="preserve">BOLSA AD BCO IMPR FAIZAN 23 X 25        </v>
          </cell>
          <cell r="C189">
            <v>1340001</v>
          </cell>
        </row>
        <row r="190">
          <cell r="B190" t="str">
            <v xml:space="preserve">BOLSA AMARILLA MILANESA X 1800G X 15UDS </v>
          </cell>
          <cell r="C190">
            <v>1340002</v>
          </cell>
        </row>
        <row r="191">
          <cell r="B191" t="str">
            <v xml:space="preserve">BOLSA NARANJA MILANE X 600G X 5UDS      </v>
          </cell>
          <cell r="C191">
            <v>1340003</v>
          </cell>
        </row>
        <row r="192">
          <cell r="B192" t="str">
            <v xml:space="preserve">BOLSA IMP ROJA HAMB X900 G X10UND MODER </v>
          </cell>
          <cell r="C192">
            <v>1340005</v>
          </cell>
        </row>
        <row r="193">
          <cell r="B193" t="str">
            <v xml:space="preserve">BOLSA HAMB X 450G X 5UND                </v>
          </cell>
          <cell r="C193">
            <v>1340006</v>
          </cell>
        </row>
        <row r="194">
          <cell r="B194" t="str">
            <v xml:space="preserve">BOLSA SIN IMP 25 x 35 FLEXIBLE          </v>
          </cell>
          <cell r="C194">
            <v>1340008</v>
          </cell>
        </row>
        <row r="195">
          <cell r="B195" t="str">
            <v>BOLSA CERVECERITO PREMIUM X 6U 16CMX22CM</v>
          </cell>
          <cell r="C195">
            <v>1340009</v>
          </cell>
        </row>
        <row r="196">
          <cell r="B196" t="str">
            <v>BOLSA TERMOENCOGIBLE 8X10</v>
          </cell>
          <cell r="C196">
            <v>1340010</v>
          </cell>
        </row>
        <row r="197">
          <cell r="B197" t="str">
            <v>BOLSA TRASNP LDPE 21 x 60 CAL 3</v>
          </cell>
          <cell r="C197">
            <v>1340012</v>
          </cell>
        </row>
        <row r="198">
          <cell r="B198" t="str">
            <v>BOLSA TERMOENCOGIBLE 18X33</v>
          </cell>
          <cell r="C198">
            <v>1340013</v>
          </cell>
        </row>
        <row r="199">
          <cell r="B199" t="str">
            <v xml:space="preserve">CAJA JAMON DE CERDO VIANDE (32 UND)     </v>
          </cell>
          <cell r="C199">
            <v>1350001</v>
          </cell>
        </row>
        <row r="200">
          <cell r="B200" t="str">
            <v xml:space="preserve">CAJA KOBA SALCHICHON DE POLLO BRAKEL    </v>
          </cell>
          <cell r="C200">
            <v>1350003</v>
          </cell>
        </row>
        <row r="201">
          <cell r="B201" t="str">
            <v>CAJA KOBA SALCHICHON TRADICIONAL VIANDE</v>
          </cell>
          <cell r="C201">
            <v>1350004</v>
          </cell>
        </row>
        <row r="202">
          <cell r="B202" t="str">
            <v>CAJA KOBA SUPER COMBO TRADICIONAL VIANDE</v>
          </cell>
          <cell r="C202">
            <v>1350005</v>
          </cell>
        </row>
        <row r="203">
          <cell r="B203" t="str">
            <v>CAJA GENERICA HAMBURGUESA X 2700 G</v>
          </cell>
          <cell r="C203">
            <v>1350009</v>
          </cell>
        </row>
        <row r="204">
          <cell r="B204" t="str">
            <v>CAJA SCHA PERRO CALIENTE X 3.8 KG - 16 U</v>
          </cell>
          <cell r="C204">
            <v>1350011</v>
          </cell>
        </row>
        <row r="205">
          <cell r="B205" t="str">
            <v>CAJA SCHA SUPER PERRO  X 4 KG - 10 U</v>
          </cell>
          <cell r="C205">
            <v>1350012</v>
          </cell>
        </row>
        <row r="206">
          <cell r="B206" t="str">
            <v>CAJA CHORIZO TERNERA X 2.5 KG - 10 U</v>
          </cell>
          <cell r="C206">
            <v>1350013</v>
          </cell>
        </row>
        <row r="207">
          <cell r="B207" t="str">
            <v>CAJA CHORIZO ANTIOQUEÑO X 2.5KG-10U</v>
          </cell>
          <cell r="C207">
            <v>1350014</v>
          </cell>
        </row>
        <row r="208">
          <cell r="B208" t="str">
            <v>SEPARADOR 15 CM X 15 CM IMPRESO HIGHPACK</v>
          </cell>
          <cell r="C208">
            <v>1360001</v>
          </cell>
        </row>
        <row r="209">
          <cell r="B209" t="str">
            <v>SEPARADOR 16,5 X 16,5 CM TRANSPARENTE</v>
          </cell>
          <cell r="C209">
            <v>1360003</v>
          </cell>
        </row>
        <row r="210">
          <cell r="B210" t="str">
            <v>FIBROSA FVP CLS 95 B3 4 H3 MORTADELA</v>
          </cell>
          <cell r="C210">
            <v>1370001</v>
          </cell>
        </row>
        <row r="211">
          <cell r="B211" t="str">
            <v xml:space="preserve">FIBROSA FVP CLS 140 JAMON               </v>
          </cell>
          <cell r="C211">
            <v>1370002</v>
          </cell>
        </row>
        <row r="212">
          <cell r="B212" t="str">
            <v xml:space="preserve">TUBULAR EMBUTIDO 180 MM MILANESA        </v>
          </cell>
          <cell r="C212">
            <v>1370003</v>
          </cell>
        </row>
        <row r="213">
          <cell r="B213" t="str">
            <v xml:space="preserve">FUNDA CELULOSA 18 X 100                 </v>
          </cell>
          <cell r="C213">
            <v>1370004</v>
          </cell>
        </row>
        <row r="214">
          <cell r="B214" t="str">
            <v>FUNDA CELULOSA 23 X 100</v>
          </cell>
          <cell r="C214">
            <v>1370007</v>
          </cell>
        </row>
        <row r="215">
          <cell r="B215" t="str">
            <v xml:space="preserve">FUNDA COLAGENO NDXF 25/50               </v>
          </cell>
          <cell r="C215">
            <v>1370008</v>
          </cell>
        </row>
        <row r="216">
          <cell r="B216" t="str">
            <v xml:space="preserve">FUNDA COLAGENO ND 26/60                 </v>
          </cell>
          <cell r="C216">
            <v>1370009</v>
          </cell>
        </row>
        <row r="217">
          <cell r="B217" t="str">
            <v>FUNDA POLIAMIDA 19 X 110 - MEGA SCHA.</v>
          </cell>
          <cell r="C217">
            <v>1370011</v>
          </cell>
        </row>
        <row r="218">
          <cell r="B218" t="str">
            <v xml:space="preserve">TUBU SALCHICHON FAIZAN AUTENTICO 225G   </v>
          </cell>
          <cell r="C218">
            <v>1370012</v>
          </cell>
        </row>
        <row r="219">
          <cell r="B219" t="str">
            <v xml:space="preserve">TUBU SALCHICHON CERVECERO VIANDE X 225G </v>
          </cell>
          <cell r="C219">
            <v>1370013</v>
          </cell>
        </row>
        <row r="220">
          <cell r="B220" t="str">
            <v xml:space="preserve">TUBU SALCHICHON CERVECERO FAIZAN 1500G  </v>
          </cell>
          <cell r="C220">
            <v>1370014</v>
          </cell>
        </row>
        <row r="221">
          <cell r="B221" t="str">
            <v xml:space="preserve">TUBU SALCHICHON CERVECERO FAIZAN 750G   </v>
          </cell>
          <cell r="C221">
            <v>1370015</v>
          </cell>
        </row>
        <row r="222">
          <cell r="B222" t="str">
            <v xml:space="preserve">TUBU SALCHICHON CERVECERO FAIZAN X 500G </v>
          </cell>
          <cell r="C222">
            <v>1370016</v>
          </cell>
        </row>
        <row r="223">
          <cell r="B223" t="str">
            <v xml:space="preserve">TUBU SALCHICHON POLLO BRAKEL X 500G     </v>
          </cell>
          <cell r="C223">
            <v>1370017</v>
          </cell>
        </row>
        <row r="224">
          <cell r="B224" t="str">
            <v xml:space="preserve">TUBU SALCHICHON POLLO BRAKEL 225G       </v>
          </cell>
          <cell r="C224">
            <v>1370018</v>
          </cell>
        </row>
        <row r="225">
          <cell r="B225" t="str">
            <v xml:space="preserve">TUBU SALCHICHON TRADICI VIANDE X 500G   </v>
          </cell>
          <cell r="C225">
            <v>1370019</v>
          </cell>
        </row>
        <row r="226">
          <cell r="B226" t="str">
            <v xml:space="preserve">TUBU SALCHICHON POLL FAIZAN X 225G      </v>
          </cell>
          <cell r="C226">
            <v>1370020</v>
          </cell>
        </row>
        <row r="227">
          <cell r="B227" t="str">
            <v xml:space="preserve">TUBU SALCHICHON AUTENTICO X750 G        </v>
          </cell>
          <cell r="C227">
            <v>1370021</v>
          </cell>
        </row>
        <row r="228">
          <cell r="B228" t="str">
            <v>FIBROSA T-SHIRT CLR REG 1 1/2 X 150 35ST</v>
          </cell>
          <cell r="C228">
            <v>1370022</v>
          </cell>
        </row>
        <row r="229">
          <cell r="B229" t="str">
            <v>TUBU SALCHICHON CERVECERO FAIZAN X 1300G</v>
          </cell>
          <cell r="C229">
            <v>1370025</v>
          </cell>
        </row>
        <row r="230">
          <cell r="B230" t="str">
            <v>MALLA JIF PAK 08SQRU 45MR SM4</v>
          </cell>
          <cell r="C230">
            <v>1370026</v>
          </cell>
        </row>
        <row r="231">
          <cell r="B231" t="str">
            <v>MALLA ZIP-NET-28-P368/50GR- ROJA Y VERDE</v>
          </cell>
          <cell r="C231">
            <v>1370027</v>
          </cell>
        </row>
        <row r="232">
          <cell r="B232" t="str">
            <v>FUNDA CELULOSA 26 X 84</v>
          </cell>
          <cell r="C232">
            <v>1370028</v>
          </cell>
        </row>
        <row r="233">
          <cell r="B233" t="str">
            <v>FUNDA COLAGENO  NDX F 30 / 50</v>
          </cell>
          <cell r="C233">
            <v>1370029</v>
          </cell>
        </row>
        <row r="234">
          <cell r="B234" t="str">
            <v>FUNDA CELULOSA 20 X 110</v>
          </cell>
          <cell r="C234">
            <v>1370031</v>
          </cell>
        </row>
        <row r="235">
          <cell r="B235" t="str">
            <v>FUNDA CELULOSA 17X95</v>
          </cell>
          <cell r="C235">
            <v>1370032</v>
          </cell>
        </row>
        <row r="236">
          <cell r="B236" t="str">
            <v>FUNDA CELULOSA 24X84</v>
          </cell>
          <cell r="C236">
            <v>1370035</v>
          </cell>
        </row>
        <row r="237">
          <cell r="B237" t="str">
            <v>FUNDA CELULOSA 28X84</v>
          </cell>
          <cell r="C237">
            <v>1370036</v>
          </cell>
        </row>
        <row r="238">
          <cell r="B238" t="str">
            <v>FUNDA COLAGENO NDX 17/50</v>
          </cell>
          <cell r="C238">
            <v>1370039</v>
          </cell>
        </row>
        <row r="239">
          <cell r="B239" t="str">
            <v>FUNDA COLAGENO NDX 23/50</v>
          </cell>
          <cell r="C239">
            <v>1370040</v>
          </cell>
        </row>
        <row r="240">
          <cell r="B240" t="str">
            <v>TUBU SALCHICHON CERVECERO FAIZAN 225G</v>
          </cell>
          <cell r="C240">
            <v>1370041</v>
          </cell>
        </row>
        <row r="241">
          <cell r="B241" t="str">
            <v>PLASTICA AHUMADA BTM CAL 540 X 123 CM</v>
          </cell>
          <cell r="C241">
            <v>1370047</v>
          </cell>
        </row>
        <row r="242">
          <cell r="B242" t="str">
            <v>CLIPS HC25-3218T</v>
          </cell>
          <cell r="C242">
            <v>1380002</v>
          </cell>
        </row>
        <row r="243">
          <cell r="B243" t="str">
            <v xml:space="preserve">LAZOS POLY-CLIP GSA20                   </v>
          </cell>
          <cell r="C243">
            <v>1380003</v>
          </cell>
        </row>
        <row r="244">
          <cell r="B244" t="str">
            <v xml:space="preserve">GRAPAS POLY-CLIP R15-07                 </v>
          </cell>
          <cell r="C244">
            <v>1380004</v>
          </cell>
        </row>
        <row r="245">
          <cell r="B245" t="str">
            <v>GRAPAS POLY- R-ID M 07-150</v>
          </cell>
          <cell r="C245">
            <v>1380005</v>
          </cell>
        </row>
        <row r="246">
          <cell r="B246" t="str">
            <v>PIERNA DESGRASADA MOLIENDA DISCO RIÑON</v>
          </cell>
          <cell r="C246">
            <v>2903001</v>
          </cell>
        </row>
        <row r="247">
          <cell r="B247" t="str">
            <v>REPELE CHARQUEADO</v>
          </cell>
          <cell r="C247">
            <v>2903002</v>
          </cell>
        </row>
        <row r="248">
          <cell r="B248" t="str">
            <v>BRAZUELO CHARQUEADO</v>
          </cell>
          <cell r="C248">
            <v>2903003</v>
          </cell>
        </row>
        <row r="249">
          <cell r="B249" t="str">
            <v>EMULSION DE PIEL DE CERDO</v>
          </cell>
          <cell r="C249">
            <v>2906001</v>
          </cell>
        </row>
        <row r="250">
          <cell r="B250" t="str">
            <v>GRANULOS</v>
          </cell>
          <cell r="C250">
            <v>2906002</v>
          </cell>
        </row>
        <row r="251">
          <cell r="B251"/>
          <cell r="C251"/>
        </row>
        <row r="252">
          <cell r="B252"/>
          <cell r="C252"/>
        </row>
        <row r="253">
          <cell r="B253"/>
          <cell r="C253"/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AFICO MB X REF."/>
      <sheetName val="MATERIAS PRIMAS"/>
      <sheetName val="MATERIAL DE EMPAQUE"/>
      <sheetName val="MP ALZA"/>
      <sheetName val="MP ESTABLE"/>
      <sheetName val="MP BAJA"/>
      <sheetName val="ME ALZA"/>
      <sheetName val="ME ESTABLE"/>
      <sheetName val="MP OCT"/>
      <sheetName val="ME OCT"/>
      <sheetName val="EXPLOSION ME DIC 2022"/>
      <sheetName val="D1"/>
      <sheetName val="FAZAN"/>
      <sheetName val="MB FEB"/>
      <sheetName val="CERVECERO 500"/>
      <sheetName val="CERVECERO 750"/>
      <sheetName val="CERVECERO 1300"/>
      <sheetName val="CERVECERO 1500"/>
      <sheetName val="SCHON CERV PREM X 50 G"/>
      <sheetName val="OFTA CERV PREM X 6 UND"/>
      <sheetName val="SCHA JUMBO X 1200 G"/>
      <sheetName val="SCHA JUMBO X 450G exito"/>
      <sheetName val="SCHA JUMBO X 450G fazán"/>
      <sheetName val="MINI PERRO X 1.0"/>
      <sheetName val="SCHA PERRO X 480 G - 12 UNDS"/>
      <sheetName val="SCHA S. PERRO X 500 "/>
      <sheetName val="SUPER PERRO X 2500"/>
      <sheetName val="CHRZ CON TERNERA 110 G 2 UND"/>
      <sheetName val="CHORIZO CON TERNERA 220"/>
      <sheetName val="CHORIZO CON TERNERA 440 G FZAN"/>
      <sheetName val="CHORIZO CON TERNERA 440  G  EXI"/>
      <sheetName val="CHORIZO CON TERNERA 1100"/>
      <sheetName val="CHORIZO DE CERDO 100 "/>
      <sheetName val="CHORIZO DE CERDO 250 EXITO"/>
      <sheetName val="CHORIZO DE CERDO 250 FAZÁN"/>
      <sheetName val="CHORIZO DE CERDO 400 g"/>
      <sheetName val="CHORIZO DE CERDO 1000"/>
      <sheetName val="CHORIZO SANTARROSANO x 300"/>
      <sheetName val="CHORIZO SANTARROSANO x 130 g"/>
      <sheetName val="CHORIZO SANTARROSANO x 65 g"/>
      <sheetName val="PROPUESTA CERVECERITO"/>
      <sheetName val="CHORIZO SANTARROSANO x 480 "/>
      <sheetName val="CHORIZO SANTARROSANO x 1200"/>
      <sheetName val="CHORIZO SANTA COCTEL x 300"/>
      <sheetName val="CHORIZO SANTA COCTEL x 1000"/>
      <sheetName val="CHORIZO SANTA CORTO 480 "/>
      <sheetName val="CHORIZO SANTA LARGO x 1200 "/>
      <sheetName val="SCHA INSTITU x 1200"/>
      <sheetName val="JMN PREMIUM FZAN 120 G "/>
      <sheetName val="JMN PREMIUM EXITO 200 G"/>
      <sheetName val="JMN PREMIUM FZAN 200 G"/>
      <sheetName val="JMN PREMIUM EXITO 220 G"/>
      <sheetName val="JMN PREMIUM 400 G"/>
      <sheetName val="HSA 450 G - 5 UNDS"/>
      <sheetName val="HSA 900 G - 10 UNDS"/>
      <sheetName val="HSA cja 2700 G - 30 UNDS"/>
      <sheetName val="HSA LOS PERRITOS"/>
      <sheetName val="ALTERNATIVA HSAS"/>
      <sheetName val="HSA POLLO 1425 X 15 "/>
      <sheetName val="HSA POLLO 1500 X10"/>
      <sheetName val="SCHA DESAYUNO 115 G - 5 UNDS"/>
      <sheetName val="SCHA DESAYUNO EXI x 240 x 7 "/>
      <sheetName val="SCHA DESAYUNO FZA x 240 x 7 UND"/>
      <sheetName val="SCHA DESAYUNO 480 G -14 UND"/>
      <sheetName val="PICK UP MILANESA"/>
      <sheetName val="MNESA POLLO 4 UND BRASSET V1."/>
      <sheetName val="MNESA POLLO 4 UND BRASSET V2."/>
      <sheetName val="SCHA DESAYUNO 960 G"/>
      <sheetName val="SCHA MANGUERA 560 G - 6 UND"/>
      <sheetName val="SCHA MANGUERA 1120G - 12UND"/>
      <sheetName val="MNESA APANADA 1800 G 15 UND"/>
      <sheetName val="MDELA FAIZAN  225 G 14 U CC"/>
      <sheetName val="EXPLORACIÓN LUCTA"/>
      <sheetName val="MEGA COMBO FAIZAN 675 G"/>
      <sheetName val="MDELA COLPAG X 250 UNDS"/>
      <sheetName val="MNESA APANADA 600 G 5 UNDS"/>
      <sheetName val="MNESA APANADA 240 G 2 UNDS"/>
      <sheetName val="SCHON AUTENTICO X 750 G"/>
      <sheetName val="SCHON AUTENTICO X 225 G"/>
      <sheetName val="MDELA FAIZAN  225 G 14 U SC"/>
      <sheetName val="SCHA CLÁSICA   225 G 9 UND"/>
      <sheetName val="SCHA CLÁSICA   450 G 18 UND"/>
      <sheetName val="SCHON POLLO X 225 G"/>
      <sheetName val="MORTADELA JAMON X 225 "/>
      <sheetName val="CERVECERO FZAN  225"/>
      <sheetName val="MEGA COMBO FAIZAN 900 G NUEVO"/>
      <sheetName val="MEGA COMBO FAIZAN 675G X3 "/>
      <sheetName val="JMN SDW  INST  500 G 28 U "/>
      <sheetName val="JMN SDW  450 G 28 U "/>
      <sheetName val="JMN SDW  EXITO X 450 "/>
      <sheetName val="JMN SDW  FZAN X 225 "/>
      <sheetName val="JMN SDW  EXITO X 225 "/>
      <sheetName val="SCHON TRAD VIANDÉ X 500 "/>
      <sheetName val="SCHON POLLO BRAKEL X 500"/>
      <sheetName val="SCHON POLLO BRAKEL X 225"/>
      <sheetName val="MDELA VIANDÉ X 225 G - 17 UND S"/>
      <sheetName val="SCHON CERV VIANDÉ X 225 G"/>
      <sheetName val="MDELA VIANDÉ X 225 G 14 UND "/>
      <sheetName val="PROPUESTA MDELA ITALIAN"/>
      <sheetName val="SCHA VIANDÉ   225 G 8 UNDS"/>
      <sheetName val="SCHA VIANDÉ 450 G - 16 UNDS"/>
      <sheetName val="SCHA VIANDÉ 400 G "/>
      <sheetName val="SÚPER COMBO VIANDÉ 900 G"/>
      <sheetName val="Hoja6"/>
      <sheetName val="Hoja7"/>
      <sheetName val="JMN PREM VIANDÉ 300 G - 15"/>
      <sheetName val="PROPUESTA JMN SANDUCHE"/>
      <sheetName val="MPFEB"/>
      <sheetName val="JMN PREM VIANDÉ 300 G - 15 V2."/>
      <sheetName val="PERRO CALIENTE VIANDE x 240G"/>
      <sheetName val="SUPER PERRO VIANDE X 400G"/>
      <sheetName val="SALCHICHA UNINORTE"/>
      <sheetName val="SALCHICHA LONG"/>
      <sheetName val="CHORIZO TERNERA VIANDE"/>
      <sheetName val="CHORIZO ANTIOQUEÑO VIANDE"/>
      <sheetName val="TOCINETA X 150 GRS FZAN"/>
      <sheetName val="TOCINETA X 1000 GRS FZAN"/>
      <sheetName val="PERNIL DE CERDO "/>
      <sheetName val="TOCINO BARR 1KG"/>
      <sheetName val="TOCINO PAPADA 1KG"/>
      <sheetName val="TOCINO BARRIGUERO 1KG"/>
      <sheetName val="CIF Y PV"/>
      <sheetName val="SUPER PERRO VIANDE ajuste"/>
      <sheetName val="PERRO CALIENTE VIANDE ajuste"/>
      <sheetName val="TD EXP ME"/>
      <sheetName val="Gráfico1"/>
      <sheetName val="PERNIL DE CERDO"/>
      <sheetName val="Hoja8"/>
      <sheetName val="JMN SDW  450 G 24 U "/>
      <sheetName val="EXPLOSIÓN ME DIC 2022"/>
      <sheetName val="SCHA AMERICANA QUESUDOS"/>
      <sheetName val="SCHA AMERICANA SAN ANDRÉS"/>
      <sheetName val="san andrés"/>
      <sheetName val="REPROCESO MORTADELA"/>
      <sheetName val="HUMO"/>
      <sheetName val="TOCINETA"/>
      <sheetName val="TOCINETA 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>
        <row r="2">
          <cell r="F2" t="str">
            <v xml:space="preserve">JUL-COP/Kg </v>
          </cell>
        </row>
        <row r="4">
          <cell r="F4" t="str">
            <v xml:space="preserve">JUL-COP/UMB </v>
          </cell>
          <cell r="G4" t="str">
            <v>JUL-COP/APP</v>
          </cell>
        </row>
      </sheetData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áfico2"/>
      <sheetName val="MATERIAS PRIMAS"/>
      <sheetName val="MATERIAL DE EMPAQUE"/>
      <sheetName val="Gráfico3"/>
      <sheetName val="Gráfico4"/>
      <sheetName val="Gráfico5"/>
      <sheetName val="Gráfico6"/>
      <sheetName val="Gráfico7"/>
      <sheetName val="MP OCT"/>
      <sheetName val="ME OCT"/>
      <sheetName val="EXPLOSION ME DIC 2022"/>
      <sheetName val="D1"/>
      <sheetName val="FAZAN"/>
      <sheetName val="MB FEB"/>
      <sheetName val="CERVECERO 500"/>
      <sheetName val="CERVECERO 750"/>
      <sheetName val="CERVECERO 1300"/>
      <sheetName val="CERVECERO 1500"/>
      <sheetName val="SCHON CERV PREM X 50 G"/>
      <sheetName val="OFTA CERV PREM X 6 UND"/>
      <sheetName val="SCHA JUMBO X 1200 G"/>
      <sheetName val="SCHA JUMBO X 450G exito"/>
      <sheetName val="SCHA JUMBO X 450G fazán"/>
      <sheetName val="MINI PERRO X 1.0"/>
      <sheetName val="SCHA PERRO X 480 G - 12 UNDS"/>
      <sheetName val="SCHA S. PERRO X 500 "/>
      <sheetName val="SUPER PERRO X 2500"/>
      <sheetName val="SUPER PERRO X 2500 RX"/>
      <sheetName val="CHRZ CON TERNERA 110 G 2 UND"/>
      <sheetName val="CHORIZO CON TERNERA 220"/>
      <sheetName val="CHORIZO CON TERNERA 440 G FZAN"/>
      <sheetName val="CHORIZO CON TERNERA 440  G  EXI"/>
      <sheetName val="CHORIZO CON TERNERA 1100"/>
      <sheetName val="CHORIZO DE CERDO 100 "/>
      <sheetName val="CHORIZO DE CERDO 250 EXITO"/>
      <sheetName val="CHORIZO DE CERDO 250 FAZÁN"/>
      <sheetName val="CHORIZO DE CERDO 400 g"/>
      <sheetName val="CHORIZO DE CERDO 1000"/>
      <sheetName val="CHORIZO SANTARROSANO x 300"/>
      <sheetName val="CHORIZO SANTARROSANO x 130 g"/>
      <sheetName val="CHORIZO SANTARROSANO x 65 g"/>
      <sheetName val="PROPUESTA CERVECERITO"/>
      <sheetName val="CHORIZO SANTARROSANO x 480 "/>
      <sheetName val="CHORIZO SANTARROSANO x 1200"/>
      <sheetName val="CHORIZO SANTA COCTEL x 300"/>
      <sheetName val="CHORIZO SANTA COCTEL x 1000"/>
      <sheetName val="CHORIZO SANTA CORTO 480 "/>
      <sheetName val="CHORIZO SANTA LARGO x 1200 "/>
      <sheetName val="SCHA INSTITU x 1200"/>
      <sheetName val="JMN PREMIUM FZAN 120 G "/>
      <sheetName val="JMN PREMIUM EXITO 200 G"/>
      <sheetName val="JMN PREMIUM FZAN 200 G"/>
      <sheetName val="JMN PREMIUM EXITO 220 G"/>
      <sheetName val="JMN PREMIUM 400 G"/>
      <sheetName val="HSA 450 G - 5 UNDS"/>
      <sheetName val="HSA 900 G - 10 UNDS"/>
      <sheetName val="HSA cja 2700 G - 30 UNDS"/>
      <sheetName val="HSA LOS PERRITOS"/>
      <sheetName val="ALTERNATIVA HSAS"/>
      <sheetName val="HSA POLLO 1425 X 15 "/>
      <sheetName val="HSA POLLO 1500 X10"/>
      <sheetName val="HSA POLLO 750 X5"/>
      <sheetName val="SCHA DESAYUNO 115 G - 5 UNDS"/>
      <sheetName val="SCHA DESAYUNO EXI x 240 x 7 "/>
      <sheetName val="SCHA DESAYUNO FZA x 240 x 7 UND"/>
      <sheetName val="SCHA DESAYUNO 480 G -14 UND"/>
      <sheetName val="PICK UP MILANESA"/>
      <sheetName val="MNESA POLLO 4 UND BRASSET V1."/>
      <sheetName val="MNESA POLLO 4 UND BRASSET V2."/>
      <sheetName val="SCHA DESAYUNO 960 G"/>
      <sheetName val="SCHA MANGUERA 560 G - 6 UND"/>
      <sheetName val="SCHA MANGUERA 1120G - 12UND"/>
      <sheetName val="MNESA APANADA 1800 G 15 UND"/>
      <sheetName val="MDELA FAIZAN  225 G 14 U CC"/>
      <sheetName val="EXPLORACIÓN LUCTA"/>
      <sheetName val="MEGA COMBO FAIZAN 675 G"/>
      <sheetName val="MDELA COLPAG X 250 UNDS"/>
      <sheetName val="MNESA APANADA 600 G 5 UNDS"/>
      <sheetName val="MNESA APANADA 240 G 2 UNDS"/>
      <sheetName val="SCHON AUTENTICO X 750 G"/>
      <sheetName val="SCHON AUTENTICO X 225 G"/>
      <sheetName val="MDELA FAIZAN  225 G 14 U SC"/>
      <sheetName val="SCHA CLÁSICA   225 G 9 UND"/>
      <sheetName val="SCHA CLÁSICA   450 G 18 UND"/>
      <sheetName val="SCHON POLLO X 225 G"/>
      <sheetName val="MORTADELA JAMON X 225 "/>
      <sheetName val="CERVECERO FZAN  225"/>
      <sheetName val="MEGA COMBO FAIZAN 900 G NUEVO"/>
      <sheetName val="MEGA COMBO FAIZAN 675G X3 "/>
      <sheetName val="JMN SDW  INST  500 G 28 U "/>
      <sheetName val="JMN SDW  450 G 28 U "/>
      <sheetName val="JMN SDW  EXITO X 450 "/>
      <sheetName val="JMN SDW  FZAN X 225 "/>
      <sheetName val="JMN SDW  EXITO X 225 "/>
      <sheetName val="SCHON TRAD VIANDÉ X 500 "/>
      <sheetName val="SCHON POLLO BRAKEL X 500"/>
      <sheetName val="SCHON POLLO BRAKEL X 225"/>
      <sheetName val="MDELA VIANDÉ X 225 G - 17 UND S"/>
      <sheetName val="SCHON CERV VIANDÉ X 225 G"/>
      <sheetName val="MDELA VIANDÉ X 225 G 14 UND "/>
      <sheetName val="PROPUESTA MDELA ITALIAN"/>
      <sheetName val="SCHA VIANDÉ   225 G 8 UNDS"/>
      <sheetName val="SCHA VIANDÉ 450 G - 16 UNDS"/>
      <sheetName val="SCHA VIANDÉ 400 G "/>
      <sheetName val="SÚPER COMBO VIANDÉ 900 G"/>
      <sheetName val="Hoja6"/>
      <sheetName val="Hoja7"/>
      <sheetName val="JMN PREM VIANDÉ 300 G - 15"/>
      <sheetName val="PROPUESTA JMN SANDUCHE"/>
      <sheetName val="MPFEB"/>
      <sheetName val="JMN PREM VIANDÉ 300 G - 15 V2."/>
      <sheetName val="PERRO CALIENTE VIANDE x 240G"/>
      <sheetName val="SUPER PERRO VIANDE X 400G"/>
      <sheetName val="SUPER PERRO VIANDE X 400G RX"/>
      <sheetName val="SALCHICHA UNINORTE"/>
      <sheetName val="SALCHICHA LONG"/>
      <sheetName val="CHORIZO TERNERA VIANDE"/>
      <sheetName val="CHORIZO SANTARRO VIANDE"/>
      <sheetName val="CHORIZO ANTIOQUEÑO VIANDE"/>
      <sheetName val="TOCINETA X 150 GRS FZAN"/>
      <sheetName val="TOCINETA X 1000 GRS FZAN"/>
      <sheetName val="TOCINETA X 150 RX"/>
      <sheetName val="TOCINETA X 1000 GRS RX"/>
      <sheetName val="SNACK  CERV PREM X 50 G "/>
      <sheetName val="OFTA SNACK  PREM X 3 UND"/>
      <sheetName val="PERNIL DE CERDO "/>
      <sheetName val="TOCINO BARR 1KG"/>
      <sheetName val="TOCINO PAPADA 1KG"/>
      <sheetName val="TOCINO BARRIGUERO 1KG"/>
      <sheetName val="CIF Y PV"/>
      <sheetName val="TD EXP ME"/>
      <sheetName val="Gráfico8"/>
      <sheetName val="PERNIL DE CERDO"/>
      <sheetName val="Hoja8"/>
      <sheetName val="JMN SDW  450 G 24 U "/>
      <sheetName val="EXPLOSIÓN ME DIC 2022"/>
      <sheetName val="SCHA AMERICANA QUESUDOS"/>
      <sheetName val="SCHA AMERICANA SAN ANDRÉS"/>
      <sheetName val="san andrés"/>
      <sheetName val="REPROCESO MORTADELA"/>
      <sheetName val="HUMO"/>
      <sheetName val="TOCINETA"/>
      <sheetName val="TOCINETA PP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2">
          <cell r="F2" t="str">
            <v xml:space="preserve">DIC-COP/Kg </v>
          </cell>
          <cell r="G2" t="str">
            <v>DIC-COP/APP</v>
          </cell>
        </row>
        <row r="3">
          <cell r="C3">
            <v>1700</v>
          </cell>
        </row>
        <row r="4">
          <cell r="F4" t="str">
            <v xml:space="preserve">DIC-COP/UMB </v>
          </cell>
          <cell r="G4" t="str">
            <v>DIC-COP/APP</v>
          </cell>
          <cell r="H4" t="str">
            <v xml:space="preserve">NOV-COP/UMB </v>
          </cell>
          <cell r="I4" t="str">
            <v>NOV-COP/APP</v>
          </cell>
        </row>
      </sheetData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 refreshError="1">
        <row r="2">
          <cell r="B2" t="str">
            <v>SUPRA MEAT F451</v>
          </cell>
          <cell r="C2">
            <v>121007</v>
          </cell>
        </row>
        <row r="3">
          <cell r="B3" t="str">
            <v xml:space="preserve">PIEL DE POLLO                           </v>
          </cell>
          <cell r="C3">
            <v>1111002</v>
          </cell>
        </row>
        <row r="4">
          <cell r="B4" t="str">
            <v>PASTA DE POLLO IMPORTADA PREMIUM</v>
          </cell>
          <cell r="C4">
            <v>1112001</v>
          </cell>
        </row>
        <row r="5">
          <cell r="B5" t="str">
            <v>PASTA DE POLLO ESTANDAR</v>
          </cell>
          <cell r="C5">
            <v>1112002</v>
          </cell>
        </row>
        <row r="6">
          <cell r="B6" t="str">
            <v xml:space="preserve">RECORTE DE PECHUGA 95 5 SIN PIEL        </v>
          </cell>
          <cell r="C6">
            <v>1112005</v>
          </cell>
        </row>
        <row r="7">
          <cell r="B7" t="str">
            <v>TOCINO MULTICERDOS</v>
          </cell>
          <cell r="C7">
            <v>1121001</v>
          </cell>
        </row>
        <row r="8">
          <cell r="B8" t="str">
            <v>GRASA EMPELLA</v>
          </cell>
          <cell r="C8">
            <v>1121003</v>
          </cell>
        </row>
        <row r="9">
          <cell r="B9" t="str">
            <v>PIEL DE CERDO DESGRASADA</v>
          </cell>
          <cell r="C9">
            <v>1121004</v>
          </cell>
        </row>
        <row r="10">
          <cell r="B10" t="str">
            <v>TOCINO BARRIGUERO PARA INYECCION</v>
          </cell>
          <cell r="C10">
            <v>1121005</v>
          </cell>
        </row>
        <row r="11">
          <cell r="B11" t="str">
            <v>TOCINO PAPADA PARA INYECCION</v>
          </cell>
          <cell r="C11">
            <v>1121006</v>
          </cell>
        </row>
        <row r="12">
          <cell r="B12" t="str">
            <v>TOCINO NACIONAL</v>
          </cell>
          <cell r="C12">
            <v>1121009</v>
          </cell>
        </row>
        <row r="13">
          <cell r="B13" t="str">
            <v>BRAZUELO DE CERDO NACIONAL</v>
          </cell>
          <cell r="C13">
            <v>1122001</v>
          </cell>
        </row>
        <row r="14">
          <cell r="B14" t="str">
            <v>PIERNA DE CERDO</v>
          </cell>
          <cell r="C14">
            <v>1122002</v>
          </cell>
        </row>
        <row r="15">
          <cell r="B15" t="str">
            <v xml:space="preserve">RECORTE CERDO 80/20 NAL EMULSIFICADOS </v>
          </cell>
          <cell r="C15">
            <v>1122004</v>
          </cell>
        </row>
        <row r="16">
          <cell r="B16" t="str">
            <v>BRAZUELO DE CERDO IMPORTADO</v>
          </cell>
          <cell r="C16">
            <v>1122006</v>
          </cell>
        </row>
        <row r="17">
          <cell r="B17" t="str">
            <v>RECORTE DE CERDO 80/20 IMPORTADO</v>
          </cell>
          <cell r="C17">
            <v>1122007</v>
          </cell>
        </row>
        <row r="18">
          <cell r="B18" t="str">
            <v>RECORTE CERDO 80/20 NAL MEZCLADOS</v>
          </cell>
          <cell r="C18">
            <v>1122008</v>
          </cell>
        </row>
        <row r="19">
          <cell r="B19" t="str">
            <v>BRAZUELO DE CERDO NACIONAL (FORANEO)</v>
          </cell>
          <cell r="C19">
            <v>1122010</v>
          </cell>
        </row>
        <row r="20">
          <cell r="B20" t="str">
            <v>PIERNA DE CERDO NACIONAL (FORANEA)</v>
          </cell>
          <cell r="C20">
            <v>1122011</v>
          </cell>
        </row>
        <row r="21">
          <cell r="B21" t="str">
            <v xml:space="preserve">HIELO EN ESCAMAS                        </v>
          </cell>
          <cell r="C21">
            <v>1131001</v>
          </cell>
        </row>
        <row r="22">
          <cell r="B22" t="str">
            <v>CARNE DE TERNERA</v>
          </cell>
          <cell r="C22">
            <v>1141001</v>
          </cell>
        </row>
        <row r="23">
          <cell r="B23" t="str">
            <v>MEZCLA FOSFATOS CARFOSEL996 (GRANULAR)</v>
          </cell>
          <cell r="C23">
            <v>1210002</v>
          </cell>
        </row>
        <row r="24">
          <cell r="B24" t="str">
            <v xml:space="preserve">ERITORBATO DE SODIO                     </v>
          </cell>
          <cell r="C24">
            <v>1210003</v>
          </cell>
        </row>
        <row r="25">
          <cell r="B25" t="str">
            <v xml:space="preserve">SAL CURANTE AL 12 %                     </v>
          </cell>
          <cell r="C25">
            <v>1210004</v>
          </cell>
        </row>
        <row r="26">
          <cell r="B26" t="str">
            <v xml:space="preserve">SAL YODADA REFISAL                      </v>
          </cell>
          <cell r="C26">
            <v>1210005</v>
          </cell>
        </row>
        <row r="27">
          <cell r="B27" t="str">
            <v xml:space="preserve">SAL REDUCIDA EN SODIO 60/40             </v>
          </cell>
          <cell r="C27">
            <v>1210006</v>
          </cell>
        </row>
        <row r="28">
          <cell r="B28" t="str">
            <v>PIROFOSFATO ACIDO DE SODIO</v>
          </cell>
          <cell r="C28">
            <v>1210008</v>
          </cell>
        </row>
        <row r="29">
          <cell r="B29" t="str">
            <v xml:space="preserve">SABOR CERDO COCIDO                      </v>
          </cell>
          <cell r="C29">
            <v>1220001</v>
          </cell>
        </row>
        <row r="30">
          <cell r="B30" t="str">
            <v xml:space="preserve">AZUCAR REFINADA                         </v>
          </cell>
          <cell r="C30">
            <v>1220004</v>
          </cell>
        </row>
        <row r="31">
          <cell r="B31" t="str">
            <v xml:space="preserve">AJO MOLIDO DESHIDRATADO B.1             </v>
          </cell>
          <cell r="C31">
            <v>1220005</v>
          </cell>
        </row>
        <row r="32">
          <cell r="B32" t="str">
            <v xml:space="preserve">PIMIENTA BLANCA MOLIDA                  </v>
          </cell>
          <cell r="C32">
            <v>1220006</v>
          </cell>
        </row>
        <row r="33">
          <cell r="B33" t="str">
            <v>PIMIENTA NEGRA MOLIDA</v>
          </cell>
          <cell r="C33">
            <v>1220007</v>
          </cell>
        </row>
        <row r="34">
          <cell r="B34" t="str">
            <v xml:space="preserve">COMINO MOLIDO B                         </v>
          </cell>
          <cell r="C34">
            <v>1220008</v>
          </cell>
        </row>
        <row r="35">
          <cell r="B35" t="str">
            <v xml:space="preserve">CEBOLLA EN POLVO                        </v>
          </cell>
          <cell r="C35">
            <v>1220009</v>
          </cell>
        </row>
        <row r="36">
          <cell r="B36" t="str">
            <v xml:space="preserve">DEXTROSA                                </v>
          </cell>
          <cell r="C36">
            <v>1220010</v>
          </cell>
        </row>
        <row r="37">
          <cell r="B37" t="str">
            <v xml:space="preserve">ADITIVO BURGER MEAT 80 B NAT            </v>
          </cell>
          <cell r="C37">
            <v>1220011</v>
          </cell>
        </row>
        <row r="38">
          <cell r="B38" t="str">
            <v xml:space="preserve">APANADO NARANJA GRUESO                  </v>
          </cell>
          <cell r="C38">
            <v>1220012</v>
          </cell>
        </row>
        <row r="39">
          <cell r="B39" t="str">
            <v xml:space="preserve">AROMA SALCHICHON TRADICIONAL 84987B     </v>
          </cell>
          <cell r="C39">
            <v>1220013</v>
          </cell>
        </row>
        <row r="40">
          <cell r="B40" t="str">
            <v xml:space="preserve">PVH LIQUIDA M 1222                      </v>
          </cell>
          <cell r="C40">
            <v>1220014</v>
          </cell>
        </row>
        <row r="41">
          <cell r="B41" t="str">
            <v>MEZCLA LIQUIDA SALCHICHA</v>
          </cell>
          <cell r="C41">
            <v>1220015</v>
          </cell>
        </row>
        <row r="42">
          <cell r="B42" t="str">
            <v>SALSA DE CIRUELAS SOBRE X 80G TECNAS</v>
          </cell>
          <cell r="C42">
            <v>1220020</v>
          </cell>
        </row>
        <row r="43">
          <cell r="B43" t="str">
            <v>LUCTAROMA SCHA POLLO ASADO 82894B</v>
          </cell>
          <cell r="C43">
            <v>1220022</v>
          </cell>
        </row>
        <row r="44">
          <cell r="B44" t="str">
            <v xml:space="preserve">PREPARADO SABOR  CERVECERO NEO          </v>
          </cell>
          <cell r="C44">
            <v>1230003</v>
          </cell>
        </row>
        <row r="45">
          <cell r="B45" t="str">
            <v>PREPARADO SABOR CERVECERO SV GF</v>
          </cell>
          <cell r="C45">
            <v>1230004</v>
          </cell>
        </row>
        <row r="46">
          <cell r="B46" t="str">
            <v xml:space="preserve">PREPARADO SABOR CHORIZO CERDO           </v>
          </cell>
          <cell r="C46">
            <v>1230005</v>
          </cell>
        </row>
        <row r="47">
          <cell r="B47" t="str">
            <v xml:space="preserve">PREPARADO SABOR CHORIZO TERNERA         </v>
          </cell>
          <cell r="C47">
            <v>1230006</v>
          </cell>
        </row>
        <row r="48">
          <cell r="B48" t="str">
            <v xml:space="preserve">PREPARADO SABOR JAMON T 3391            </v>
          </cell>
          <cell r="C48">
            <v>1230008</v>
          </cell>
        </row>
        <row r="49">
          <cell r="B49" t="str">
            <v>PREPARADO SABOR CERVECERO PREMIUM SV LS</v>
          </cell>
          <cell r="C49">
            <v>1230009</v>
          </cell>
        </row>
        <row r="50">
          <cell r="B50" t="str">
            <v xml:space="preserve">TAROMA HAM                              </v>
          </cell>
          <cell r="C50">
            <v>1230010</v>
          </cell>
        </row>
        <row r="51">
          <cell r="B51" t="str">
            <v xml:space="preserve">BATIDO COMPLETO                         </v>
          </cell>
          <cell r="C51">
            <v>1230011</v>
          </cell>
        </row>
        <row r="52">
          <cell r="B52" t="str">
            <v>CEBOLLA PUERRO</v>
          </cell>
          <cell r="C52">
            <v>1230012</v>
          </cell>
        </row>
        <row r="53">
          <cell r="B53" t="str">
            <v>PAPRIKA POLVO</v>
          </cell>
          <cell r="C53">
            <v>1230013</v>
          </cell>
        </row>
        <row r="54">
          <cell r="B54" t="str">
            <v>AROMA SCHON DE POLLO 88447B LUCTA</v>
          </cell>
          <cell r="C54">
            <v>1230016</v>
          </cell>
        </row>
        <row r="55">
          <cell r="B55" t="str">
            <v xml:space="preserve">AROMA MORTADELA TRAD 88896B </v>
          </cell>
          <cell r="C55">
            <v>1230017</v>
          </cell>
        </row>
        <row r="56">
          <cell r="B56" t="str">
            <v>LUCTAROMA CEBOLLA FRITA 82973B</v>
          </cell>
          <cell r="C56">
            <v>1230018</v>
          </cell>
        </row>
        <row r="57">
          <cell r="B57" t="str">
            <v>LUCTAROMA CHORIZO ANTIOQUEÑO 81110B</v>
          </cell>
          <cell r="C57">
            <v>1230019</v>
          </cell>
        </row>
        <row r="58">
          <cell r="B58" t="str">
            <v>CILANTRO MOLIDO</v>
          </cell>
          <cell r="C58">
            <v>1230020</v>
          </cell>
        </row>
        <row r="59">
          <cell r="B59" t="str">
            <v>LUCTAROMA AHUMADO TOCINETA 85812B</v>
          </cell>
          <cell r="C59">
            <v>1230023</v>
          </cell>
        </row>
        <row r="60">
          <cell r="B60" t="str">
            <v xml:space="preserve">CONSERVANTE INBAC ACN NA                </v>
          </cell>
          <cell r="C60">
            <v>1240002</v>
          </cell>
        </row>
        <row r="61">
          <cell r="B61" t="str">
            <v>NISINA</v>
          </cell>
          <cell r="C61">
            <v>1240003</v>
          </cell>
        </row>
        <row r="62">
          <cell r="B62" t="str">
            <v>ACETATO DE SODIO</v>
          </cell>
          <cell r="C62">
            <v>1240004</v>
          </cell>
        </row>
        <row r="63">
          <cell r="B63" t="str">
            <v>CONSERVANTE BOMBAL VNX</v>
          </cell>
          <cell r="C63">
            <v>1240005</v>
          </cell>
        </row>
        <row r="64">
          <cell r="B64" t="str">
            <v xml:space="preserve">COLOR CARAMELO                          </v>
          </cell>
          <cell r="C64">
            <v>1250001</v>
          </cell>
        </row>
        <row r="65">
          <cell r="B65" t="str">
            <v xml:space="preserve">COLOR LOY NARANJA LIQ A10 1             </v>
          </cell>
          <cell r="C65">
            <v>1250002</v>
          </cell>
        </row>
        <row r="66">
          <cell r="B66" t="str">
            <v>COLOR NATURAL HEMOGLOBINA I RED</v>
          </cell>
          <cell r="C66">
            <v>1250003</v>
          </cell>
        </row>
        <row r="67">
          <cell r="B67" t="str">
            <v>COLOR NATURAL NARANJA PR801WD</v>
          </cell>
          <cell r="C67">
            <v>1250004</v>
          </cell>
        </row>
        <row r="68">
          <cell r="B68" t="str">
            <v xml:space="preserve">COLOR NATURAL NARANJA RA 40-3 9827      </v>
          </cell>
          <cell r="C68">
            <v>1250005</v>
          </cell>
        </row>
        <row r="69">
          <cell r="B69" t="str">
            <v xml:space="preserve">ENTURBIANTE EN POLVO DPA                </v>
          </cell>
          <cell r="C69">
            <v>1250007</v>
          </cell>
        </row>
        <row r="70">
          <cell r="B70" t="str">
            <v>LINICOL RED V. X 22 kg (L)</v>
          </cell>
          <cell r="C70">
            <v>1250008</v>
          </cell>
        </row>
        <row r="71">
          <cell r="B71" t="str">
            <v>COLOR NATURAL ROJO AC150</v>
          </cell>
          <cell r="C71">
            <v>1250009</v>
          </cell>
        </row>
        <row r="72">
          <cell r="B72" t="str">
            <v>PLASMA PORCINO</v>
          </cell>
          <cell r="C72">
            <v>1260005</v>
          </cell>
        </row>
        <row r="73">
          <cell r="B73" t="str">
            <v xml:space="preserve">EXTRACTO PROTEICO LC 300                </v>
          </cell>
          <cell r="C73">
            <v>1260006</v>
          </cell>
        </row>
        <row r="74">
          <cell r="B74" t="str">
            <v>PROTEINA TEXTURIZADA DE SOYA 70%</v>
          </cell>
          <cell r="C74">
            <v>1260008</v>
          </cell>
        </row>
        <row r="75">
          <cell r="B75" t="str">
            <v>PROTEINA CONCENTRADA DE SOYA 70%</v>
          </cell>
          <cell r="C75">
            <v>1260009</v>
          </cell>
        </row>
        <row r="76">
          <cell r="B76" t="str">
            <v>PROTEINA CONCENTRADA SOYA 65%</v>
          </cell>
          <cell r="C76">
            <v>1260010</v>
          </cell>
        </row>
        <row r="77">
          <cell r="B77" t="str">
            <v>ALMIDON DE PAPA</v>
          </cell>
          <cell r="C77">
            <v>1260011</v>
          </cell>
        </row>
        <row r="78">
          <cell r="B78" t="str">
            <v xml:space="preserve">SOLU TEX GRASAS NEUTRO                  </v>
          </cell>
          <cell r="C78">
            <v>1260012</v>
          </cell>
        </row>
        <row r="79">
          <cell r="B79" t="str">
            <v>PROTEINA TEXTURIZADA DE TRIGO - HAMB CJA</v>
          </cell>
          <cell r="C79">
            <v>1260013</v>
          </cell>
        </row>
        <row r="80">
          <cell r="B80" t="str">
            <v>CARRAGENINA</v>
          </cell>
          <cell r="C80">
            <v>1260014</v>
          </cell>
        </row>
        <row r="81">
          <cell r="B81" t="str">
            <v>ALMIDON DE YUCA</v>
          </cell>
          <cell r="C81">
            <v>1260015</v>
          </cell>
        </row>
        <row r="82">
          <cell r="B82" t="str">
            <v>SUPERGEL GRANULOS CURADOS PLUS</v>
          </cell>
          <cell r="C82">
            <v>1260016</v>
          </cell>
        </row>
        <row r="83">
          <cell r="B83" t="str">
            <v>ALMIDON MODIFICADO DE MAIZ</v>
          </cell>
          <cell r="C83">
            <v>1260017</v>
          </cell>
        </row>
        <row r="84">
          <cell r="B84" t="str">
            <v>PROTEINA TEXTURIZADA DE TRIGO - MNESA</v>
          </cell>
          <cell r="C84">
            <v>1260018</v>
          </cell>
        </row>
        <row r="85">
          <cell r="B85" t="str">
            <v>PROTEINA COLAGENICA ALTA FUNCIONALIDAD</v>
          </cell>
          <cell r="C85">
            <v>1260022</v>
          </cell>
        </row>
        <row r="86">
          <cell r="B86" t="str">
            <v>TRANSGLUTAMINASA PROLINK MB-MM BOLSA 1KG</v>
          </cell>
          <cell r="C86">
            <v>1260023</v>
          </cell>
        </row>
        <row r="87">
          <cell r="B87" t="str">
            <v>HUMO TRUSMOKE 45</v>
          </cell>
          <cell r="C87">
            <v>1270003</v>
          </cell>
        </row>
        <row r="88">
          <cell r="B88" t="str">
            <v>HUMO TRUSMOKE OIL EX</v>
          </cell>
          <cell r="C88">
            <v>1270004</v>
          </cell>
        </row>
        <row r="89">
          <cell r="B89" t="str">
            <v>HUMO ENVIRO 24P X 4KG</v>
          </cell>
          <cell r="C89">
            <v>1270006</v>
          </cell>
        </row>
        <row r="90">
          <cell r="B90" t="str">
            <v>TBBQ GSF DRY X 500 G</v>
          </cell>
          <cell r="C90">
            <v>1270007</v>
          </cell>
        </row>
        <row r="91">
          <cell r="B91" t="str">
            <v>TRUSMOKE 25 x 4 KG</v>
          </cell>
          <cell r="C91">
            <v>1270008</v>
          </cell>
        </row>
        <row r="92">
          <cell r="B92" t="str">
            <v>HUMO TRUSMOKE DRY x 20 KG</v>
          </cell>
          <cell r="C92">
            <v>1270009</v>
          </cell>
        </row>
        <row r="93">
          <cell r="B93" t="str">
            <v>MEZCLA PARA ELABORAR EMULSIONES CÁRNICAS</v>
          </cell>
          <cell r="C93">
            <v>1280002</v>
          </cell>
        </row>
        <row r="94">
          <cell r="B94" t="str">
            <v>NEUTRALIZADOR PARA EMULSIÓN</v>
          </cell>
          <cell r="C94">
            <v>1280003</v>
          </cell>
        </row>
        <row r="95">
          <cell r="B95" t="str">
            <v xml:space="preserve">LAM SUP JAMON VIANDE X300G 70X415MM     </v>
          </cell>
          <cell r="C95">
            <v>1310001</v>
          </cell>
        </row>
        <row r="96">
          <cell r="B96" t="str">
            <v xml:space="preserve">LAM SUP MDELA VIANDE 225G X 17UNDS 415  </v>
          </cell>
          <cell r="C96">
            <v>1310002</v>
          </cell>
        </row>
        <row r="97">
          <cell r="B97" t="str">
            <v>LAM SUP MDELA FAZAN X 225G X 14UNDS 302</v>
          </cell>
          <cell r="C97">
            <v>1310004</v>
          </cell>
        </row>
        <row r="98">
          <cell r="B98" t="str">
            <v xml:space="preserve">LAM SUP SALCHI SUPERPERRO FAIZAN 302    </v>
          </cell>
          <cell r="C98">
            <v>1310010</v>
          </cell>
        </row>
        <row r="99">
          <cell r="B99" t="str">
            <v xml:space="preserve">LAM SUP SALCHI VIANDE 450G X 16UNDS     </v>
          </cell>
          <cell r="C99">
            <v>1310011</v>
          </cell>
        </row>
        <row r="100">
          <cell r="B100" t="str">
            <v>LAM COMBO VIANDE</v>
          </cell>
          <cell r="C100">
            <v>1310012</v>
          </cell>
        </row>
        <row r="101">
          <cell r="B101" t="str">
            <v>LAM SUP MEGA COMBO FAIZAN X 900 G X 4 UD</v>
          </cell>
          <cell r="C101">
            <v>1310014</v>
          </cell>
        </row>
        <row r="102">
          <cell r="B102" t="str">
            <v xml:space="preserve">LAM SUP SALCHI VIANDE 225G X 8UNDS 415  </v>
          </cell>
          <cell r="C102">
            <v>1310015</v>
          </cell>
        </row>
        <row r="103">
          <cell r="B103" t="str">
            <v xml:space="preserve">LAM SUP TRANS ECOWEB M/PAUV 60U 404MM   </v>
          </cell>
          <cell r="C103">
            <v>1310017</v>
          </cell>
        </row>
        <row r="104">
          <cell r="B104" t="str">
            <v>LAM SUP TRANS ECOWEB M/PAUV 42U 301MM</v>
          </cell>
          <cell r="C104">
            <v>1310018</v>
          </cell>
        </row>
        <row r="105">
          <cell r="B105" t="str">
            <v xml:space="preserve">LAM SUP MINIPERRO 1000 40 UND           </v>
          </cell>
          <cell r="C105">
            <v>1310029</v>
          </cell>
        </row>
        <row r="106">
          <cell r="B106" t="str">
            <v>LAM SUP MEGA COMBO FAIZAN X 675 G X 3 UD</v>
          </cell>
          <cell r="C106">
            <v>1310031</v>
          </cell>
        </row>
        <row r="107">
          <cell r="B107" t="str">
            <v>LAM SUP SUPER PERRO D1 400 X 5 X 301 MM</v>
          </cell>
          <cell r="C107">
            <v>1310033</v>
          </cell>
        </row>
        <row r="108">
          <cell r="B108" t="str">
            <v>LAM SUP CHZO TERNERA D1 225 X 5 X 415 MM</v>
          </cell>
          <cell r="C108">
            <v>1310034</v>
          </cell>
        </row>
        <row r="109">
          <cell r="B109" t="str">
            <v>LAM SUP CHZO ANTIOQUEÑO D1 225X 5X415 MM</v>
          </cell>
          <cell r="C109">
            <v>1310035</v>
          </cell>
        </row>
        <row r="110">
          <cell r="B110" t="str">
            <v xml:space="preserve">LAM SUP SALCH CLASICA 225G 9UN 302 </v>
          </cell>
          <cell r="C110">
            <v>1310037</v>
          </cell>
        </row>
        <row r="111">
          <cell r="B111" t="str">
            <v>LAM SUP CHZO CON TERNERA 440 X 8U 302 MM</v>
          </cell>
          <cell r="C111">
            <v>1310039</v>
          </cell>
        </row>
        <row r="112">
          <cell r="B112" t="str">
            <v>LAM SUP SALCH DESAYUNO 115 X 5 UN 302 MM</v>
          </cell>
          <cell r="C112">
            <v>1310043</v>
          </cell>
        </row>
        <row r="113">
          <cell r="B113" t="str">
            <v>LAM SUP CHZO TERNERA 1100 G  20 U 302 MM</v>
          </cell>
          <cell r="C113">
            <v>1310046</v>
          </cell>
        </row>
        <row r="114">
          <cell r="B114" t="str">
            <v>LAM SUP CHZO SANTARO 300 G X 5 U 302 MM</v>
          </cell>
          <cell r="C114">
            <v>1310049</v>
          </cell>
        </row>
        <row r="115">
          <cell r="B115" t="str">
            <v>LAM SUP SCHA PERRO D1 240 X 6 X 302 MM</v>
          </cell>
          <cell r="C115">
            <v>1310054</v>
          </cell>
        </row>
        <row r="116">
          <cell r="B116" t="str">
            <v>LAM SUP CHZO TERNER 220 G X 4 U 302 MM</v>
          </cell>
          <cell r="C116">
            <v>1310055</v>
          </cell>
        </row>
        <row r="117">
          <cell r="B117" t="str">
            <v>LAM SUP CHZO CERDO 100 G X 2 U 302 MM</v>
          </cell>
          <cell r="C117">
            <v>1310056</v>
          </cell>
        </row>
        <row r="118">
          <cell r="B118" t="str">
            <v>LAM SUP CHZO CERDO 1000 G X 20 U 302 MM</v>
          </cell>
          <cell r="C118">
            <v>1310057</v>
          </cell>
        </row>
        <row r="119">
          <cell r="B119" t="str">
            <v>LAM SUP SALCH CLASICA 450G 18UN 302</v>
          </cell>
          <cell r="C119">
            <v>1310058</v>
          </cell>
        </row>
        <row r="120">
          <cell r="B120" t="str">
            <v xml:space="preserve">LAM SUP SALCH SUPER PERRO 500G 10UN 302 </v>
          </cell>
          <cell r="C120">
            <v>1310059</v>
          </cell>
        </row>
        <row r="121">
          <cell r="B121" t="str">
            <v>LAM SUP JAMON CERD PREM 120GR 6TJ 302MM</v>
          </cell>
          <cell r="C121">
            <v>1310060</v>
          </cell>
        </row>
        <row r="122">
          <cell r="B122" t="str">
            <v>LAM INFE 90-423 MM 3.5MILS</v>
          </cell>
          <cell r="C122">
            <v>1320003</v>
          </cell>
        </row>
        <row r="123">
          <cell r="B123" t="str">
            <v xml:space="preserve">LAM INFE SUDPACK GVA200 BT323 MM 8MM    </v>
          </cell>
          <cell r="C123">
            <v>1320004</v>
          </cell>
        </row>
        <row r="124">
          <cell r="B124" t="str">
            <v xml:space="preserve">LAM INFE SUDPACK GVP 130-323 MM         </v>
          </cell>
          <cell r="C124">
            <v>1320005</v>
          </cell>
        </row>
        <row r="125">
          <cell r="B125" t="str">
            <v>LAM INFE SUDPACK GVP130-423 MM</v>
          </cell>
          <cell r="C125">
            <v>1320006</v>
          </cell>
        </row>
        <row r="126">
          <cell r="B126" t="str">
            <v xml:space="preserve">LAM INFE SUDPACK GVA 200 BT 423MM       </v>
          </cell>
          <cell r="C126">
            <v>1320007</v>
          </cell>
        </row>
        <row r="127">
          <cell r="B127" t="str">
            <v>ETI CHORIZO DE CERDO 250G X 5 UDS</v>
          </cell>
          <cell r="C127">
            <v>1330001</v>
          </cell>
        </row>
        <row r="128">
          <cell r="B128" t="str">
            <v xml:space="preserve">ETI CHORIZO TERNERA X 120G X 2 UDS      </v>
          </cell>
          <cell r="C128">
            <v>1330002</v>
          </cell>
        </row>
        <row r="129">
          <cell r="B129" t="str">
            <v xml:space="preserve">ETI JAMON DE CERDO PREMIUM X 200G       </v>
          </cell>
          <cell r="C129">
            <v>1330004</v>
          </cell>
        </row>
        <row r="130">
          <cell r="B130" t="str">
            <v xml:space="preserve">ETI SALCHI DESAYU PREM X125G X5UNDS     </v>
          </cell>
          <cell r="C130">
            <v>1330006</v>
          </cell>
        </row>
        <row r="131">
          <cell r="B131" t="str">
            <v xml:space="preserve">ETI SALCHICHA DESAYUNO PREMIUM 480G     </v>
          </cell>
          <cell r="C131">
            <v>1330007</v>
          </cell>
        </row>
        <row r="132">
          <cell r="B132" t="str">
            <v xml:space="preserve">ETI SALCHIPERRO CALIENTE 480 G X 12UND  </v>
          </cell>
          <cell r="C132">
            <v>1330009</v>
          </cell>
        </row>
        <row r="133">
          <cell r="B133" t="str">
            <v>N/A ETI JAMON SANDUCHE 500GR 28TJ</v>
          </cell>
          <cell r="C133">
            <v>1330010</v>
          </cell>
        </row>
        <row r="134">
          <cell r="B134" t="str">
            <v>ETI CHZO TERNERA 440 G X 8U - G.EXITO</v>
          </cell>
          <cell r="C134">
            <v>1330011</v>
          </cell>
        </row>
        <row r="135">
          <cell r="B135" t="str">
            <v xml:space="preserve">ETI CHORIZO CERDO 500GR X 10U           </v>
          </cell>
          <cell r="C135">
            <v>1330012</v>
          </cell>
        </row>
        <row r="136">
          <cell r="B136" t="str">
            <v xml:space="preserve">ETI MEGA SALCHICHA X 560GR X 6U         </v>
          </cell>
          <cell r="C136">
            <v>1330013</v>
          </cell>
        </row>
        <row r="137">
          <cell r="B137" t="str">
            <v xml:space="preserve">ETI CHORIZO TERNERA 1020 17 UNDS        </v>
          </cell>
          <cell r="C137">
            <v>1330015</v>
          </cell>
        </row>
        <row r="138">
          <cell r="B138" t="str">
            <v>ETI MDLA CLASICA 225 G FAZAN</v>
          </cell>
          <cell r="C138">
            <v>1330018</v>
          </cell>
        </row>
        <row r="139">
          <cell r="B139" t="str">
            <v xml:space="preserve">ETI JAMON FAIZAN PREM 400G 20 TAJ       </v>
          </cell>
          <cell r="C139">
            <v>1330021</v>
          </cell>
        </row>
        <row r="140">
          <cell r="B140" t="str">
            <v>ETI BLANCA GENERICA 100 X 80</v>
          </cell>
          <cell r="C140">
            <v>1330022</v>
          </cell>
        </row>
        <row r="141">
          <cell r="B141" t="str">
            <v>ETI JAMON SANDUCHE 450 GR X 24 U</v>
          </cell>
          <cell r="C141">
            <v>1330028</v>
          </cell>
        </row>
        <row r="142">
          <cell r="B142" t="str">
            <v>ETI CHORIZO SANTA ROSANO X 260 G X 4 UND</v>
          </cell>
          <cell r="C142">
            <v>1330031</v>
          </cell>
        </row>
        <row r="143">
          <cell r="B143" t="str">
            <v>ETI SALCHICHA JUMBO X 450 G X 6 UND</v>
          </cell>
          <cell r="C143">
            <v>1330032</v>
          </cell>
        </row>
        <row r="144">
          <cell r="B144" t="str">
            <v>ETI CHORIZO SANTARROSANO X 65 G</v>
          </cell>
          <cell r="C144">
            <v>1330034</v>
          </cell>
        </row>
        <row r="145">
          <cell r="B145" t="str">
            <v>ETI CHORIZO CON TERNERA X 60 G</v>
          </cell>
          <cell r="C145">
            <v>1330035</v>
          </cell>
        </row>
        <row r="146">
          <cell r="B146" t="str">
            <v>ETI SCHA DESAYUNO X 35 G</v>
          </cell>
          <cell r="C146">
            <v>1330036</v>
          </cell>
        </row>
        <row r="147">
          <cell r="B147" t="str">
            <v>ETI SCHA JUMBO X 40 G</v>
          </cell>
          <cell r="C147">
            <v>1330037</v>
          </cell>
        </row>
        <row r="148">
          <cell r="B148" t="str">
            <v>ETI CHORIZO CERDO X 50 G</v>
          </cell>
          <cell r="C148">
            <v>1330038</v>
          </cell>
        </row>
        <row r="149">
          <cell r="B149" t="str">
            <v>ETI SALCHICHA DESAYUNO PREMIUM X 240G</v>
          </cell>
          <cell r="C149">
            <v>1330040</v>
          </cell>
        </row>
        <row r="150">
          <cell r="B150" t="str">
            <v>ETI JAMON SANDUCHE 225 GR X 12 U</v>
          </cell>
          <cell r="C150">
            <v>1330042</v>
          </cell>
        </row>
        <row r="151">
          <cell r="B151" t="str">
            <v>ETI CERVECERITO 50 GR X 5 TAJ</v>
          </cell>
          <cell r="C151">
            <v>1330043</v>
          </cell>
        </row>
        <row r="152">
          <cell r="B152" t="str">
            <v>ETI MDELA JAMONADA  225 GR X 12 U</v>
          </cell>
          <cell r="C152">
            <v>1330044</v>
          </cell>
        </row>
        <row r="153">
          <cell r="B153" t="str">
            <v>ETI RESPALDO CHORIZO CERDO 400GR X 8U</v>
          </cell>
          <cell r="C153">
            <v>1330045</v>
          </cell>
        </row>
        <row r="154">
          <cell r="B154" t="str">
            <v xml:space="preserve">ETI RESPALDO CHORIZO SANTA ROSANO X 480 </v>
          </cell>
          <cell r="C154">
            <v>1330046</v>
          </cell>
        </row>
        <row r="155">
          <cell r="B155" t="str">
            <v>ETI RESPALDO CHORIZO CERDO 250GR X 5U</v>
          </cell>
          <cell r="C155">
            <v>1330047</v>
          </cell>
        </row>
        <row r="156">
          <cell r="B156" t="str">
            <v>ETI RESPALDO SALCHICHA DESAYUNO 240</v>
          </cell>
          <cell r="C156">
            <v>1330048</v>
          </cell>
        </row>
        <row r="157">
          <cell r="B157" t="str">
            <v>ETI RESPALD CHORIZO SANTA ROSANO X 300 G</v>
          </cell>
          <cell r="C157">
            <v>1330049</v>
          </cell>
        </row>
        <row r="158">
          <cell r="B158" t="str">
            <v>ETI RESPALDO SCHA PERRO 480 G X 12UND</v>
          </cell>
          <cell r="C158">
            <v>1330050</v>
          </cell>
        </row>
        <row r="159">
          <cell r="B159" t="str">
            <v>ETI RESPALDO SCHA JUMBO 450 G X 6 UND</v>
          </cell>
          <cell r="C159">
            <v>1330051</v>
          </cell>
        </row>
        <row r="160">
          <cell r="B160" t="str">
            <v>ETI RESPALDO SCHA CLASICA 225 G X 9 UND</v>
          </cell>
          <cell r="C160">
            <v>1330052</v>
          </cell>
        </row>
        <row r="161">
          <cell r="B161" t="str">
            <v>ETI RESPALDO MDELA CLASICA 225 G X 14 TJ</v>
          </cell>
          <cell r="C161">
            <v>1330053</v>
          </cell>
        </row>
        <row r="162">
          <cell r="B162" t="str">
            <v>ETI RESPALDO MDELA JAMONAD 225 G X 12 TJ</v>
          </cell>
          <cell r="C162">
            <v>1330054</v>
          </cell>
        </row>
        <row r="163">
          <cell r="B163" t="str">
            <v>ETI RESPALDO SCHA DESAYUNO 480 G X 14 UN</v>
          </cell>
          <cell r="C163">
            <v>1330055</v>
          </cell>
        </row>
        <row r="164">
          <cell r="B164" t="str">
            <v>ETI RESPALDO CHZO TERNERA 440 G - FAIZAN</v>
          </cell>
          <cell r="C164">
            <v>1330056</v>
          </cell>
        </row>
        <row r="165">
          <cell r="B165" t="str">
            <v>ETI RESPALDO JMN PREMIUM 200 G X 10 TJ</v>
          </cell>
          <cell r="C165">
            <v>1330057</v>
          </cell>
        </row>
        <row r="166">
          <cell r="B166" t="str">
            <v>ETI RESPALDO JMN PREMIUM 400 G X 20 TJ</v>
          </cell>
          <cell r="C166">
            <v>1330058</v>
          </cell>
        </row>
        <row r="167">
          <cell r="B167" t="str">
            <v>ETI RESPALDO JMN SANDUCHE 225 G X 12 TJ</v>
          </cell>
          <cell r="C167">
            <v>1330059</v>
          </cell>
        </row>
        <row r="168">
          <cell r="B168" t="str">
            <v>ETI RESPALDO JMN SANDUCHE 450 G X 24 TJ</v>
          </cell>
          <cell r="C168">
            <v>1330060</v>
          </cell>
        </row>
        <row r="169">
          <cell r="B169" t="str">
            <v xml:space="preserve">ETI SELLO OCTOGONAL BOLSA CERVECERITO </v>
          </cell>
          <cell r="C169">
            <v>1330061</v>
          </cell>
        </row>
        <row r="170">
          <cell r="B170" t="str">
            <v>ETI SELLO OCTOGONAL AUTENTICO 750 G</v>
          </cell>
          <cell r="C170">
            <v>1330064</v>
          </cell>
        </row>
        <row r="171">
          <cell r="B171" t="str">
            <v>ETI JAMON DE CERDO PREMIUM X 220G</v>
          </cell>
          <cell r="C171">
            <v>1330065</v>
          </cell>
        </row>
        <row r="172">
          <cell r="B172" t="str">
            <v xml:space="preserve">ETI RESPALDO JMN PREMIUM 220 G X 11 TJ </v>
          </cell>
          <cell r="C172">
            <v>1330066</v>
          </cell>
        </row>
        <row r="173">
          <cell r="B173" t="str">
            <v>ETI RESPAL CHZO TERNERA 440 G 8 U EXITO</v>
          </cell>
          <cell r="C173">
            <v>1330068</v>
          </cell>
        </row>
        <row r="174">
          <cell r="B174" t="str">
            <v>ETI RESPALDO CHZO TERNERA 220 G X 4 UN</v>
          </cell>
          <cell r="C174">
            <v>1330074</v>
          </cell>
        </row>
        <row r="175">
          <cell r="B175" t="str">
            <v>ETI RESPALDO SCHA CLASICA 450 G X 18 UND</v>
          </cell>
          <cell r="C175">
            <v>1330075</v>
          </cell>
        </row>
        <row r="176">
          <cell r="B176" t="str">
            <v>ETI RESPALDO SCHA S.PERRO 500 G X 10 UND</v>
          </cell>
          <cell r="C176">
            <v>1330076</v>
          </cell>
        </row>
        <row r="177">
          <cell r="B177" t="str">
            <v>ETI RESPALDO JMN PREMIUM 120 G X 6TJ</v>
          </cell>
          <cell r="C177">
            <v>1330077</v>
          </cell>
        </row>
        <row r="178">
          <cell r="B178" t="str">
            <v>ETI MEGA SALCHICHA X 1120GR X 12U</v>
          </cell>
          <cell r="C178">
            <v>1330078</v>
          </cell>
        </row>
        <row r="179">
          <cell r="B179" t="str">
            <v>ETI CHORIZO CERDO 400 G X 8 UND</v>
          </cell>
          <cell r="C179">
            <v>1330080</v>
          </cell>
        </row>
        <row r="180">
          <cell r="B180" t="str">
            <v>ETI CHORIZO CON TERNERA X 110 GR X 2 U</v>
          </cell>
          <cell r="C180">
            <v>1330081</v>
          </cell>
        </row>
        <row r="181">
          <cell r="B181" t="str">
            <v>ETI CHZO COCTEL SANTA ROSANO X 300 G</v>
          </cell>
          <cell r="C181">
            <v>1330082</v>
          </cell>
        </row>
        <row r="182">
          <cell r="B182" t="str">
            <v>ETI RESPALDO CHZO COCTEL SROSANO X 300 G</v>
          </cell>
          <cell r="C182">
            <v>1330083</v>
          </cell>
        </row>
        <row r="183">
          <cell r="B183" t="str">
            <v>ETI CHZO COCTEL SANTA ROSANO X 1000 G</v>
          </cell>
          <cell r="C183">
            <v>1330084</v>
          </cell>
        </row>
        <row r="184">
          <cell r="B184" t="str">
            <v>ETI PERNIL DE CERDO NAVIDEÑO X 500 G</v>
          </cell>
          <cell r="C184">
            <v>1330085</v>
          </cell>
        </row>
        <row r="185">
          <cell r="B185" t="str">
            <v>ETI CHORIZO SANTA ROSANO X 480 G</v>
          </cell>
          <cell r="C185">
            <v>1330087</v>
          </cell>
        </row>
        <row r="186">
          <cell r="B186" t="str">
            <v xml:space="preserve">ETI TOCINETA FAZAN AHUM X 150 G X 10 TJ </v>
          </cell>
          <cell r="C186">
            <v>1330088</v>
          </cell>
        </row>
        <row r="187">
          <cell r="B187" t="str">
            <v xml:space="preserve">ETI RESPALDO TOCINETA FAZAN AHUM 150 G </v>
          </cell>
          <cell r="C187">
            <v>1330089</v>
          </cell>
        </row>
        <row r="188">
          <cell r="B188" t="str">
            <v>ETI TOCINETA FAZAN AHUM X 1 KG X 66 TJ</v>
          </cell>
          <cell r="C188">
            <v>1330090</v>
          </cell>
        </row>
        <row r="189">
          <cell r="B189" t="str">
            <v xml:space="preserve">BOLSA AD BCO IMPR FAIZAN 23 X 25        </v>
          </cell>
          <cell r="C189">
            <v>1340001</v>
          </cell>
        </row>
        <row r="190">
          <cell r="B190" t="str">
            <v xml:space="preserve">BOLSA AMARILLA MILANESA X 1800G X 15UDS </v>
          </cell>
          <cell r="C190">
            <v>1340002</v>
          </cell>
        </row>
        <row r="191">
          <cell r="B191" t="str">
            <v xml:space="preserve">BOLSA NARANJA MILANE X 600G X 5UDS      </v>
          </cell>
          <cell r="C191">
            <v>1340003</v>
          </cell>
        </row>
        <row r="192">
          <cell r="B192" t="str">
            <v xml:space="preserve">BOLSA IMP ROJA HAMB X900 G X10UND MODER </v>
          </cell>
          <cell r="C192">
            <v>1340005</v>
          </cell>
        </row>
        <row r="193">
          <cell r="B193" t="str">
            <v xml:space="preserve">BOLSA HAMB X 450G X 5UND                </v>
          </cell>
          <cell r="C193">
            <v>1340006</v>
          </cell>
        </row>
        <row r="194">
          <cell r="B194" t="str">
            <v xml:space="preserve">BOLSA SIN IMP 25 x 35 FLEXIBLE          </v>
          </cell>
          <cell r="C194">
            <v>1340008</v>
          </cell>
        </row>
        <row r="195">
          <cell r="B195" t="str">
            <v>BOLSA CERVECERITO FAZAN X 6U 16CMX22CM</v>
          </cell>
          <cell r="C195">
            <v>1340009</v>
          </cell>
        </row>
        <row r="196">
          <cell r="B196" t="str">
            <v>BOLSA TERMOENCOGIBLE 8X10</v>
          </cell>
          <cell r="C196">
            <v>1340010</v>
          </cell>
        </row>
        <row r="197">
          <cell r="B197" t="str">
            <v>BOLSA TRASNP LDPE 21 x 60 CAL 3</v>
          </cell>
          <cell r="C197">
            <v>1340012</v>
          </cell>
        </row>
        <row r="198">
          <cell r="B198" t="str">
            <v>BOLSA TERMOENCOGIBLE 18X33</v>
          </cell>
          <cell r="C198">
            <v>1340013</v>
          </cell>
        </row>
        <row r="199">
          <cell r="B199" t="str">
            <v>BOLSA NARANJA MILANE X 240G X 2UDS</v>
          </cell>
          <cell r="C199">
            <v>1340015</v>
          </cell>
        </row>
        <row r="200">
          <cell r="B200" t="str">
            <v>BOLSA BLANCA HSA POLLO X 750G X 5UDS</v>
          </cell>
          <cell r="C200">
            <v>1340016</v>
          </cell>
        </row>
        <row r="201">
          <cell r="B201" t="str">
            <v xml:space="preserve">CAJA JAMON DE CERDO VIANDE (32 UND)     </v>
          </cell>
          <cell r="C201">
            <v>1350001</v>
          </cell>
        </row>
        <row r="202">
          <cell r="B202" t="str">
            <v xml:space="preserve">CAJA KOBA SALCHICHON DE POLLO BRAKEL    </v>
          </cell>
          <cell r="C202">
            <v>1350003</v>
          </cell>
        </row>
        <row r="203">
          <cell r="B203" t="str">
            <v>CAJA KOBA SALCHICHON TRADICIONAL VIANDE</v>
          </cell>
          <cell r="C203">
            <v>1350004</v>
          </cell>
        </row>
        <row r="204">
          <cell r="B204" t="str">
            <v>CAJA BA+TA SUP COMBO TRADICIONAL VIANDE</v>
          </cell>
          <cell r="C204">
            <v>1350005</v>
          </cell>
        </row>
        <row r="205">
          <cell r="B205" t="str">
            <v>CAJA GENERICA HAMBURGUESA X 2700 G</v>
          </cell>
          <cell r="C205">
            <v>1350009</v>
          </cell>
        </row>
        <row r="206">
          <cell r="B206" t="str">
            <v>CAJA SCHA PERRO CALIENTE X 3.8 KG - 16 U</v>
          </cell>
          <cell r="C206">
            <v>1350011</v>
          </cell>
        </row>
        <row r="207">
          <cell r="B207" t="str">
            <v>CAJA SCHA SUPER PERRO  X 4 KG - 10 U</v>
          </cell>
          <cell r="C207">
            <v>1350012</v>
          </cell>
        </row>
        <row r="208">
          <cell r="B208" t="str">
            <v>CAJA CHORIZO TERNERA X 2.5 KG - 10 U</v>
          </cell>
          <cell r="C208">
            <v>1350013</v>
          </cell>
        </row>
        <row r="209">
          <cell r="B209" t="str">
            <v>CAJA CHORIZO ANTIOQUEÑO X 2.5KG-10U</v>
          </cell>
          <cell r="C209">
            <v>1350014</v>
          </cell>
        </row>
        <row r="210">
          <cell r="B210" t="str">
            <v>SEPARADOR 15 CM X 15 CM IMPRESO HIGHPACK</v>
          </cell>
          <cell r="C210">
            <v>1360001</v>
          </cell>
        </row>
        <row r="211">
          <cell r="B211" t="str">
            <v>SEPARADOR 16,5 X 16,5 CM TRANSPARENTE</v>
          </cell>
          <cell r="C211">
            <v>1360003</v>
          </cell>
        </row>
        <row r="212">
          <cell r="B212" t="str">
            <v>FIBROSA FVP CLS 95 B3 4 H3 MORTADELA</v>
          </cell>
          <cell r="C212">
            <v>1370001</v>
          </cell>
        </row>
        <row r="213">
          <cell r="B213" t="str">
            <v xml:space="preserve">FIBROSA FVP CLS 140 JAMON               </v>
          </cell>
          <cell r="C213">
            <v>1370002</v>
          </cell>
        </row>
        <row r="214">
          <cell r="B214" t="str">
            <v xml:space="preserve">TUBULAR EMBUTIDO 180 MM MILANESA        </v>
          </cell>
          <cell r="C214">
            <v>1370003</v>
          </cell>
        </row>
        <row r="215">
          <cell r="B215" t="str">
            <v xml:space="preserve">FUNDA CELULOSA 18 X 100                 </v>
          </cell>
          <cell r="C215">
            <v>1370004</v>
          </cell>
        </row>
        <row r="216">
          <cell r="B216" t="str">
            <v>FUNDA CELULOSA 23 X 100</v>
          </cell>
          <cell r="C216">
            <v>1370007</v>
          </cell>
        </row>
        <row r="217">
          <cell r="B217" t="str">
            <v xml:space="preserve">FUNDA COLAGENO NDXF 25/50               </v>
          </cell>
          <cell r="C217">
            <v>1370008</v>
          </cell>
        </row>
        <row r="218">
          <cell r="B218" t="str">
            <v xml:space="preserve">FUNDA COLAGENO ND 26/60                 </v>
          </cell>
          <cell r="C218">
            <v>1370009</v>
          </cell>
        </row>
        <row r="219">
          <cell r="B219" t="str">
            <v>FUNDA POLIAMIDA 19 X 110 - MEGA SCHA.</v>
          </cell>
          <cell r="C219">
            <v>1370011</v>
          </cell>
        </row>
        <row r="220">
          <cell r="B220" t="str">
            <v xml:space="preserve">TUBU SALCHICHON FAIZAN AUTENTICO 225G   </v>
          </cell>
          <cell r="C220">
            <v>1370012</v>
          </cell>
        </row>
        <row r="221">
          <cell r="B221" t="str">
            <v xml:space="preserve">TUBU SALCHICHON CERVECERO VIANDE X 225G </v>
          </cell>
          <cell r="C221">
            <v>1370013</v>
          </cell>
        </row>
        <row r="222">
          <cell r="B222" t="str">
            <v xml:space="preserve">TUBU SALCHICHON CERVECERO FAIZAN 1500G  </v>
          </cell>
          <cell r="C222">
            <v>1370014</v>
          </cell>
        </row>
        <row r="223">
          <cell r="B223" t="str">
            <v xml:space="preserve">TUBU SALCHICHON CERVECERO FAIZAN 750G   </v>
          </cell>
          <cell r="C223">
            <v>1370015</v>
          </cell>
        </row>
        <row r="224">
          <cell r="B224" t="str">
            <v xml:space="preserve">TUBU SALCHICHON CERVECERO FAIZAN X 500G </v>
          </cell>
          <cell r="C224">
            <v>1370016</v>
          </cell>
        </row>
        <row r="225">
          <cell r="B225" t="str">
            <v xml:space="preserve">TUBU SALCHICHON POLLO BRAKEL X 500G     </v>
          </cell>
          <cell r="C225">
            <v>1370017</v>
          </cell>
        </row>
        <row r="226">
          <cell r="B226" t="str">
            <v xml:space="preserve">TUBU SALCHICHON POLLO BRAKEL 225G       </v>
          </cell>
          <cell r="C226">
            <v>1370018</v>
          </cell>
        </row>
        <row r="227">
          <cell r="B227" t="str">
            <v xml:space="preserve">TUBU SALCHICHON TRADICI VIANDE X 500G   </v>
          </cell>
          <cell r="C227">
            <v>1370019</v>
          </cell>
        </row>
        <row r="228">
          <cell r="B228" t="str">
            <v xml:space="preserve">TUBU SALCHICHON POLL FAIZAN X 225G      </v>
          </cell>
          <cell r="C228">
            <v>1370020</v>
          </cell>
        </row>
        <row r="229">
          <cell r="B229" t="str">
            <v xml:space="preserve">TUBU SALCHICHON AUTENTICO X750 G        </v>
          </cell>
          <cell r="C229">
            <v>1370021</v>
          </cell>
        </row>
        <row r="230">
          <cell r="B230" t="str">
            <v>FIBROSA T-SHIRT CLR REG 1 1/2 X 150 35ST</v>
          </cell>
          <cell r="C230">
            <v>1370022</v>
          </cell>
        </row>
        <row r="231">
          <cell r="B231" t="str">
            <v>TUBU SALCHICHON CERVECERO FAIZAN X 1300G</v>
          </cell>
          <cell r="C231">
            <v>1370025</v>
          </cell>
        </row>
        <row r="232">
          <cell r="B232" t="str">
            <v>MALLA JIF PAK 08SQRU 45MR SM4</v>
          </cell>
          <cell r="C232">
            <v>1370026</v>
          </cell>
        </row>
        <row r="233">
          <cell r="B233" t="str">
            <v>MALLA ZIP-NET-28-P368/50GR- ROJA Y VERDE</v>
          </cell>
          <cell r="C233">
            <v>1370027</v>
          </cell>
        </row>
        <row r="234">
          <cell r="B234" t="str">
            <v>FUNDA CELULOSA 26 X 84</v>
          </cell>
          <cell r="C234">
            <v>1370028</v>
          </cell>
        </row>
        <row r="235">
          <cell r="B235" t="str">
            <v>FUNDA COLAGENO  NDX F 30 / 50</v>
          </cell>
          <cell r="C235">
            <v>1370029</v>
          </cell>
        </row>
        <row r="236">
          <cell r="B236" t="str">
            <v>FUNDA CELULOSA 19 X 125</v>
          </cell>
          <cell r="C236">
            <v>1370030</v>
          </cell>
        </row>
        <row r="237">
          <cell r="B237" t="str">
            <v>FUNDA CELULOSA 20 X 110</v>
          </cell>
          <cell r="C237">
            <v>1370031</v>
          </cell>
        </row>
        <row r="238">
          <cell r="B238" t="str">
            <v>FUNDA CELULOSA 17X95</v>
          </cell>
          <cell r="C238">
            <v>1370032</v>
          </cell>
        </row>
        <row r="239">
          <cell r="B239" t="str">
            <v>FUNDA CELULOSA 24X84</v>
          </cell>
          <cell r="C239">
            <v>1370035</v>
          </cell>
        </row>
        <row r="240">
          <cell r="B240" t="str">
            <v>FUNDA CELULOSA 28X84</v>
          </cell>
          <cell r="C240">
            <v>1370036</v>
          </cell>
        </row>
        <row r="241">
          <cell r="B241" t="str">
            <v>FUNDA COLAGENO NDX 17/50</v>
          </cell>
          <cell r="C241">
            <v>1370039</v>
          </cell>
        </row>
        <row r="242">
          <cell r="B242" t="str">
            <v>TUBU SALCHICHON CERVECERO FAIZAN 225G</v>
          </cell>
          <cell r="C242">
            <v>1370041</v>
          </cell>
        </row>
        <row r="243">
          <cell r="B243" t="str">
            <v>PLASTICA AHUMADA BTM CAL 540 X 123 CM</v>
          </cell>
          <cell r="C243">
            <v>1370047</v>
          </cell>
        </row>
        <row r="244">
          <cell r="B244" t="str">
            <v>CLIPS HC25-3218T</v>
          </cell>
          <cell r="C244">
            <v>1380002</v>
          </cell>
        </row>
        <row r="245">
          <cell r="B245" t="str">
            <v xml:space="preserve">LAZOS POLY-CLIP GSA20                   </v>
          </cell>
          <cell r="C245">
            <v>1380003</v>
          </cell>
        </row>
        <row r="246">
          <cell r="B246" t="str">
            <v xml:space="preserve">GRAPAS POLY-CLIP R15-07                 </v>
          </cell>
          <cell r="C246">
            <v>1380004</v>
          </cell>
        </row>
        <row r="247">
          <cell r="B247" t="str">
            <v>GRAPAS POLY- R-ID M 07-150</v>
          </cell>
          <cell r="C247">
            <v>1380005</v>
          </cell>
        </row>
        <row r="248">
          <cell r="B248" t="str">
            <v>PIERNA DESGRASADA MOLIENDA DISCO RIÑON</v>
          </cell>
          <cell r="C248">
            <v>2903001</v>
          </cell>
        </row>
        <row r="249">
          <cell r="B249" t="str">
            <v>REPELE CHARQUEADO</v>
          </cell>
          <cell r="C249">
            <v>2903002</v>
          </cell>
        </row>
        <row r="250">
          <cell r="B250" t="str">
            <v>BRAZUELO CHARQUEADO</v>
          </cell>
          <cell r="C250">
            <v>2903003</v>
          </cell>
        </row>
        <row r="251">
          <cell r="B251" t="str">
            <v>MOLIEN EMULSION DE PIEL DE CERDO</v>
          </cell>
          <cell r="C251">
            <v>2904002</v>
          </cell>
        </row>
        <row r="252">
          <cell r="B252" t="str">
            <v>EMULSION DE PIEL DE CERDO</v>
          </cell>
          <cell r="C252">
            <v>2906001</v>
          </cell>
        </row>
        <row r="253">
          <cell r="B253" t="str">
            <v>GRANULOS</v>
          </cell>
          <cell r="C253">
            <v>2906002</v>
          </cell>
        </row>
        <row r="254">
          <cell r="B254" t="str">
            <v>ABLANDADO EMULSION DE PIEL DE CERDO</v>
          </cell>
          <cell r="C254">
            <v>2917001</v>
          </cell>
        </row>
        <row r="255">
          <cell r="B255" t="str">
            <v>AGUA POTABLE</v>
          </cell>
          <cell r="C255">
            <v>1131002</v>
          </cell>
        </row>
        <row r="256">
          <cell r="B256" t="str">
            <v>FIBROSA NALO P CLEAR</v>
          </cell>
          <cell r="C256">
            <v>1370048</v>
          </cell>
        </row>
        <row r="257">
          <cell r="B257" t="str">
            <v xml:space="preserve">SAL REDUCIDA EN SODIO 50/50    </v>
          </cell>
          <cell r="C257">
            <v>121009</v>
          </cell>
        </row>
        <row r="258">
          <cell r="B258" t="str">
            <v>BOLSA SNACK CERVECERITO VIANDE X  150 G </v>
          </cell>
          <cell r="C258"/>
        </row>
        <row r="259">
          <cell r="B259" t="str">
            <v>SUPRAMEAT PLUS</v>
          </cell>
          <cell r="C259">
            <v>1260025</v>
          </cell>
        </row>
        <row r="260">
          <cell r="B260"/>
          <cell r="C260"/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esktop/I+D%202022/3.%20REGISTROS%20Y%20EVIDENCIAS/COSTEO%20REFERENCIAS%20SEVILLA%20ENE%2023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esktop/I+D%202022/3.%20REGISTROS%20Y%20EVIDENCIAS/COSTEO%20REFERENCIAS%20SEVILLA%20ENE%2023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R-INVDESARROLLO" refreshedDate="44886.646242013892" createdVersion="8" refreshedVersion="8" minRefreshableVersion="3" recordCount="341" xr:uid="{154B611B-2009-40BA-BC41-BB7C0039F689}">
  <cacheSource type="worksheet">
    <worksheetSource ref="A1:D1" sheet="MP X REF - FEBRERO 2023" r:id="rId2"/>
  </cacheSource>
  <cacheFields count="4">
    <cacheField name="REFERENCIA" numFmtId="0">
      <sharedItems count="22">
        <s v="HSA PERRITOS"/>
        <s v="HSA FAIZAN"/>
        <s v="SCHA VIANDE"/>
        <s v="CERVECERO FAIZAN "/>
        <s v="SCHA PERRO"/>
        <s v="CHZ TERNERA"/>
        <s v="CHZ CERDO"/>
        <s v="CERVECERITO"/>
        <s v="JMN FAIZAN"/>
        <s v="SCHA DESAYUNO"/>
        <s v="SCHA MANGUERA"/>
        <s v="MILANESA"/>
        <s v="SCHA CLASICA"/>
        <s v="SCHON POLLO"/>
        <s v="SCHON TRADICIONAL"/>
        <s v="CERVECERO VIANDÉ"/>
        <s v="MORTADELA GRAL"/>
        <s v="JMN VIANDÉ"/>
        <s v="JMN SANDUCHE"/>
        <s v="EMULSIÓN DE PIEL"/>
        <s v="GRANULOS"/>
        <s v="HORNOS"/>
      </sharedItems>
    </cacheField>
    <cacheField name="CÓDIGO" numFmtId="0">
      <sharedItems containsMixedTypes="1" containsNumber="1" containsInteger="1" minValue="0" maxValue="0"/>
    </cacheField>
    <cacheField name="DESCRIPCIÓN" numFmtId="0">
      <sharedItems count="82">
        <s v="ADITIVO BURGER MEAT 80-B NATUR. BOLSA X 5 KILOS."/>
        <s v="AGUA POTABLE."/>
        <s v="AJO MOLIDO DESHIDRATADO B. 1. CAJA X 20 KILOS. (LA CAMPANA)"/>
        <s v="ALMIDON DE PAPA SACO X 25 KILOS ."/>
        <s v="APANADO"/>
        <s v="AROMA SALCHICHON TRADICIONAL 84987B. GARRAFA X 5 KILOS"/>
        <s v="AZÚCAR REFINADA. SACO X 50 KILOS."/>
        <s v="BRAZUELO DE CERDO."/>
        <s v="CARNE OSCURA"/>
        <s v="CARRAGENINA CEAMGEL M 9396. SACO X 25 KILOS."/>
        <s v="CEBOLLA EN POLVO B.1. CAJA X 20 KILOS. (LA CAMPANA)"/>
        <s v="CEBOLLA EN POLVO B.1. CAJA X 20 KILOS. (LA CAMPANA)."/>
        <s v="COLOR CARAMELO. GARRAFA X 20 KILOS."/>
        <s v="COLOR LOY.(NARAN. LIQ. A10-1). TARRO X 1 KILO."/>
        <s v="COLOR NATURAL HEMOGLOBINA. I RED. BOLSA X 1 KILO."/>
        <s v="COLOR NATURAL HEMOGLOBINA. I RED. BOLSA X 1 KILO. "/>
        <s v="COLOR NATURAL NARANJA  PR801 WD. GARRAFA X 10 KILOS."/>
        <s v="COLOR NATURAL NARANJA LIQUIDO RA 40 - 3 9827 AF. GALÓN x 4 KILOS."/>
        <s v="COLOR NATURAL ROJO AC305RWS. GARRAFA X 4 KILOS."/>
        <s v="COMINO MOLIDO B.1. BOLSA X 1 KILO. (LA CAMPANA)"/>
        <s v="CONDIMENTO AJIAROMA M - C100. BOLSA X 1 KILO."/>
        <s v="CONDIMENTO AJIAROMA M - M100. BOLSA X 1 KILO"/>
        <s v="CONSERVANTE INBAC ACN/NA. CAJA X 25 KILOS."/>
        <s v="DEXTROSA. BOLSA X 1 KILO."/>
        <s v="EMULSION (Piel de Cerdo) - Tocino Partes Magras"/>
        <s v="ENTURBIANTE EN POLVO DPA X 1 KILO"/>
        <s v="ERITORBATO DE SODIO. CAJA X 25 KILOS."/>
        <s v="EXTRACTO PROTEICO LC 300. Saco x 25 kg."/>
        <s v="GRANULOS DE PROTEÍNA. CANASTA X 25 KILOS."/>
        <s v="GRASA EMPELLA"/>
        <s v="HIELO EN ESCAMAS (BOLSA X 20 KILOS)"/>
        <s v="HUMO CHARDEX EN POLVO X 18 KG"/>
        <s v="HUMO SMOKE OIL. GARRAFA PLÁSTICA X 12 KG."/>
        <s v="HUMO TRUSMOKE 45. GARRAFA X 23 KG"/>
        <s v="HUMO TRUSMOKE OIL EX. GARRAFA X 20 KG"/>
        <s v="MEZCLA DE FOSFATOS (CARFOSEL 996). SACO X 25 KILOS."/>
        <s v="MEZCLA DE FOSFATOS (CARNAL 961). SACO X 25 KILOS."/>
        <s v="MEZCLA LIQUIDA PARA SABORIZAR SALCHICHA MANGUERA. BOLSA X 8 KILOS"/>
        <s v="MEZCLA LÍQUIDA PARA SABORIZAR SALCHICHA. BOLSA X 2.7 KILOS. CAJA X 24,3 KILOS"/>
        <s v="MEZCLA PARA ELABORAR EMULSIONES CÁRNICAS "/>
        <s v="PAPADA DE CERDO. Disco 6mm."/>
        <s v="PASTA DE POLLO IMPORTADA"/>
        <s v="PASTA DE POLLO NACIONAL"/>
        <s v="PIEL DE CERDO"/>
        <s v="PIEL DE POLLO NACIONAL"/>
        <s v="PIERNA DE CERDO"/>
        <s v="PIERNA DE CERDO. Molienda x Disco Riñon"/>
        <s v="PIMIENTA MOLIDA BLANCA. BOLSA X 1 KILO. (TECNAS)"/>
        <s v="PIMIENTA NEGRA MOLIDA. BOLSA X 1 KILO. (TECNAS)"/>
        <s v="PLASMA APROPORK. SACO X 20 KILOS."/>
        <s v="PP BATIDO PREPARADO"/>
        <s v="PREPARADO SABOR  CERVECERO NEO. BOLSA X 7,03 KILOS."/>
        <s v="PREPARADO SABOR CERVECERO PREMIUM SV"/>
        <s v="PREPARADO SABOR CERVECERO SV - GF. BOLSA X 6,55 KILOS"/>
        <s v="PREPARADO SABOR CHORIZO CERDO SEVILLA. PAQUETE X 4,8 KILOS"/>
        <s v="PREPARADO SABOR CHORIZO TERNERA SEVILLA X 3,83 KG"/>
        <s v="PREPARADO SABOR JAMON CALIFORNIAX 1 KG"/>
        <s v="PREPARADO SABOR JAMÓN T 3391 x 4 KG LÍQUIDO"/>
        <s v="PROTEÍNA AISLADA DE SOYA WILPRO I200 ó SOLUPROT GF 513."/>
        <s v="PROTEÍNA COLAGÉNICA COLLAPRO P -950. SACO X 12,5 KILOS."/>
        <s v="PROTEÍNA DE SOYA AL 65%. SACO X 20 KILOS"/>
        <s v="PROTEÍNA DE SOYA AL 69%. ARCON MM. SACO X 20 KILOS"/>
        <s v="PROTEÍNA DE SOYA AL 70%. ARCON T (Hojuelas). SACO X 11.34 KILOS"/>
        <s v="PROTEÍNA DE SOYA AL 70%. WILCON SJ. SACO X 20 KILOS"/>
        <s v="PVH LIQUIDA - M - 1222. CANECA X 70 KILOS."/>
        <s v="REACTYNSH2 TRASGLUTAMINASA BOLSA X 1 KG"/>
        <s v="RECORTE DE CERDO"/>
        <s v="REPELE (CHARQUEADO)"/>
        <s v="REPROCESO 1: MORTADELA FAIZAN-VIANDE"/>
        <s v="SABOR AHUMADO GRILL LIQUIDO"/>
        <s v="SABOR CERDO COCIDO TECNAS X 1 Kg."/>
        <s v="SABOR ITALIAN MORTADELA FLAVOUR SACO X 15 KILOS"/>
        <s v="SABORIZANTE A POLLO SV. BOLSA X 1 KILO"/>
        <s v="SAL CURANTE AL 12 %. SACO X 25 KILOS."/>
        <s v="SAL REDUCIDA EN SODIO"/>
        <s v="SAL YODADA REFISAL. SACO X 25 KILOS."/>
        <s v="SOLU-TEX GRASAS NEUTRO. SACO X 15 KILOS"/>
        <s v="TAROMA HAM. BOLSA X 5 KILOS"/>
        <s v="TOCINO CINTA"/>
        <s v="TOCINO LOMO CONGELADO IMPORTADO"/>
        <s v="TOCINO LOMO CONGELADO IMPORTADO. Disco 6 mm"/>
        <s v="PROTEÍNA DE SOYA AL 70 %. WILCON SJ ó ARCON SM. SACO X 20 KILOS" u="1"/>
      </sharedItems>
    </cacheField>
    <cacheField name="CATIDAD" numFmtId="43">
      <sharedItems containsSemiMixedTypes="0" containsString="0" containsNumber="1" minValue="0.12088461215931412" maxValue="20547.8873837207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R-INVDESARROLLO" refreshedDate="44944.469839351848" createdVersion="8" refreshedVersion="8" minRefreshableVersion="3" recordCount="718" xr:uid="{7625A9B5-D34B-4F9A-B72D-141097B95069}">
  <cacheSource type="worksheet">
    <worksheetSource ref="A1:D718" sheet="MP X REF - FEBRERO 2023" r:id="rId2"/>
  </cacheSource>
  <cacheFields count="4">
    <cacheField name="REFERENCIA" numFmtId="0">
      <sharedItems/>
    </cacheField>
    <cacheField name="CÓDIGO" numFmtId="0">
      <sharedItems containsBlank="1" containsMixedTypes="1" containsNumber="1" containsInteger="1" minValue="0" maxValue="1230011"/>
    </cacheField>
    <cacheField name="DESCRIPCIÓN" numFmtId="0">
      <sharedItems count="81">
        <s v="ABLANDADOR "/>
        <s v="ADITIVO BURGER MEAT 80-B NATUR. BOLSA X 5 KILOS."/>
        <s v="AGUA POTABLE."/>
        <s v="AJO MOLIDO DESHIDRATADO B. 1. CAJA X 20 KILOS. (LA CAMPANA)"/>
        <s v="ALMIDON DE PAPA SACO X 25 KILOS ."/>
        <s v="ALMIDON DE YUCA"/>
        <s v="APANADO"/>
        <s v="AROMA SALCHICHON TRADICIONAL 84987B. GARRAFA X 5 KILOS"/>
        <s v="AZÚCAR REFINADA. SACO X 50 KILOS."/>
        <s v="BATIDO COMPLETO             "/>
        <s v="BRAZUELO DE CERDO"/>
        <s v="CARNE OSCURA"/>
        <s v="CARRAGENINA CEAMGEL M 9396. SACO X 25 KILOS."/>
        <s v="CEBOLLA EN POLVO B.1. CAJA X 20 KILOS. (LA CAMPANA)"/>
        <s v="COLOR CARAMELO. GARRAFA X 20 KILOS."/>
        <s v="COLOR LOY.(NARAN. LIQ. A10-1). TARRO X 1 KILO."/>
        <s v="COLOR NATURAL HEMOGLOBINA. I RED. BOLSA X 1 KILO."/>
        <s v="COLOR NATURAL HEMOGLOBINA. I RED. BOLSA X 1 KILO. "/>
        <s v="COLOR NATURAL NARANJA  PR801 WD. GARRAFA X 10 KILOS."/>
        <s v="COLOR NATURAL NARANJA LIQUIDO RA 40 - 3 9827 AF. GALÓN x 4 KILOS."/>
        <s v="COLOR NATURAL ROJO AC305RWS. GARRAFA X 4 KILOS."/>
        <s v="COMINO MOLIDO B.1. BOLSA X 1 KILO. (LA CAMPANA)"/>
        <s v="CONDIMENTO AJIAROMA M - C100. BOLSA X 1 KILO."/>
        <s v="CONDIMENTO AJIAROMA M - M100. BOLSA X 1 KILO"/>
        <s v="CONSERVANTE INBAC ACN/NA. CAJA X 25 KILOS."/>
        <s v="DEXTROSA. BOLSA X 1 KILO."/>
        <s v="EMULSION  (PIEL DE CERDO)  - TOCINO PARTES MAGRAS"/>
        <s v="ENTURBIANTE EN POLVO DPA X 1 KILO"/>
        <s v="ERITORBATO DE SODIO. CAJA X 25 KILOS."/>
        <s v="EXTRACTO PROTEICO LC 300. Saco x 25 kg."/>
        <s v="GRANULOS DE PROTEÍNA"/>
        <s v="GRASA EMPELLA"/>
        <s v="HIELO EN ESCAMAS (BOLSA X 20 KILOS)"/>
        <s v="HUMO CHARDEX EN POLVO X 18 KG"/>
        <s v="HUMO SMOKE OIL. GARRAFA PLÁSTICA X 12 KG."/>
        <s v="HUMO TRUSMOKE OIL EX. GARRAFA X 20 KG"/>
        <s v="MEZCLA DE FOSFATOS (CARFOSEL 996). SACO X 25 KILOS."/>
        <s v="MEZCLA DE FOSFATOS (CARNAL 961). SACO X 25 KILOS."/>
        <s v="MEZCLA LIQUIDA PARA SABORIZAR SALCHICHA MANGUERA. BOLSA X 8 KILOS"/>
        <s v="MEZCLA LÍQUIDA PARA SABORIZAR SALCHICHA. BOLSA X 2.7 KILOS. CAJA X 24,3 KILOS"/>
        <s v="PAPADA DE CERDO. Disco 6mm."/>
        <s v="PAPRIKA POLVO"/>
        <s v="PASTA DE POLLO ESTANDAR"/>
        <s v="PASTA DE POLLO IMPORTADA PREMIUM"/>
        <s v="PIEL DE CERDO"/>
        <s v="PIEL DE POLLO"/>
        <s v="PIERNA DE CERDO"/>
        <s v="PIMIENTA MOLIDA BLANCA. BOLSA X 1 KILO. (TECNAS)"/>
        <s v="PIMIENTA NEGRA MOLIDA. BOLSA X 1 KILO. (TECNAS)"/>
        <s v="PLASMA APROPORK. SACO X 20 KILOS."/>
        <s v="PREPARADO SABOR  CERVECERO NEO. BOLSA X 7,03 KILOS."/>
        <s v="PREPARADO SABOR CERVECERO PREMIUM SV"/>
        <s v="PREPARADO SABOR CERVECERO SV - GF. BOLSA X 6,55 KILOS"/>
        <s v="PREPARADO SABOR CHORIZO CERDO SEVILLA. PAQUETE X 4,8 KILOS"/>
        <s v="PREPARADO SABOR CHORIZO TERNERA SEVILLA X 3,83 KG"/>
        <s v="PREPARADO SABOR JAMON CALIFORNIAX 1 KG"/>
        <s v="PREPARADO SABOR JAMÓN T 3391 x 4 KG LÍQUIDO"/>
        <s v="PROTEÍNA AISLADA DE SOYA WILPRO I200 ó SOLUPROT GF 513."/>
        <s v="PROTEÍNA COLAGÉNICA COLLAPRO P -950. SACO X 12,5 KILOS."/>
        <s v="PROTEINA CONCENTRADA DE SOYA  65%"/>
        <s v="PROTEÍNA DE SOYA AL 70%. WILCON SJ. SACO X 20 KILOS"/>
        <s v="PROTEÍNA DE SOYA AL 70%. ARCON T (Hojuelas). SACO X 11.34 KILOS"/>
        <s v="PROTEÍNA DE SOYA AL 70%. WILCON SJ. SACO X 20 KILOS."/>
        <s v="CEBOLLA PUERRO"/>
        <s v="PVH LIQUIDA - M - 1222. CANECA X 70 KILOS."/>
        <s v="REACTYNSH2 TRASGLUTAMINASA BOLSA X 1 KG"/>
        <s v="RECORTE DE CERDO"/>
        <s v="RECORTE DE CERDO "/>
        <s v="RECORTE DE PECHUGA 95/5. SIN PIEL"/>
        <s v="REPELE (CHARQUEADO)"/>
        <s v="REPROCESO 1: MORTADELA FAIZAN-VIANDE"/>
        <s v="SABOR AHUMADO GRILL LIQUIDO"/>
        <s v="SABOR CERDO COCIDO TECNAS X 1 Kg."/>
        <s v="SABOR ITALIAN MORTADELA FLAVOUR SACO X 15 KILOS"/>
        <s v="SABORIZANTE A POLLO SV. BOLSA X 1 KILO"/>
        <s v="SAL CURANTE AL 12 %. SACO X 25 KILOS."/>
        <s v="SAL REDUCIDA EN SODIO"/>
        <s v="SAL YODADA REFISAL. SACO X 25 KILOS."/>
        <s v="SOLU-TEX GRASAS NEUTRO. SACO X 15 KILOS"/>
        <s v="TAROMA HAM. BOLSA X 5 KILOS"/>
        <s v="TOCINO CINTA"/>
      </sharedItems>
    </cacheField>
    <cacheField name="CATIDAD / FEBRERO 2023" numFmtId="43">
      <sharedItems containsSemiMixedTypes="0" containsString="0" containsNumber="1" minValue="2.8150000000000005E-2" maxValue="44105.5811039436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lista ID" refreshedDate="45719.578115856479" createdVersion="8" refreshedVersion="8" minRefreshableVersion="3" recordCount="126" xr:uid="{21B5F1B3-53BB-4C7E-91A1-F64AD2D4195A}">
  <cacheSource type="worksheet">
    <worksheetSource ref="A1:J127" sheet="EXPLOSIÓN ME DIC 2022"/>
  </cacheSource>
  <cacheFields count="10">
    <cacheField name="REFERENCIA" numFmtId="0">
      <sharedItems/>
    </cacheField>
    <cacheField name="CÓDIGO" numFmtId="0">
      <sharedItems/>
    </cacheField>
    <cacheField name="MATERIAL" numFmtId="0">
      <sharedItems count="68">
        <s v="Bolsa AD BCO Impresa FAIZAN 23x25 + 4 cm en 1.0 ML"/>
        <s v="Bolsa Amarilla Impresa Milanesa x 1.800 gramos x 15 Unidades. Canal Intitucional. Bolsa Plana Pet//PEDB 70 micras"/>
        <s v="Bolsa Impresa Amarilla Hamburguesa  x 900 gramos x 10 unidades. Canal Moderno. Bolsa Flex Up Pet//PEBD 70 micras"/>
        <s v="Bolsa Impresa Roja Hamburguesa  x 450 gramos x 5 unidades. Canal Moderno. Bolsa Flex Up Pet//PEBD 80 micras"/>
        <s v="Caja Hamburguesa x 2.700 gramos"/>
        <s v="Caja Koba Jamón de Cerdo Viandé x 300 gramos (32 unidades)"/>
        <s v="Caja Koba Salchichón de Pollo Brakel x 500 gramos (15 unidades)"/>
        <s v="Clips HC25-3218T. Carrete x 2,400 unidades."/>
        <s v="Fibrosa FVP CLS 140 B5 4 H5 Natural Corrugado. (Viandé)"/>
        <s v="LAMINA INFERIOR SUDPACK GVP 130-423 mm (5.0 mils). 1 Rollo x 350 metros"/>
        <s v="Lámina Superior Impresa Jamón Viande x 300 gramos x 12 unidades.  Ancho = 415 mm. (Pet / coextrusión HBA 70 micras)."/>
        <s v="Etiqueta Chorizo Faizan x 250 gramos x 5 unidades"/>
        <s v="Etiqueta Chorizo Faizan x 500 gramos x 10 unidades"/>
        <s v="Etiqueta Chorizo Ternera x 120 gramos x 2 unidades. "/>
        <s v="Etiqueta Jamon Sanduche X 500"/>
        <s v="Etiqueta Megasalchicha x 560 gramos x 6 unidades"/>
        <s v="Etiqueta Salchicha Clásica x 450 gramos "/>
        <s v="Etiqueta Salchicha Desayuno Premium x 125 Gramos x 5 Unidades"/>
        <s v="Etiqueta Salchicha Perro Caliente x 480 gramos x 12 unidades"/>
        <s v="Etiqueta Salchicha Premium Gruecitas x 480 gramos x 14 unidades."/>
        <s v="Fibrosa FVP CLS 95 B3 4 H3 Natural Corrugada x 25 metros."/>
        <s v="Fibrosa FVP CLS 95 B3 4 H3 Natural Corrugado. (Mortadela)"/>
        <s v="FIBROSA T-SHIRR BTC CLR REG 1 1/2 x 150 35ST Smoke-E3"/>
        <s v="Funda Celulosa 16 x 100"/>
        <s v="Funda Celulosa 18 x 100 (Cartón x 9.144 metros x 300 tubos,C/tubo x 30.48 metros. 6 caddy x 50 tubos)"/>
        <s v="Lámina Inferior Sudpack GVP 130-423 mm (5.0 mils). 1 Rollo x 350 metros"/>
        <s v="Funda Celulosa 23 USA x 4 CE S (Cartón x 7.680 metros x 300 tubos,C/tubo x 25.6 metros. 6 caddy x 50 tubos)"/>
        <s v="Funda Celulosa Nojax 20 x 100 Tubo x 30,48 metros. Caja x 200 tubos x 6,096 metros"/>
        <s v="Funda Colageno NDX 26/60 (cartón x 4,718 metros x 258 tubos, C/tubo x 18.29 metros. 6 Caddy x 43 tubos C/U)"/>
        <s v="Funda Colágeno NDX F 25/50 Cierre de Bola x 258 Tubos"/>
        <s v="Grapas Poly-Clip GMBH 15-08 5 x 1,5 Carrete x 5,500 unidades"/>
        <s v="Grapas Poly-Clip GMBH R-ID M 07-150 Carrete x 6,800 unidades"/>
        <s v="Lámina Superior Mortadela Seleccionada Viandé x 225 gramos x 17 unidades. Ancho = 415 mm. (Pet / coextrusión HBA 70 micras)."/>
        <s v="Funda Celulosa 20 x 100 CE FP CLR "/>
        <s v="Lámina Impresa Salchichón Cervecero Tajado x 50 gramos x 1,000 metros x 302 mm ."/>
        <s v="Lámina Inferior Modflex 180 micras (280m/rollo). 7 mils - 423 mm"/>
        <s v="Lámina Inferior Sudpack GVA 200 BT 323 MM (8.MILS) 1 Rollo x 300 metros"/>
        <s v="Lámina Inferior Sudpack GVP 130-323 mm (5.0 mils). 1 Rollo x 350 metros"/>
        <s v="Lámina Superior Impresa Salchicha Viandé x 225 gramos x 8 unidades. Ancho = 415 mm. (Pet / coextrusión HBA 70 micras)."/>
        <s v="Lámina Jamón Tipo Sanduche Faizán x 500 g"/>
        <s v="Lámina Superior Impresa Chorizo Con Ternera x 1,020 gramos x 17 unidades"/>
        <s v="Lámina Superior Impresa Chorizo Con Ternera x 480 gramos x 8 unidades"/>
        <s v="Lámina Superior Impresa Jamón de Cerdo Premium x 200 gramos x 10 tajadas. Ancho 415 mm. PET // Coext. HBA (PE-EVOH) Abre fácil Pig. Blanco. 60 micras."/>
        <s v="Lámina Superior Impresa Jamón de Cerdo Premium x 400 gramos x 20 tajadas. Ancho 415 mm. PET // Coext. HBA (PE-EVOH) Abre fácil Pig. Blanco. 60 micras."/>
        <s v="Tubular Salchichón Cervecero Viande x 225 Gramos. Cal 40"/>
        <s v="Lámina Superior Impresa Mega Combo Faizán x 900 gramos "/>
        <s v="Lámina Superior Impresa Mortadela x 225 gramos x 14 unidades. Con Código. Ancho = 415 mm. (Pet / coextrusión HBA 70 micras)."/>
        <s v="Lámina Superior Impresa Salchicha Miniperro x 1.000 gramos x 40 unidades."/>
        <s v="Lámina Superior Impresa Salchicha SúperPerro x 2.500 gramos x 50 unidades."/>
        <s v="Caja Koba Salchichón Tradicional Viandé x 500 gramos (15 unidades)"/>
        <s v="Lámina Superior Impresa Salchicha x 225 gramos x 9 unidades. Sin Código. Ancho = 415 mm. (Pet / coextrusión HBA 70 micras)."/>
        <s v="Lámina Superior Impresa Transparente ECOWEB M/PAUV 42 Micras. 301 MM. 1 Rollo x 1500 metros "/>
        <s v="Lámina Superior Impresa Transparente ECOWEB M/PAUV 60 mm (2 mils) 30,1 cm. 1 Rollo x 800 metros "/>
        <s v="Tubular Salchichón Tradicional Viande x 500 Gramos. Cal 44"/>
        <s v="Lazos Poly-Clip LTDA GSA22 Rollo x 3.500 unidades de Lazadas"/>
        <s v="Multiflex 180 mm. Transparente sin impresión. Para Milanesa. "/>
        <s v="Polijax 20 X 110 Impresa. Tubo x 33.53 metros. Caja x 300 tubos x 10.058 metros"/>
        <s v="Separador 15 cm x 15 cm Impreso Highpack"/>
        <s v="Tubular Salchichón Auténtico x 225 gramos. Cal 40 "/>
        <s v="Tubular Salchichón Cervecero 1.500 gramos"/>
        <s v="Caja Koba Super Combo Tradicional Viandé (9 unidades)"/>
        <s v="Tubular Salchichón Cervecero x 500 gramos"/>
        <s v="Tubular Salchichón Cervecero x 750 gramos"/>
        <s v="Tubular Salchichón Pollo Bakel x 225 Gramos. Cal 40"/>
        <s v="Tubular Salchichón Pollo Bakel x 500 Gramos. Cal 44"/>
        <s v="Tubular Salchichón Pollo X 225 gramos Cal 40 "/>
        <s v="Lámina Superior Impresa Super Combo Tradicional Viandé x 900 gramos x 9 unidades. Ancho = 45 cms. (Pet / coextrusión HBA 73 micras)."/>
        <s v="Tubular Salchichón Tradicional x 750 Gramos Cal 44"/>
      </sharedItems>
    </cacheField>
    <cacheField name="CATIDAD" numFmtId="0">
      <sharedItems containsSemiMixedTypes="0" containsString="0" containsNumber="1" minValue="1.09E-2" maxValue="30"/>
    </cacheField>
    <cacheField name="OCT -        COP / Kg " numFmtId="43">
      <sharedItems containsString="0" containsBlank="1" containsNumber="1" minValue="19" maxValue="26300"/>
    </cacheField>
    <cacheField name="OCT - _x000a_COP / APP" numFmtId="43">
      <sharedItems containsString="0" containsBlank="1" containsNumber="1" minValue="1.0387999999999999" maxValue="1836"/>
    </cacheField>
    <cacheField name="SEP -        COP / Kg " numFmtId="43">
      <sharedItems containsString="0" containsBlank="1" containsNumber="1" containsInteger="1" minValue="19" maxValue="26300"/>
    </cacheField>
    <cacheField name="SEP - _x000a_COP / APP" numFmtId="43">
      <sharedItems containsString="0" containsBlank="1" containsNumber="1" minValue="1.9292" maxValue="1728"/>
    </cacheField>
    <cacheField name="%" numFmtId="43">
      <sharedItems containsString="0" containsBlank="1" containsNumber="1" minValue="-50.877192982456144" maxValue="119.2982456140351"/>
    </cacheField>
    <cacheField name="NECESIDAD" numFmtId="43">
      <sharedItems containsSemiMixedTypes="0" containsString="0" containsNumber="1" minValue="93.585999999999999" maxValue="7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x v="0"/>
    <s v="MPPC094"/>
    <x v="0"/>
    <n v="63.302147328681386"/>
  </r>
  <r>
    <x v="1"/>
    <s v="MPPC094"/>
    <x v="0"/>
    <n v="239.98658270693898"/>
  </r>
  <r>
    <x v="0"/>
    <s v="MPII311"/>
    <x v="1"/>
    <n v="478.41181396172601"/>
  </r>
  <r>
    <x v="2"/>
    <s v="MPII311"/>
    <x v="1"/>
    <n v="11174.188547136129"/>
  </r>
  <r>
    <x v="3"/>
    <s v="MPII311"/>
    <x v="1"/>
    <n v="6491.9139181844848"/>
  </r>
  <r>
    <x v="4"/>
    <s v="MPII311"/>
    <x v="1"/>
    <n v="2819.9579779756914"/>
  </r>
  <r>
    <x v="5"/>
    <s v="MPII311"/>
    <x v="1"/>
    <n v="737.60239254967087"/>
  </r>
  <r>
    <x v="6"/>
    <s v="MPII311"/>
    <x v="1"/>
    <n v="224.01641145871491"/>
  </r>
  <r>
    <x v="7"/>
    <s v="MPII311"/>
    <x v="1"/>
    <n v="124.91409923129126"/>
  </r>
  <r>
    <x v="8"/>
    <s v="MPII311"/>
    <x v="1"/>
    <n v="308.805343364311"/>
  </r>
  <r>
    <x v="1"/>
    <s v="MPII311"/>
    <x v="1"/>
    <n v="1081.1395550947598"/>
  </r>
  <r>
    <x v="9"/>
    <s v="MPII311"/>
    <x v="1"/>
    <n v="249.00039962455793"/>
  </r>
  <r>
    <x v="10"/>
    <s v="MPII311"/>
    <x v="1"/>
    <n v="912.37749982027583"/>
  </r>
  <r>
    <x v="11"/>
    <s v="MPII311"/>
    <x v="1"/>
    <n v="1128"/>
  </r>
  <r>
    <x v="12"/>
    <s v="MPII311"/>
    <x v="1"/>
    <n v="667.51323577525966"/>
  </r>
  <r>
    <x v="13"/>
    <s v="MPII311"/>
    <x v="1"/>
    <n v="20547.887383720761"/>
  </r>
  <r>
    <x v="14"/>
    <s v="MPII311"/>
    <x v="1"/>
    <n v="16385.698512705672"/>
  </r>
  <r>
    <x v="15"/>
    <s v="MPII311"/>
    <x v="1"/>
    <n v="7860.0984333320812"/>
  </r>
  <r>
    <x v="16"/>
    <s v="MPII311"/>
    <x v="1"/>
    <n v="5853.2609502333653"/>
  </r>
  <r>
    <x v="17"/>
    <s v="MPII311"/>
    <x v="1"/>
    <n v="4287.7329600000012"/>
  </r>
  <r>
    <x v="18"/>
    <s v="MPII311"/>
    <x v="1"/>
    <n v="677.98536481573376"/>
  </r>
  <r>
    <x v="19"/>
    <s v="MPII311"/>
    <x v="1"/>
    <n v="14090.17"/>
  </r>
  <r>
    <x v="20"/>
    <s v="MPII311"/>
    <x v="1"/>
    <n v="870.84192097156665"/>
  </r>
  <r>
    <x v="6"/>
    <s v="MPPS104"/>
    <x v="2"/>
    <n v="0.57204190783207576"/>
  </r>
  <r>
    <x v="0"/>
    <s v="MPPS104"/>
    <x v="2"/>
    <n v="5.0640382082067834"/>
  </r>
  <r>
    <x v="1"/>
    <s v="MPPS104"/>
    <x v="2"/>
    <n v="8.599519213665312"/>
  </r>
  <r>
    <x v="9"/>
    <s v="MPPS104"/>
    <x v="2"/>
    <n v="0.29996434119329951"/>
  </r>
  <r>
    <x v="10"/>
    <s v="MPPS104"/>
    <x v="2"/>
    <n v="1.781214207892079"/>
  </r>
  <r>
    <x v="11"/>
    <s v="MPPS104"/>
    <x v="2"/>
    <n v="11.000000000000002"/>
  </r>
  <r>
    <x v="13"/>
    <s v="MPPS104"/>
    <x v="2"/>
    <n v="87.370435514433339"/>
  </r>
  <r>
    <x v="14"/>
    <s v="MPPS104"/>
    <x v="2"/>
    <n v="38.358313943106609"/>
  </r>
  <r>
    <x v="15"/>
    <s v="MPPS104"/>
    <x v="2"/>
    <n v="15.000187849870379"/>
  </r>
  <r>
    <x v="16"/>
    <s v="MPPS104"/>
    <x v="2"/>
    <n v="38.999739814993468"/>
  </r>
  <r>
    <x v="3"/>
    <s v="MPPS104"/>
    <x v="2"/>
    <n v="11.999840883889989"/>
  </r>
  <r>
    <x v="4"/>
    <s v="MPPA144"/>
    <x v="3"/>
    <n v="599.99105914376401"/>
  </r>
  <r>
    <x v="5"/>
    <s v="MPPA144"/>
    <x v="3"/>
    <n v="99.946123651716931"/>
  </r>
  <r>
    <x v="6"/>
    <s v="MPPA144"/>
    <x v="3"/>
    <n v="15.201113634698514"/>
  </r>
  <r>
    <x v="8"/>
    <s v="MPPA144"/>
    <x v="3"/>
    <n v="41.998879389773883"/>
  </r>
  <r>
    <x v="1"/>
    <s v="MPPA144"/>
    <x v="3"/>
    <n v="267.98501735608176"/>
  </r>
  <r>
    <x v="10"/>
    <s v="MPPA144"/>
    <x v="3"/>
    <n v="247.39086220723314"/>
  </r>
  <r>
    <x v="11"/>
    <s v="MPPA144"/>
    <x v="3"/>
    <n v="150.00000000000003"/>
  </r>
  <r>
    <x v="12"/>
    <s v="MPPA144"/>
    <x v="3"/>
    <n v="150.00297433151897"/>
  </r>
  <r>
    <x v="13"/>
    <s v="MPPA144"/>
    <x v="3"/>
    <n v="5257.0505929741412"/>
  </r>
  <r>
    <x v="14"/>
    <s v="MPPA144"/>
    <x v="3"/>
    <n v="4187.7937500309235"/>
  </r>
  <r>
    <x v="15"/>
    <s v="MPPA144"/>
    <x v="3"/>
    <n v="2250.0281774805576"/>
  </r>
  <r>
    <x v="16"/>
    <s v="MPPA144"/>
    <x v="3"/>
    <n v="1499.9899928843643"/>
  </r>
  <r>
    <x v="2"/>
    <s v="MPPA144"/>
    <x v="3"/>
    <n v="1500.1003423658169"/>
  </r>
  <r>
    <x v="17"/>
    <s v="MPPA144"/>
    <x v="3"/>
    <n v="588.17808000000014"/>
  </r>
  <r>
    <x v="18"/>
    <s v="MPPA144"/>
    <x v="3"/>
    <n v="104.99773348916233"/>
  </r>
  <r>
    <x v="3"/>
    <s v="MPPA144"/>
    <x v="3"/>
    <n v="2099.9721546807486"/>
  </r>
  <r>
    <x v="11"/>
    <n v="0"/>
    <x v="4"/>
    <n v="500"/>
  </r>
  <r>
    <x v="14"/>
    <s v="MPPC120"/>
    <x v="5"/>
    <n v="239.86142310621145"/>
  </r>
  <r>
    <x v="18"/>
    <s v="MPPS090"/>
    <x v="6"/>
    <n v="13.49970859146373"/>
  </r>
  <r>
    <x v="5"/>
    <s v="MPCC010"/>
    <x v="7"/>
    <n v="1507.1875446678907"/>
  </r>
  <r>
    <x v="5"/>
    <s v="MPCC010"/>
    <x v="7"/>
    <n v="139.92457311240369"/>
  </r>
  <r>
    <x v="6"/>
    <s v="MPCC010"/>
    <x v="7"/>
    <n v="512.03751190563423"/>
  </r>
  <r>
    <x v="7"/>
    <s v="MPCC010"/>
    <x v="7"/>
    <n v="278.06630000000001"/>
  </r>
  <r>
    <x v="8"/>
    <s v="MPCC010"/>
    <x v="7"/>
    <n v="324.9861527494474"/>
  </r>
  <r>
    <x v="9"/>
    <s v="1223"/>
    <x v="7"/>
    <n v="944.88767475889324"/>
  </r>
  <r>
    <x v="17"/>
    <s v="MPCC010"/>
    <x v="7"/>
    <n v="8366.6200800000024"/>
  </r>
  <r>
    <x v="18"/>
    <s v="MPCC010"/>
    <x v="7"/>
    <n v="541.48831127982282"/>
  </r>
  <r>
    <x v="11"/>
    <s v="MPCP058"/>
    <x v="8"/>
    <n v="163.26000000000002"/>
  </r>
  <r>
    <x v="16"/>
    <s v="CREAR"/>
    <x v="9"/>
    <n v="89.898711140654044"/>
  </r>
  <r>
    <x v="8"/>
    <s v="MPPD168"/>
    <x v="9"/>
    <n v="10.949707840905333"/>
  </r>
  <r>
    <x v="11"/>
    <s v="MPPD168"/>
    <x v="9"/>
    <n v="14.600000000000001"/>
  </r>
  <r>
    <x v="17"/>
    <s v="MPPD168"/>
    <x v="9"/>
    <n v="153.43776000000005"/>
  </r>
  <r>
    <x v="18"/>
    <s v="MPPD168"/>
    <x v="9"/>
    <n v="14.999676212737478"/>
  </r>
  <r>
    <x v="0"/>
    <s v="MPPS153"/>
    <x v="10"/>
    <n v="5.0641717862945157"/>
  </r>
  <r>
    <x v="1"/>
    <s v="MPPS153"/>
    <x v="10"/>
    <n v="8.599519213665312"/>
  </r>
  <r>
    <x v="9"/>
    <s v="MPPS153"/>
    <x v="10"/>
    <n v="0.29996434119329951"/>
  </r>
  <r>
    <x v="11"/>
    <s v="MPPS153"/>
    <x v="10"/>
    <n v="13.200000000000003"/>
  </r>
  <r>
    <x v="13"/>
    <s v="MPPS153"/>
    <x v="10"/>
    <n v="66.2810200454322"/>
  </r>
  <r>
    <x v="14"/>
    <s v="MPPS153"/>
    <x v="10"/>
    <n v="28.783370772745382"/>
  </r>
  <r>
    <x v="15"/>
    <s v="MPPS153"/>
    <x v="10"/>
    <n v="15.000187849870379"/>
  </r>
  <r>
    <x v="3"/>
    <s v="MPPS153"/>
    <x v="11"/>
    <n v="11.999840883889989"/>
  </r>
  <r>
    <x v="0"/>
    <s v="MPLO211"/>
    <x v="12"/>
    <n v="12.660429465736273"/>
  </r>
  <r>
    <x v="1"/>
    <s v="MPLO211"/>
    <x v="12"/>
    <n v="37.997875595265327"/>
  </r>
  <r>
    <x v="5"/>
    <s v="MPPO134"/>
    <x v="13"/>
    <n v="6.1966596664064486"/>
  </r>
  <r>
    <x v="5"/>
    <s v="MPPO142"/>
    <x v="14"/>
    <n v="2.3987069676412061"/>
  </r>
  <r>
    <x v="7"/>
    <s v="MPPO142"/>
    <x v="14"/>
    <n v="0.3022115303982853"/>
  </r>
  <r>
    <x v="0"/>
    <s v="MPPO142"/>
    <x v="14"/>
    <n v="1.3834131794114937"/>
  </r>
  <r>
    <x v="1"/>
    <s v="MPPO142"/>
    <x v="14"/>
    <n v="4.299759606832656"/>
  </r>
  <r>
    <x v="18"/>
    <s v="MPPO142"/>
    <x v="14"/>
    <n v="0.48748947691396793"/>
  </r>
  <r>
    <x v="20"/>
    <s v="MPPO142"/>
    <x v="15"/>
    <n v="19.999335150588394"/>
  </r>
  <r>
    <x v="4"/>
    <s v="MPLO215"/>
    <x v="16"/>
    <n v="0.95998569463002204"/>
  </r>
  <r>
    <x v="9"/>
    <s v="MPLO215"/>
    <x v="16"/>
    <n v="0.28796576754556746"/>
  </r>
  <r>
    <x v="12"/>
    <s v="MPLO215"/>
    <x v="16"/>
    <n v="0.40500803069510127"/>
  </r>
  <r>
    <x v="2"/>
    <s v="MPLO215"/>
    <x v="16"/>
    <n v="2.9996872242427788"/>
  </r>
  <r>
    <x v="5"/>
    <s v="MPPO135"/>
    <x v="17"/>
    <n v="4.71745703636104"/>
  </r>
  <r>
    <x v="6"/>
    <s v="MPPO135"/>
    <x v="17"/>
    <n v="1.8041321708550087"/>
  </r>
  <r>
    <x v="4"/>
    <s v="MPLO214"/>
    <x v="18"/>
    <n v="4.7999284731501124"/>
  </r>
  <r>
    <x v="7"/>
    <s v="MPLO214"/>
    <x v="18"/>
    <n v="0.12894358630326838"/>
  </r>
  <r>
    <x v="8"/>
    <s v="MPLO214"/>
    <x v="18"/>
    <n v="0.23999359651299371"/>
  </r>
  <r>
    <x v="9"/>
    <s v="MPLO214"/>
    <x v="18"/>
    <n v="0.24597075977850572"/>
  </r>
  <r>
    <x v="10"/>
    <s v="MPLO214"/>
    <x v="18"/>
    <n v="1.5833015181262924"/>
  </r>
  <r>
    <x v="12"/>
    <s v="MPLO214"/>
    <x v="18"/>
    <n v="1.5900315279141009"/>
  </r>
  <r>
    <x v="14"/>
    <s v="MPLO214"/>
    <x v="18"/>
    <n v="33.580599234869631"/>
  </r>
  <r>
    <x v="16"/>
    <s v="MPLO214"/>
    <x v="18"/>
    <n v="23.999839886149832"/>
  </r>
  <r>
    <x v="2"/>
    <s v="MPLO214"/>
    <x v="18"/>
    <n v="14.998436121213894"/>
  </r>
  <r>
    <x v="17"/>
    <s v="MPLO214"/>
    <x v="18"/>
    <n v="4.2621600000000006"/>
  </r>
  <r>
    <x v="6"/>
    <s v="MPPS157"/>
    <x v="19"/>
    <n v="0.48003516741153196"/>
  </r>
  <r>
    <x v="0"/>
    <s v="MPPS157"/>
    <x v="19"/>
    <n v="2.5320021663399457"/>
  </r>
  <r>
    <x v="1"/>
    <s v="MPPS157"/>
    <x v="19"/>
    <n v="14.499189371877559"/>
  </r>
  <r>
    <x v="11"/>
    <s v="MPPS157"/>
    <x v="19"/>
    <n v="3.0800000000000005"/>
  </r>
  <r>
    <x v="11"/>
    <s v="MPPC109"/>
    <x v="20"/>
    <n v="17.400000000000002"/>
  </r>
  <r>
    <x v="13"/>
    <s v="MPPC109"/>
    <x v="20"/>
    <n v="195.83028649786786"/>
  </r>
  <r>
    <x v="8"/>
    <s v="MPPC115"/>
    <x v="21"/>
    <n v="3.8998959433361464"/>
  </r>
  <r>
    <x v="9"/>
    <s v="MPPC115"/>
    <x v="21"/>
    <n v="8.6989658946056867"/>
  </r>
  <r>
    <x v="17"/>
    <s v="MPPC115"/>
    <x v="21"/>
    <n v="55.408080000000012"/>
  </r>
  <r>
    <x v="4"/>
    <s v="MPPN323"/>
    <x v="22"/>
    <n v="59.999105914376401"/>
  </r>
  <r>
    <x v="7"/>
    <s v="MPPN323"/>
    <x v="22"/>
    <n v="1.4909102166315407"/>
  </r>
  <r>
    <x v="8"/>
    <s v="MPPN323"/>
    <x v="22"/>
    <n v="7.4997998910310502"/>
  </r>
  <r>
    <x v="9"/>
    <s v="MPPN323"/>
    <x v="22"/>
    <n v="4.589454420257483"/>
  </r>
  <r>
    <x v="11"/>
    <s v="MPPN323"/>
    <x v="22"/>
    <n v="8.8000000000000043"/>
  </r>
  <r>
    <x v="12"/>
    <s v="MPPN323"/>
    <x v="22"/>
    <n v="15.000297433151898"/>
  </r>
  <r>
    <x v="16"/>
    <s v="MPPN323"/>
    <x v="22"/>
    <n v="89.999399573061865"/>
  </r>
  <r>
    <x v="2"/>
    <s v="MPPN323"/>
    <x v="22"/>
    <n v="150.01003423658173"/>
  </r>
  <r>
    <x v="17"/>
    <s v="MPPN323"/>
    <x v="22"/>
    <n v="104.42292"/>
  </r>
  <r>
    <x v="18"/>
    <s v="MPPN323"/>
    <x v="22"/>
    <n v="7.1998445821139887"/>
  </r>
  <r>
    <x v="4"/>
    <s v="MPPS152"/>
    <x v="23"/>
    <n v="35.99946354862584"/>
  </r>
  <r>
    <x v="8"/>
    <s v="MPPS152"/>
    <x v="23"/>
    <n v="4.4998799346186305"/>
  </r>
  <r>
    <x v="9"/>
    <s v="MPPS152"/>
    <x v="23"/>
    <n v="9.2988945769922893"/>
  </r>
  <r>
    <x v="17"/>
    <s v="MPPS152"/>
    <x v="23"/>
    <n v="63.93240000000003"/>
  </r>
  <r>
    <x v="2"/>
    <s v="MPCC012"/>
    <x v="24"/>
    <n v="2447.9135561639705"/>
  </r>
  <r>
    <x v="13"/>
    <s v="MPCC012"/>
    <x v="24"/>
    <n v="9038.1297430540817"/>
  </r>
  <r>
    <x v="14"/>
    <s v="MPCC012"/>
    <x v="24"/>
    <n v="7199.8209985871954"/>
  </r>
  <r>
    <x v="15"/>
    <s v="MPCC012"/>
    <x v="24"/>
    <n v="1305.016342938723"/>
  </r>
  <r>
    <x v="16"/>
    <s v="MPCC012"/>
    <x v="24"/>
    <n v="2999.9799857687285"/>
  </r>
  <r>
    <x v="3"/>
    <s v="MPCC012"/>
    <x v="24"/>
    <n v="1799.9761325834988"/>
  </r>
  <r>
    <x v="11"/>
    <s v="MPPO140"/>
    <x v="25"/>
    <n v="9.1999999999999993"/>
  </r>
  <r>
    <x v="4"/>
    <s v="MPPD161"/>
    <x v="26"/>
    <n v="5.9999105914376409"/>
  </r>
  <r>
    <x v="8"/>
    <s v="MPPD161"/>
    <x v="26"/>
    <n v="0.71398094962615599"/>
  </r>
  <r>
    <x v="9"/>
    <s v="MPPD161"/>
    <x v="26"/>
    <n v="0.68991798474458865"/>
  </r>
  <r>
    <x v="10"/>
    <s v="MPPD161"/>
    <x v="26"/>
    <n v="1.2864324834776124"/>
  </r>
  <r>
    <x v="11"/>
    <s v="MPPD161"/>
    <x v="26"/>
    <n v="1.36"/>
  </r>
  <r>
    <x v="12"/>
    <s v="MPPD161"/>
    <x v="26"/>
    <n v="1.4550288510157339"/>
  </r>
  <r>
    <x v="13"/>
    <s v="MPPD161"/>
    <x v="26"/>
    <n v="27.336663083465524"/>
  </r>
  <r>
    <x v="14"/>
    <s v="MPPD161"/>
    <x v="26"/>
    <n v="23.98614231062114"/>
  </r>
  <r>
    <x v="16"/>
    <s v="MPPD161"/>
    <x v="26"/>
    <n v="14.999899928843645"/>
  </r>
  <r>
    <x v="2"/>
    <s v="MPPD161"/>
    <x v="26"/>
    <n v="14.998436121213894"/>
  </r>
  <r>
    <x v="17"/>
    <s v="MPPD161"/>
    <x v="26"/>
    <n v="10.655400000000004"/>
  </r>
  <r>
    <x v="18"/>
    <s v="MPPD161"/>
    <x v="26"/>
    <n v="1.1249757159553107"/>
  </r>
  <r>
    <x v="4"/>
    <s v="MPPA134"/>
    <x v="27"/>
    <n v="95.998569463002255"/>
  </r>
  <r>
    <x v="10"/>
    <s v="MPPA134"/>
    <x v="27"/>
    <n v="18.801705527749721"/>
  </r>
  <r>
    <x v="12"/>
    <s v="MPPA134"/>
    <x v="27"/>
    <n v="15.600309330477975"/>
  </r>
  <r>
    <x v="13"/>
    <s v="MPPA134"/>
    <x v="27"/>
    <n v="399.53584506603454"/>
  </r>
  <r>
    <x v="14"/>
    <s v="MPPA134"/>
    <x v="27"/>
    <n v="318.27232500234993"/>
  </r>
  <r>
    <x v="2"/>
    <s v="MPPA134"/>
    <x v="27"/>
    <n v="156.01043560604495"/>
  </r>
  <r>
    <x v="15"/>
    <s v="MIPS003"/>
    <x v="28"/>
    <n v="1500.0187849870381"/>
  </r>
  <r>
    <x v="3"/>
    <s v="MIPS003"/>
    <x v="28"/>
    <n v="1199.984088388999"/>
  </r>
  <r>
    <x v="10"/>
    <s v="MPCC019"/>
    <x v="29"/>
    <n v="138.53888283605062"/>
  </r>
  <r>
    <x v="15"/>
    <s v="MPCC019"/>
    <x v="29"/>
    <n v="750.00939249351904"/>
  </r>
  <r>
    <x v="8"/>
    <s v="MPII310"/>
    <x v="30"/>
    <n v="122.80975552143047"/>
  </r>
  <r>
    <x v="17"/>
    <s v="MPII310"/>
    <x v="30"/>
    <n v="1681.4221200000002"/>
  </r>
  <r>
    <x v="20"/>
    <s v="MPII310"/>
    <x v="30"/>
    <n v="240.23225406112181"/>
  </r>
  <r>
    <x v="8"/>
    <s v="MPPH141"/>
    <x v="31"/>
    <n v="0.89997598692372649"/>
  </r>
  <r>
    <x v="9"/>
    <s v="MPPH141"/>
    <x v="31"/>
    <n v="0.59992868238659902"/>
  </r>
  <r>
    <x v="17"/>
    <s v="MPPH141"/>
    <x v="31"/>
    <n v="12.786480000000003"/>
  </r>
  <r>
    <x v="6"/>
    <s v="MPPH142"/>
    <x v="32"/>
    <n v="1.256092021393509"/>
  </r>
  <r>
    <x v="7"/>
    <s v="MPPH142"/>
    <x v="32"/>
    <n v="0.12088461215931412"/>
  </r>
  <r>
    <x v="3"/>
    <s v="MPPH142"/>
    <x v="32"/>
    <n v="22.799697679390984"/>
  </r>
  <r>
    <x v="21"/>
    <s v="MPPH146"/>
    <x v="33"/>
    <n v="94"/>
  </r>
  <r>
    <x v="10"/>
    <s v="MPPH147"/>
    <x v="34"/>
    <n v="2.374952277189438"/>
  </r>
  <r>
    <x v="15"/>
    <s v="MPPH147"/>
    <x v="34"/>
    <n v="26.250328737273176"/>
  </r>
  <r>
    <x v="18"/>
    <s v="MPPH147"/>
    <x v="34"/>
    <n v="2.3999481940379965"/>
  </r>
  <r>
    <x v="10"/>
    <s v="MPPD172"/>
    <x v="35"/>
    <n v="5.5415553134420241"/>
  </r>
  <r>
    <x v="13"/>
    <s v="MPPD172"/>
    <x v="35"/>
    <n v="117.75793328262067"/>
  </r>
  <r>
    <x v="14"/>
    <s v="MPPD172"/>
    <x v="35"/>
    <n v="95.944569242484562"/>
  </r>
  <r>
    <x v="15"/>
    <s v="MPPD172"/>
    <x v="35"/>
    <n v="45.000563549611151"/>
  </r>
  <r>
    <x v="2"/>
    <s v="MPPD172"/>
    <x v="35"/>
    <n v="50.99468281212723"/>
  </r>
  <r>
    <x v="3"/>
    <s v="MPPD160"/>
    <x v="36"/>
    <n v="11.999840883889989"/>
  </r>
  <r>
    <x v="4"/>
    <s v="MPPD160"/>
    <x v="36"/>
    <n v="32.99950825290702"/>
  </r>
  <r>
    <x v="5"/>
    <s v="MPPD160"/>
    <x v="36"/>
    <n v="19.989224730343388"/>
  </r>
  <r>
    <x v="6"/>
    <s v="MPPD160"/>
    <x v="36"/>
    <n v="5.6004102864678735"/>
  </r>
  <r>
    <x v="8"/>
    <s v="MPPD160"/>
    <x v="36"/>
    <n v="7.4997998910310502"/>
  </r>
  <r>
    <x v="0"/>
    <s v="MPPD160"/>
    <x v="36"/>
    <n v="5.0641717862945157"/>
  </r>
  <r>
    <x v="1"/>
    <s v="MPPD160"/>
    <x v="36"/>
    <n v="13.999217324571436"/>
  </r>
  <r>
    <x v="9"/>
    <s v="MPPD160"/>
    <x v="36"/>
    <n v="5.999286823865992"/>
  </r>
  <r>
    <x v="11"/>
    <s v="MPPD160"/>
    <x v="36"/>
    <n v="9.0000000000000018"/>
  </r>
  <r>
    <x v="12"/>
    <s v="MPPD160"/>
    <x v="36"/>
    <n v="8.2501635882335442"/>
  </r>
  <r>
    <x v="16"/>
    <s v="MPPD160"/>
    <x v="36"/>
    <n v="74.999499644218204"/>
  </r>
  <r>
    <x v="17"/>
    <s v="MPPD160"/>
    <x v="36"/>
    <n v="83.112120000000033"/>
  </r>
  <r>
    <x v="18"/>
    <s v="MPPD160"/>
    <x v="36"/>
    <n v="10.949763635298355"/>
  </r>
  <r>
    <x v="10"/>
    <s v="MPPC117"/>
    <x v="37"/>
    <n v="15.833015181262924"/>
  </r>
  <r>
    <x v="4"/>
    <s v="MPPC112"/>
    <x v="38"/>
    <n v="80.998792984408126"/>
  </r>
  <r>
    <x v="12"/>
    <s v="MPPC112"/>
    <x v="38"/>
    <n v="20.25040153475506"/>
  </r>
  <r>
    <x v="2"/>
    <s v="MPPC112"/>
    <x v="38"/>
    <n v="202.51354621938523"/>
  </r>
  <r>
    <x v="19"/>
    <s v="MPPN167"/>
    <x v="39"/>
    <n v="273.13250559739464"/>
  </r>
  <r>
    <x v="3"/>
    <s v="MPCC036"/>
    <x v="40"/>
    <n v="863.98854364007946"/>
  </r>
  <r>
    <x v="4"/>
    <s v="MPCP031"/>
    <x v="41"/>
    <n v="5768.4340408199769"/>
  </r>
  <r>
    <x v="0"/>
    <s v="MPCP031"/>
    <x v="41"/>
    <n v="459.02974338290375"/>
  </r>
  <r>
    <x v="1"/>
    <s v="829"/>
    <x v="41"/>
    <n v="3990.576892778548"/>
  </r>
  <r>
    <x v="11"/>
    <s v="MPCP031"/>
    <x v="41"/>
    <n v="580.48"/>
  </r>
  <r>
    <x v="12"/>
    <s v="MPCP031"/>
    <x v="41"/>
    <n v="1578.2112935367772"/>
  </r>
  <r>
    <x v="16"/>
    <s v="MPCP031"/>
    <x v="41"/>
    <n v="14999.899928843646"/>
  </r>
  <r>
    <x v="18"/>
    <s v="MPCP031"/>
    <x v="41"/>
    <n v="734.65414154745611"/>
  </r>
  <r>
    <x v="3"/>
    <s v="MPCP031"/>
    <x v="41"/>
    <n v="8924.7616589843419"/>
  </r>
  <r>
    <x v="15"/>
    <s v="MPCP034"/>
    <x v="42"/>
    <n v="5872.5735432242545"/>
  </r>
  <r>
    <x v="0"/>
    <s v="MPCP044"/>
    <x v="42"/>
    <n v="253.19492667992915"/>
  </r>
  <r>
    <x v="2"/>
    <s v="MPCP044"/>
    <x v="42"/>
    <n v="5770.2962319624976"/>
  </r>
  <r>
    <x v="2"/>
    <s v="MPCP044"/>
    <x v="42"/>
    <n v="5770.2962319624976"/>
  </r>
  <r>
    <x v="4"/>
    <s v="MPCP044"/>
    <x v="42"/>
    <n v="449.993294357823"/>
  </r>
  <r>
    <x v="10"/>
    <s v="MPCP044"/>
    <x v="42"/>
    <n v="519.46143682826005"/>
  </r>
  <r>
    <x v="12"/>
    <s v="MPCP044"/>
    <x v="42"/>
    <n v="150.00297433151897"/>
  </r>
  <r>
    <x v="13"/>
    <s v="MPCP044"/>
    <x v="42"/>
    <n v="3714.671324395229"/>
  </r>
  <r>
    <x v="14"/>
    <s v="MPCP044"/>
    <x v="42"/>
    <n v="2961.5263707522004"/>
  </r>
  <r>
    <x v="15"/>
    <s v="MPCP044"/>
    <x v="42"/>
    <n v="5872.5735432242545"/>
  </r>
  <r>
    <x v="18"/>
    <s v="MPCP044"/>
    <x v="42"/>
    <n v="149.99676212737472"/>
  </r>
  <r>
    <x v="10"/>
    <s v="MPCP033"/>
    <x v="42"/>
    <n v="559.20824231392282"/>
  </r>
  <r>
    <x v="13"/>
    <s v="MPCP033"/>
    <x v="42"/>
    <n v="11036.115944723862"/>
  </r>
  <r>
    <x v="14"/>
    <s v="MPCP033"/>
    <x v="42"/>
    <n v="8791.4271625421607"/>
  </r>
  <r>
    <x v="19"/>
    <s v="MPCC013"/>
    <x v="43"/>
    <n v="6936.6985548544681"/>
  </r>
  <r>
    <x v="11"/>
    <s v="MPCP037"/>
    <x v="44"/>
    <n v="342.00000000000006"/>
  </r>
  <r>
    <x v="16"/>
    <s v="MPCP037"/>
    <x v="44"/>
    <n v="1739.9883917458624"/>
  </r>
  <r>
    <x v="11"/>
    <s v="MPCC020"/>
    <x v="45"/>
    <n v="163.26000000000002"/>
  </r>
  <r>
    <x v="8"/>
    <s v="MPCC034"/>
    <x v="46"/>
    <n v="626.37846302762364"/>
  </r>
  <r>
    <x v="17"/>
    <s v="MPCC034"/>
    <x v="46"/>
    <n v="5044.2663600000024"/>
  </r>
  <r>
    <x v="11"/>
    <s v="MPPS154"/>
    <x v="47"/>
    <n v="2.0000000000000004"/>
  </r>
  <r>
    <x v="13"/>
    <s v="MPPS154"/>
    <x v="47"/>
    <n v="60.255472768574734"/>
  </r>
  <r>
    <x v="14"/>
    <s v="MPPS154"/>
    <x v="47"/>
    <n v="28.783370772745382"/>
  </r>
  <r>
    <x v="16"/>
    <s v="MPPS154"/>
    <x v="47"/>
    <n v="38.999739814993468"/>
  </r>
  <r>
    <x v="0"/>
    <s v="MPPS095"/>
    <x v="48"/>
    <n v="2.0719025291651221"/>
  </r>
  <r>
    <x v="1"/>
    <s v="MPPS095"/>
    <x v="48"/>
    <n v="6.4396399693028616"/>
  </r>
  <r>
    <x v="9"/>
    <s v="MPPS095"/>
    <x v="48"/>
    <n v="0.8998930235798982"/>
  </r>
  <r>
    <x v="4"/>
    <s v="MPPA151"/>
    <x v="49"/>
    <n v="65.999016505814041"/>
  </r>
  <r>
    <x v="10"/>
    <s v="MPPA151"/>
    <x v="49"/>
    <n v="31.666030362525849"/>
  </r>
  <r>
    <x v="12"/>
    <s v="MPPA151"/>
    <x v="49"/>
    <n v="15.000297433151898"/>
  </r>
  <r>
    <x v="13"/>
    <s v="MPPA151"/>
    <x v="49"/>
    <n v="672.90247590068975"/>
  </r>
  <r>
    <x v="14"/>
    <s v="MPPA151"/>
    <x v="49"/>
    <n v="536.03760000395766"/>
  </r>
  <r>
    <x v="2"/>
    <s v="MPPA151"/>
    <x v="49"/>
    <n v="300.02006847316346"/>
  </r>
  <r>
    <x v="11"/>
    <n v="0"/>
    <x v="50"/>
    <n v="200"/>
  </r>
  <r>
    <x v="3"/>
    <s v="MPPC075"/>
    <x v="51"/>
    <n v="337.43552565498658"/>
  </r>
  <r>
    <x v="7"/>
    <s v="MPPC121"/>
    <x v="52"/>
    <n v="15.312050873513124"/>
  </r>
  <r>
    <x v="15"/>
    <s v="MPPC116"/>
    <x v="53"/>
    <n v="393.00492166660399"/>
  </r>
  <r>
    <x v="6"/>
    <s v="MPPC102"/>
    <x v="54"/>
    <n v="24.001758370576603"/>
  </r>
  <r>
    <x v="5"/>
    <s v="MPPC097"/>
    <x v="55"/>
    <n v="68.902857645493654"/>
  </r>
  <r>
    <x v="18"/>
    <s v="MPPC076"/>
    <x v="56"/>
    <n v="4.9498931502033665"/>
  </r>
  <r>
    <x v="8"/>
    <s v="MPLS190"/>
    <x v="57"/>
    <n v="8.09978388231354"/>
  </r>
  <r>
    <x v="17"/>
    <s v="MPLS190"/>
    <x v="57"/>
    <n v="112.94724000000004"/>
  </r>
  <r>
    <x v="20"/>
    <s v="MPPA121"/>
    <x v="58"/>
    <n v="324.31354298251443"/>
  </r>
  <r>
    <x v="7"/>
    <s v="MPPA168"/>
    <x v="59"/>
    <n v="2.4176922431862824"/>
  </r>
  <r>
    <x v="8"/>
    <s v="MPPA168"/>
    <x v="59"/>
    <n v="11.69968783000844"/>
  </r>
  <r>
    <x v="12"/>
    <s v="MPPA168"/>
    <x v="59"/>
    <n v="3.150062460961899"/>
  </r>
  <r>
    <x v="2"/>
    <s v="MPPA168"/>
    <x v="59"/>
    <n v="330.02207532047964"/>
  </r>
  <r>
    <x v="17"/>
    <s v="MPPA168"/>
    <x v="59"/>
    <n v="164.09316000000001"/>
  </r>
  <r>
    <x v="18"/>
    <s v="MPPA168"/>
    <x v="59"/>
    <n v="29.999352425474957"/>
  </r>
  <r>
    <x v="13"/>
    <s v="MPPA154"/>
    <x v="60"/>
    <n v="3364.512379503446"/>
  </r>
  <r>
    <x v="14"/>
    <s v="MPPA132"/>
    <x v="60"/>
    <n v="2680.1880000197871"/>
  </r>
  <r>
    <x v="2"/>
    <s v="MPPA132"/>
    <x v="60"/>
    <n v="1088.9615452052958"/>
  </r>
  <r>
    <x v="15"/>
    <s v="MPPA164"/>
    <x v="61"/>
    <n v="600.00751399481533"/>
  </r>
  <r>
    <x v="0"/>
    <s v="MPPA122"/>
    <x v="62"/>
    <n v="287.12304685503955"/>
  </r>
  <r>
    <x v="1"/>
    <s v="MPPA122"/>
    <x v="62"/>
    <n v="179.9899370302042"/>
  </r>
  <r>
    <x v="11"/>
    <s v="MPPA122"/>
    <x v="62"/>
    <n v="272.16000000000008"/>
  </r>
  <r>
    <x v="20"/>
    <s v="MPPA154"/>
    <x v="63"/>
    <n v="162.15677149125722"/>
  </r>
  <r>
    <x v="4"/>
    <s v="MPPA154"/>
    <x v="63"/>
    <n v="359.99463548625835"/>
  </r>
  <r>
    <x v="5"/>
    <s v="MPPA154"/>
    <x v="63"/>
    <n v="119.93534838206031"/>
  </r>
  <r>
    <x v="6"/>
    <s v="MPPA154"/>
    <x v="63"/>
    <n v="36.002637555864894"/>
  </r>
  <r>
    <x v="7"/>
    <s v="MPPA154"/>
    <x v="63"/>
    <n v="7.0516023759599884"/>
  </r>
  <r>
    <x v="8"/>
    <s v="MPPA154"/>
    <x v="63"/>
    <n v="17.999519738474522"/>
  </r>
  <r>
    <x v="0"/>
    <s v="MPPA154"/>
    <x v="63"/>
    <n v="50.642188017522777"/>
  </r>
  <r>
    <x v="1"/>
    <s v="MPPA154"/>
    <x v="63"/>
    <n v="319.98211027591861"/>
  </r>
  <r>
    <x v="10"/>
    <s v="MPPA154"/>
    <x v="63"/>
    <n v="158.33015181262925"/>
  </r>
  <r>
    <x v="11"/>
    <s v="MPPA154"/>
    <x v="63"/>
    <n v="80.000000000000014"/>
  </r>
  <r>
    <x v="12"/>
    <s v="MPPA154"/>
    <x v="63"/>
    <n v="90.001784598911385"/>
  </r>
  <r>
    <x v="15"/>
    <s v="MPPA154"/>
    <x v="63"/>
    <n v="600.00751399481533"/>
  </r>
  <r>
    <x v="16"/>
    <s v="MPPA154"/>
    <x v="63"/>
    <n v="899.99399573061851"/>
  </r>
  <r>
    <x v="17"/>
    <s v="MPPA154"/>
    <x v="63"/>
    <n v="251.46744000000007"/>
  </r>
  <r>
    <x v="18"/>
    <s v="MPPA154"/>
    <x v="63"/>
    <n v="89.998057276424845"/>
  </r>
  <r>
    <x v="3"/>
    <s v="MPPA154"/>
    <x v="63"/>
    <n v="959.98727071119947"/>
  </r>
  <r>
    <x v="4"/>
    <s v="MPLR191"/>
    <x v="64"/>
    <n v="65.999016505814041"/>
  </r>
  <r>
    <x v="6"/>
    <s v="MPLR191"/>
    <x v="64"/>
    <n v="5.4003956333797376"/>
  </r>
  <r>
    <x v="0"/>
    <s v="MPLR191"/>
    <x v="64"/>
    <n v="12.659801578437776"/>
  </r>
  <r>
    <x v="1"/>
    <s v="MPLR191"/>
    <x v="64"/>
    <n v="95.99463308277555"/>
  </r>
  <r>
    <x v="10"/>
    <s v="MPLR191"/>
    <x v="64"/>
    <n v="13.853888283605061"/>
  </r>
  <r>
    <x v="12"/>
    <s v="MPLR191"/>
    <x v="64"/>
    <n v="18.000356919782277"/>
  </r>
  <r>
    <x v="2"/>
    <s v="MPLR191"/>
    <x v="64"/>
    <n v="180.01204108389803"/>
  </r>
  <r>
    <x v="9"/>
    <s v="MPPS102"/>
    <x v="65"/>
    <n v="0.8998930235798982"/>
  </r>
  <r>
    <x v="0"/>
    <s v="-"/>
    <x v="66"/>
    <n v="886.19999999999993"/>
  </r>
  <r>
    <x v="1"/>
    <s v="-"/>
    <x v="67"/>
    <n v="1599.9105513795926"/>
  </r>
  <r>
    <x v="9"/>
    <s v="-"/>
    <x v="67"/>
    <n v="137.98359694891778"/>
  </r>
  <r>
    <x v="4"/>
    <s v="MPRE001"/>
    <x v="68"/>
    <n v="509.99240027219929"/>
  </r>
  <r>
    <x v="10"/>
    <s v="-"/>
    <x v="68"/>
    <n v="158.33015181262925"/>
  </r>
  <r>
    <x v="13"/>
    <s v="MPRE001"/>
    <x v="68"/>
    <n v="3967.1209532682847"/>
  </r>
  <r>
    <x v="14"/>
    <s v="MPRE001"/>
    <x v="68"/>
    <n v="3160.2291132440259"/>
  </r>
  <r>
    <x v="15"/>
    <s v="MPRE001"/>
    <x v="68"/>
    <n v="2400.0300559792613"/>
  </r>
  <r>
    <x v="0"/>
    <s v="MPPS166"/>
    <x v="69"/>
    <n v="7.5960064990198379"/>
  </r>
  <r>
    <x v="6"/>
    <s v="MPPK174"/>
    <x v="70"/>
    <n v="1.2000879185288302"/>
  </r>
  <r>
    <x v="16"/>
    <s v="MPPC110"/>
    <x v="71"/>
    <n v="167.99924352965738"/>
  </r>
  <r>
    <x v="11"/>
    <s v="MPPC119"/>
    <x v="72"/>
    <n v="10.000000000000002"/>
  </r>
  <r>
    <x v="13"/>
    <s v="MPPC119"/>
    <x v="72"/>
    <n v="82.549997692947343"/>
  </r>
  <r>
    <x v="3"/>
    <s v="MPPS151"/>
    <x v="73"/>
    <n v="40.199466961031469"/>
  </r>
  <r>
    <x v="4"/>
    <s v="MPPS151"/>
    <x v="73"/>
    <n v="20.099700481316088"/>
  </r>
  <r>
    <x v="5"/>
    <s v="MPPS151"/>
    <x v="73"/>
    <n v="5.9967674191030156"/>
  </r>
  <r>
    <x v="6"/>
    <s v="MPPS151"/>
    <x v="73"/>
    <n v="2.0001465308813837"/>
  </r>
  <r>
    <x v="7"/>
    <s v="MPPS151"/>
    <x v="73"/>
    <n v="0.83813331097124422"/>
  </r>
  <r>
    <x v="8"/>
    <s v="MPPS151"/>
    <x v="73"/>
    <n v="2.519932763386433"/>
  </r>
  <r>
    <x v="9"/>
    <s v="MPPS151"/>
    <x v="73"/>
    <n v="2.4297111636657265"/>
  </r>
  <r>
    <x v="10"/>
    <s v="MPPS151"/>
    <x v="73"/>
    <n v="4.71032201642572"/>
  </r>
  <r>
    <x v="12"/>
    <s v="MPPS151"/>
    <x v="73"/>
    <n v="5.010099342672734"/>
  </r>
  <r>
    <x v="13"/>
    <s v="MPPS151"/>
    <x v="73"/>
    <n v="100.0942432902276"/>
  </r>
  <r>
    <x v="14"/>
    <s v="MPPS151"/>
    <x v="73"/>
    <n v="81.552883856111919"/>
  </r>
  <r>
    <x v="15"/>
    <s v="MPPS151"/>
    <x v="73"/>
    <n v="49.875624600819023"/>
  </r>
  <r>
    <x v="16"/>
    <s v="MPPS151"/>
    <x v="73"/>
    <n v="50.999659758068383"/>
  </r>
  <r>
    <x v="2"/>
    <s v="MPPS151"/>
    <x v="73"/>
    <n v="50.99468281212723"/>
  </r>
  <r>
    <x v="17"/>
    <s v="MPPS151"/>
    <x v="73"/>
    <n v="36.228360000000016"/>
  </r>
  <r>
    <x v="18"/>
    <s v="MPPS151"/>
    <x v="73"/>
    <n v="4.019913225013644"/>
  </r>
  <r>
    <x v="15"/>
    <s v="MPPS165"/>
    <x v="74"/>
    <n v="390.00488409662995"/>
  </r>
  <r>
    <x v="3"/>
    <s v="MPPS150"/>
    <x v="75"/>
    <n v="299.99602209724975"/>
  </r>
  <r>
    <x v="4"/>
    <s v="MPPS150"/>
    <x v="75"/>
    <n v="200.99700481316097"/>
  </r>
  <r>
    <x v="5"/>
    <s v="MPPS150"/>
    <x v="75"/>
    <n v="49.673223454903308"/>
  </r>
  <r>
    <x v="6"/>
    <s v="MPPS150"/>
    <x v="75"/>
    <n v="11.600849879112021"/>
  </r>
  <r>
    <x v="7"/>
    <s v="MPPS150"/>
    <x v="75"/>
    <n v="1.0375929210341126"/>
  </r>
  <r>
    <x v="8"/>
    <s v="MPPS150"/>
    <x v="75"/>
    <n v="14.399615790779624"/>
  </r>
  <r>
    <x v="9"/>
    <s v="MPPS150"/>
    <x v="75"/>
    <n v="21.597432565917565"/>
  </r>
  <r>
    <x v="10"/>
    <s v="MPPS150"/>
    <x v="75"/>
    <n v="44.530355197301972"/>
  </r>
  <r>
    <x v="11"/>
    <s v="MPPS150"/>
    <x v="75"/>
    <n v="38"/>
  </r>
  <r>
    <x v="12"/>
    <s v="MPPS150"/>
    <x v="75"/>
    <n v="24.000475893043028"/>
  </r>
  <r>
    <x v="13"/>
    <s v="MPPS150"/>
    <x v="75"/>
    <n v="813.44888237575867"/>
  </r>
  <r>
    <x v="14"/>
    <s v="MPPS150"/>
    <x v="75"/>
    <n v="647.99759586403491"/>
  </r>
  <r>
    <x v="16"/>
    <s v="MPPS150"/>
    <x v="75"/>
    <n v="215.9990273952738"/>
  </r>
  <r>
    <x v="2"/>
    <s v="MPPS150"/>
    <x v="75"/>
    <n v="289.51936607660247"/>
  </r>
  <r>
    <x v="17"/>
    <s v="MPPS150"/>
    <x v="75"/>
    <n v="202.45260000000007"/>
  </r>
  <r>
    <x v="18"/>
    <s v="MPPS150"/>
    <x v="75"/>
    <n v="32.24930385738557"/>
  </r>
  <r>
    <x v="20"/>
    <s v="MPPS150"/>
    <x v="75"/>
    <n v="8.4561753429514859"/>
  </r>
  <r>
    <x v="13"/>
    <s v="MPPA158"/>
    <x v="76"/>
    <n v="63.867579470263607"/>
  </r>
  <r>
    <x v="14"/>
    <s v="MPPA158"/>
    <x v="76"/>
    <n v="50.87980907363859"/>
  </r>
  <r>
    <x v="2"/>
    <s v="MPPA158"/>
    <x v="76"/>
    <n v="45.595464797312594"/>
  </r>
  <r>
    <x v="8"/>
    <s v="MPPC077"/>
    <x v="77"/>
    <n v="6.2998319084660839"/>
  </r>
  <r>
    <x v="17"/>
    <s v="MPPC077"/>
    <x v="77"/>
    <n v="87.374280000000027"/>
  </r>
  <r>
    <x v="18"/>
    <s v="MPPC077"/>
    <x v="77"/>
    <n v="11.09976039742573"/>
  </r>
  <r>
    <x v="5"/>
    <s v="MPCC026"/>
    <x v="78"/>
    <n v="873.5291207160061"/>
  </r>
  <r>
    <x v="6"/>
    <s v="MPCC026"/>
    <x v="78"/>
    <n v="360.02637555864902"/>
  </r>
  <r>
    <x v="7"/>
    <s v="MPCC026"/>
    <x v="78"/>
    <n v="72.530767295588461"/>
  </r>
  <r>
    <x v="9"/>
    <s v="1210"/>
    <x v="78"/>
    <n v="74.99108529832489"/>
  </r>
  <r>
    <x v="4"/>
    <s v="MPCC043"/>
    <x v="79"/>
    <n v="899.98658871564601"/>
  </r>
  <r>
    <x v="12"/>
    <s v="MPCC043"/>
    <x v="79"/>
    <n v="262.50520508015819"/>
  </r>
  <r>
    <x v="13"/>
    <s v="MPCC043"/>
    <x v="79"/>
    <n v="639.88084337188616"/>
  </r>
  <r>
    <x v="14"/>
    <s v="MPCC043"/>
    <x v="79"/>
    <n v="509.27808893519409"/>
  </r>
  <r>
    <x v="16"/>
    <s v="MPCC043"/>
    <x v="79"/>
    <n v="1199.9919943074913"/>
  </r>
  <r>
    <x v="2"/>
    <s v="MPCC043"/>
    <x v="79"/>
    <n v="456.55458829940625"/>
  </r>
  <r>
    <x v="3"/>
    <s v="MPCC043"/>
    <x v="80"/>
    <n v="1055.98599778231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8">
  <r>
    <s v="PP EMULSIÓN"/>
    <n v="0"/>
    <x v="0"/>
    <n v="925.31650722572761"/>
  </r>
  <r>
    <s v="HSA 2700 G - 30 UNDS"/>
    <s v="MPPC094"/>
    <x v="1"/>
    <n v="98.800067086465361"/>
  </r>
  <r>
    <s v="HSA 450 G - 5 UNDS"/>
    <s v="MPPC094"/>
    <x v="1"/>
    <n v="35.250888133319116"/>
  </r>
  <r>
    <s v="HSA 900 G - 10 UNDS"/>
    <s v="MPPC094"/>
    <x v="1"/>
    <n v="88.279689572628754"/>
  </r>
  <r>
    <s v="LOS PERRITOS"/>
    <s v="MPPC094"/>
    <x v="1"/>
    <n v="167.02332976670232"/>
  </r>
  <r>
    <s v="CERVECERO FAIZAN 1500 G"/>
    <s v="MPII311"/>
    <x v="2"/>
    <n v="11977.746617539568"/>
  </r>
  <r>
    <s v="CERVECERO FAIZAN 500 G"/>
    <s v="MPII311"/>
    <x v="2"/>
    <n v="4404.4298919502162"/>
  </r>
  <r>
    <s v="CERVECERO FAIZAN X 1300 G"/>
    <s v="MPII311"/>
    <x v="2"/>
    <n v="4458.769037993944"/>
  </r>
  <r>
    <s v="CERVECERO FAIZAN X 750 G"/>
    <s v="MPII311"/>
    <x v="2"/>
    <n v="2899.6121544818534"/>
  </r>
  <r>
    <s v="CH CERDO X 250"/>
    <s v="MPII311"/>
    <x v="2"/>
    <n v="121.78048341869867"/>
  </r>
  <r>
    <s v="CH CERDO X 500"/>
    <s v="MPII311"/>
    <x v="2"/>
    <n v="440.87145911455394"/>
  </r>
  <r>
    <s v="CH TERNERA X 1020 G"/>
    <s v="MPII311"/>
    <x v="2"/>
    <n v="1438.2840932830491"/>
  </r>
  <r>
    <s v="CH TERNERA X 120 G"/>
    <s v="MPII311"/>
    <x v="2"/>
    <n v="194.74650628374147"/>
  </r>
  <r>
    <s v="CH TERNERA X 480 G"/>
    <s v="MPII311"/>
    <x v="2"/>
    <n v="674.91836083959151"/>
  </r>
  <r>
    <s v="CHORIZO SANTARROSANO"/>
    <s v="MEZCLA"/>
    <x v="2"/>
    <n v="405.7757689692412"/>
  </r>
  <r>
    <s v="HSA 2700 G - 30 UNDS"/>
    <s v="MPII311"/>
    <x v="2"/>
    <n v="445.09430222452625"/>
  </r>
  <r>
    <s v="HSA 450 G - 5 UNDS"/>
    <s v="MPII311"/>
    <x v="2"/>
    <n v="158.80525104060257"/>
  </r>
  <r>
    <s v="HSA 900 G - 10 UNDS"/>
    <s v="MPII311"/>
    <x v="2"/>
    <n v="397.70000152469242"/>
  </r>
  <r>
    <s v="JMN PREM VIANDÉ 300 G - 15 V2."/>
    <s v="MPII311"/>
    <x v="2"/>
    <n v="12105.224999999999"/>
  </r>
  <r>
    <s v="JMN PREMIUM 200 G"/>
    <s v="MPII311"/>
    <x v="2"/>
    <n v="418.31337407516048"/>
  </r>
  <r>
    <s v="JMN PREMIUM 400 G"/>
    <s v="MPII311"/>
    <x v="2"/>
    <n v="596.63415768915957"/>
  </r>
  <r>
    <s v="JMN SDW  450 G 28 U "/>
    <s v="MPII311"/>
    <x v="2"/>
    <n v="606.87230755472763"/>
  </r>
  <r>
    <s v="JMN SDW  INST  500 G 28 U "/>
    <s v="MPII311"/>
    <x v="2"/>
    <n v="126.28073280766721"/>
  </r>
  <r>
    <s v="LOS PERRITOS"/>
    <s v="MPII311"/>
    <x v="2"/>
    <n v="1262.3623263767367"/>
  </r>
  <r>
    <s v="MDELA FAIZAN  225 G 14 U SC"/>
    <s v="MPII311"/>
    <x v="2"/>
    <n v="1797.828269855763"/>
  </r>
  <r>
    <s v="MDELA VIANDÉ X 225 G - 14 UND S"/>
    <s v="MPII311"/>
    <x v="2"/>
    <n v="17201.158911997733"/>
  </r>
  <r>
    <s v="MNESA APANADA 1800 G 15 UND"/>
    <s v="MPII311"/>
    <x v="2"/>
    <n v="4315.5422434367547"/>
  </r>
  <r>
    <s v="MNESA APANADA 600 G 5 UNDS"/>
    <s v="MPII311"/>
    <x v="2"/>
    <n v="569.45902943516307"/>
  </r>
  <r>
    <s v="SALCHICHA JUMBO"/>
    <s v="MPII311"/>
    <x v="2"/>
    <n v="81.860200000000006"/>
  </r>
  <r>
    <s v="SCHA CLÁSICA   225 G 9 UND"/>
    <s v="MPII311"/>
    <x v="2"/>
    <n v="1888.6293164986173"/>
  </r>
  <r>
    <s v="SCHA CLÁSICA   450 G 18 UND"/>
    <s v="MPII311"/>
    <x v="2"/>
    <n v="447.1486075171274"/>
  </r>
  <r>
    <s v="SCHA DESAYUNO 115 G - 5 UNDS"/>
    <s v="MPII311"/>
    <x v="2"/>
    <n v="243.77780464712131"/>
  </r>
  <r>
    <s v="SCHA DESAYUNO 480 G -14 UND"/>
    <s v="MPII311"/>
    <x v="2"/>
    <n v="556.62315199258933"/>
  </r>
  <r>
    <s v="SCHA MANGUERA 560 G - 6 UND"/>
    <s v="MPII311"/>
    <x v="2"/>
    <n v="3157.4130363014415"/>
  </r>
  <r>
    <s v="SCHA MINI PERRO X 1 KG"/>
    <s v="MPII311"/>
    <x v="2"/>
    <n v="2294.6359829726362"/>
  </r>
  <r>
    <s v="SCHA PERRO X 480 G"/>
    <s v="MPII311"/>
    <x v="2"/>
    <n v="131.20209812093006"/>
  </r>
  <r>
    <s v="SCHA SÚPER PERRO X 2.5 KG"/>
    <s v="MPII311"/>
    <x v="2"/>
    <n v="6783.7554576476605"/>
  </r>
  <r>
    <s v="SCHA VIANDÉ   225 G 8 UNDS"/>
    <s v="MPII311"/>
    <x v="2"/>
    <n v="34419.942719451225"/>
  </r>
  <r>
    <s v="SCHON AUTENTICO X 225 G"/>
    <s v="MPII311"/>
    <x v="2"/>
    <n v="1997.6897436740326"/>
  </r>
  <r>
    <s v="SCHON AUTENTICO X 750 G"/>
    <s v="MPII311"/>
    <x v="2"/>
    <n v="847.9598980325178"/>
  </r>
  <r>
    <s v="SCHON CERV PREM X 50 G"/>
    <s v="MPII311"/>
    <x v="2"/>
    <n v="320.33702956378346"/>
  </r>
  <r>
    <s v="SCHON CERV VIANDÉ X 225 G"/>
    <s v="MPII311"/>
    <x v="2"/>
    <n v="21405.968616548322"/>
  </r>
  <r>
    <s v="SCHON POLLO BRAKEL X 225"/>
    <s v="MPII311"/>
    <x v="2"/>
    <n v="27810.919630728433"/>
  </r>
  <r>
    <s v="SCHON POLLO BRAKEL X 500"/>
    <s v="MPII311"/>
    <x v="2"/>
    <n v="32452.325101902108"/>
  </r>
  <r>
    <s v="SCHON POLLO X 225 G"/>
    <s v="MPII311"/>
    <x v="2"/>
    <n v="1995.8640326897291"/>
  </r>
  <r>
    <s v="SCHON TRAD VIANDÉ X 500 "/>
    <s v="MPII311"/>
    <x v="2"/>
    <n v="36389.905446967183"/>
  </r>
  <r>
    <s v="GRANULOS"/>
    <s v="MPII311"/>
    <x v="2"/>
    <n v="4552.3716655955204"/>
  </r>
  <r>
    <s v="CERVECERO FAIZAN 1500 G"/>
    <s v="MPPS104"/>
    <x v="3"/>
    <n v="22.140012232050957"/>
  </r>
  <r>
    <s v="CERVECERO FAIZAN 500 G"/>
    <s v="MPPS104"/>
    <x v="3"/>
    <n v="8.1412752161741526"/>
  </r>
  <r>
    <s v="CERVECERO FAIZAN X 1300 G"/>
    <s v="MPPS104"/>
    <x v="3"/>
    <n v="8.2417172606172713"/>
  </r>
  <r>
    <s v="CERVECERO FAIZAN X 750 G"/>
    <s v="MPPS104"/>
    <x v="3"/>
    <n v="5.3597267180810597"/>
  </r>
  <r>
    <s v="CH CERDO X 250"/>
    <s v="MPPS104"/>
    <x v="3"/>
    <n v="0.31097516301560557"/>
  </r>
  <r>
    <s v="CH CERDO X 500"/>
    <s v="MPPS104"/>
    <x v="3"/>
    <n v="1.1257967616675217"/>
  </r>
  <r>
    <s v="HSA 2700 G - 30 UNDS"/>
    <s v="MPPS104"/>
    <x v="3"/>
    <n v="3.5403357372650084"/>
  </r>
  <r>
    <s v="HSA 450 G - 5 UNDS"/>
    <s v="MPPS104"/>
    <x v="3"/>
    <n v="1.2631568247772682"/>
  </r>
  <r>
    <s v="HSA 900 G - 10 UNDS"/>
    <s v="MPPS104"/>
    <x v="3"/>
    <n v="3.1633555430191964"/>
  </r>
  <r>
    <s v="LOS PERRITOS"/>
    <s v="MPPS104"/>
    <x v="3"/>
    <n v="13.36186638133619"/>
  </r>
  <r>
    <s v="MDELA FAIZAN  225 G 14 U SC"/>
    <s v="MPPS104"/>
    <x v="3"/>
    <n v="11.975644978437652"/>
  </r>
  <r>
    <s v="MDELA VIANDÉ X 225 G - 14 UND S"/>
    <s v="MPPS104"/>
    <x v="3"/>
    <n v="114.57989386511335"/>
  </r>
  <r>
    <s v="MNESA APANADA 1800 G 15 UND"/>
    <s v="MPPS104"/>
    <x v="3"/>
    <n v="42.084188544152752"/>
  </r>
  <r>
    <s v="MNESA APANADA 600 G 5 UNDS"/>
    <s v="MPPS104"/>
    <x v="3"/>
    <n v="5.5532352161230447"/>
  </r>
  <r>
    <s v="SALCHICHA JUMBO"/>
    <s v="MPPS104"/>
    <x v="3"/>
    <n v="0.33780000000000016"/>
  </r>
  <r>
    <s v="SCHA DESAYUNO 115 G - 5 UNDS"/>
    <s v="MPPS104"/>
    <x v="3"/>
    <n v="0.29367281610302537"/>
  </r>
  <r>
    <s v="SCHA DESAYUNO 480 G -14 UND"/>
    <s v="MPPS104"/>
    <x v="3"/>
    <n v="0.67054951450739575"/>
  </r>
  <r>
    <s v="SCHA MANGUERA 560 G - 6 UND"/>
    <s v="MPPS104"/>
    <x v="3"/>
    <n v="6.1641469255342685"/>
  </r>
  <r>
    <s v="SCHON AUTENTICO X 225 G"/>
    <s v="MPPS104"/>
    <x v="3"/>
    <n v="4.6765177748970785"/>
  </r>
  <r>
    <s v="SCHON AUTENTICO X 750 G"/>
    <s v="MPPS104"/>
    <x v="3"/>
    <n v="1.9850427465557652"/>
  </r>
  <r>
    <s v="SCHON CERV VIANDÉ X 225 G"/>
    <s v="MPPS104"/>
    <x v="3"/>
    <n v="40.851085146084571"/>
  </r>
  <r>
    <s v="SCHON POLLO BRAKEL X 225"/>
    <s v="MPPS104"/>
    <x v="3"/>
    <n v="118.25313789283847"/>
  </r>
  <r>
    <s v="SCHON POLLO BRAKEL X 500"/>
    <s v="MPPS104"/>
    <x v="3"/>
    <n v="137.98857880910492"/>
  </r>
  <r>
    <s v="SCHON POLLO X 225 G"/>
    <s v="MPPS104"/>
    <x v="3"/>
    <n v="8.4864933560930691"/>
  </r>
  <r>
    <s v="SCHON TRAD VIANDÉ X 500 "/>
    <s v="MPPS104"/>
    <x v="3"/>
    <n v="85.187422215315934"/>
  </r>
  <r>
    <s v="CERVECERO FAIZAN 1500 G"/>
    <s v="MPPA144"/>
    <x v="4"/>
    <n v="3874.5021406089177"/>
  </r>
  <r>
    <s v="CERVECERO FAIZAN 500 G"/>
    <s v="MPPA144"/>
    <x v="4"/>
    <n v="1424.7231628304767"/>
  </r>
  <r>
    <s v="CERVECERO FAIZAN X 1300 G"/>
    <s v="MPPA144"/>
    <x v="4"/>
    <n v="1442.3005206080225"/>
  </r>
  <r>
    <s v="CERVECERO FAIZAN X 750 G"/>
    <s v="MPPA144"/>
    <x v="4"/>
    <n v="937.95217566418546"/>
  </r>
  <r>
    <s v="CH CERDO X 250"/>
    <s v="MPPA144"/>
    <x v="4"/>
    <n v="8.2636756605545525"/>
  </r>
  <r>
    <s v="CH CERDO X 500"/>
    <s v="MPPA144"/>
    <x v="4"/>
    <n v="29.916277582773308"/>
  </r>
  <r>
    <s v="CH TERNERA X 1020 G"/>
    <s v="MPPA144"/>
    <x v="4"/>
    <n v="194.88944353428849"/>
  </r>
  <r>
    <s v="CH TERNERA X 120 G"/>
    <s v="MPPA144"/>
    <x v="4"/>
    <n v="26.388415485601829"/>
  </r>
  <r>
    <s v="CH TERNERA X 480 G"/>
    <s v="MPPA144"/>
    <x v="4"/>
    <n v="91.452352417288836"/>
  </r>
  <r>
    <s v="HSA 2700 G - 30 UNDS"/>
    <s v="MPPA144"/>
    <x v="4"/>
    <n v="110.3267415798863"/>
  </r>
  <r>
    <s v="HSA 450 G - 5 UNDS"/>
    <s v="MPPA144"/>
    <x v="4"/>
    <n v="39.363491748873003"/>
  </r>
  <r>
    <s v="HSA 900 G - 10 UNDS"/>
    <s v="MPPA144"/>
    <x v="4"/>
    <n v="98.578986689435411"/>
  </r>
  <r>
    <s v="JMN PREM VIANDÉ 300 G - 15 V2."/>
    <s v="MPPA144"/>
    <x v="4"/>
    <n v="1005"/>
  </r>
  <r>
    <s v="JMN PREMIUM 200 G"/>
    <s v="MPPA144"/>
    <x v="4"/>
    <n v="56.892451255888673"/>
  </r>
  <r>
    <s v="JMN PREMIUM 400 G"/>
    <s v="MPPA144"/>
    <x v="4"/>
    <n v="81.144858944504662"/>
  </r>
  <r>
    <s v="JMN SDW  450 G 28 U "/>
    <s v="MPPA144"/>
    <x v="4"/>
    <n v="93.984649400068463"/>
  </r>
  <r>
    <s v="JMN SDW  INST  500 G 28 U "/>
    <s v="MPPA144"/>
    <x v="4"/>
    <n v="19.55675065605466"/>
  </r>
  <r>
    <s v="MDELA FAIZAN  225 G 14 U SC"/>
    <s v="MPPA144"/>
    <x v="4"/>
    <n v="460.93887141233984"/>
  </r>
  <r>
    <s v="MDELA VIANDÉ X 225 G - 14 UND S"/>
    <s v="MPPA144"/>
    <x v="4"/>
    <n v="4410.1446777876354"/>
  </r>
  <r>
    <s v="MNESA APANADA 1800 G 15 UND"/>
    <s v="MPPA144"/>
    <x v="4"/>
    <n v="573.8752983293557"/>
  </r>
  <r>
    <s v="MNESA APANADA 600 G 5 UNDS"/>
    <s v="MPPA144"/>
    <x v="4"/>
    <n v="75.72593476531425"/>
  </r>
  <r>
    <s v="SALCHICHA JUMBO"/>
    <s v="MPPA144"/>
    <x v="4"/>
    <n v="23.646000000000001"/>
  </r>
  <r>
    <s v="SCHA CLÁSICA   225 G 9 UND"/>
    <s v="MPPA144"/>
    <x v="4"/>
    <n v="424.41108235923974"/>
  </r>
  <r>
    <s v="SCHA CLÁSICA   450 G 18 UND"/>
    <s v="MPPA144"/>
    <x v="4"/>
    <n v="100.48283314991626"/>
  </r>
  <r>
    <s v="SCHA MANGUERA 560 G - 6 UND"/>
    <s v="MPPA144"/>
    <x v="4"/>
    <n v="856.13151743531489"/>
  </r>
  <r>
    <s v="SCHA MINI PERRO X 1 KG"/>
    <s v="MPPA144"/>
    <x v="4"/>
    <n v="488.22042190907143"/>
  </r>
  <r>
    <s v="SCHA PERRO X 480 G"/>
    <s v="MPPA144"/>
    <x v="4"/>
    <n v="27.915340025729794"/>
  </r>
  <r>
    <s v="SCHA SÚPER PERRO X 2.5 KG"/>
    <s v="MPPA144"/>
    <x v="4"/>
    <n v="1443.3522250314168"/>
  </r>
  <r>
    <s v="SCHA VIANDÉ   225 G 8 UNDS"/>
    <s v="MPPA144"/>
    <x v="4"/>
    <n v="4620.7711315998758"/>
  </r>
  <r>
    <s v="SCHON CERV VIANDÉ X 225 G"/>
    <s v="MPPA144"/>
    <x v="4"/>
    <n v="6127.6627719126873"/>
  </r>
  <r>
    <s v="SCHON AUTENTICO X 225 G"/>
    <m/>
    <x v="5"/>
    <n v="510.5618546912699"/>
  </r>
  <r>
    <s v="SCHON AUTENTICO X 750 G"/>
    <m/>
    <x v="5"/>
    <n v="216.71832656410012"/>
  </r>
  <r>
    <s v="SCHON POLLO BRAKEL X 225"/>
    <m/>
    <x v="5"/>
    <n v="7115.2527170120666"/>
  </r>
  <r>
    <s v="SCHON POLLO BRAKEL X 500"/>
    <m/>
    <x v="5"/>
    <n v="8302.7277566016946"/>
  </r>
  <r>
    <s v="SCHON POLLO X 225 G"/>
    <m/>
    <x v="5"/>
    <n v="510.62953580619495"/>
  </r>
  <r>
    <s v="SCHON TRAD VIANDÉ X 500 "/>
    <m/>
    <x v="5"/>
    <n v="9300.3919531936754"/>
  </r>
  <r>
    <s v="APANADO"/>
    <m/>
    <x v="6"/>
    <n v="247.07999999999996"/>
  </r>
  <r>
    <s v="SCHON AUTENTICO X 225 G"/>
    <s v="MPPC120"/>
    <x v="7"/>
    <n v="29.243105167032269"/>
  </r>
  <r>
    <s v="SCHON AUTENTICO X 750 G"/>
    <s v="MPPC120"/>
    <x v="7"/>
    <n v="12.412828645746432"/>
  </r>
  <r>
    <s v="SCHON TRAD VIANDÉ X 500 "/>
    <s v="MPPC120"/>
    <x v="7"/>
    <n v="532.69224381504466"/>
  </r>
  <r>
    <s v="JMN SDW  450 G 28 U "/>
    <s v="MPPS090"/>
    <x v="8"/>
    <n v="12.083740637151662"/>
  </r>
  <r>
    <s v="JMN SDW  INST  500 G 28 U "/>
    <s v="MPPS090"/>
    <x v="8"/>
    <n v="2.5144393700641707"/>
  </r>
  <r>
    <s v="BATIDO COMPLETO"/>
    <n v="1230011"/>
    <x v="9"/>
    <n v="824"/>
  </r>
  <r>
    <s v="CH CERDO X 250"/>
    <s v="MPCC010"/>
    <x v="10"/>
    <n v="278.35539067131128"/>
  </r>
  <r>
    <s v="CH CERDO X 500"/>
    <s v="MPCC010"/>
    <x v="10"/>
    <n v="1007.7061922618377"/>
  </r>
  <r>
    <s v="CH TERNERA X 1020 G"/>
    <s v="MPCC010"/>
    <x v="10"/>
    <n v="2938.9328084970703"/>
  </r>
  <r>
    <s v="CH TERNERA X 1020 G"/>
    <s v="MPCC010"/>
    <x v="10"/>
    <n v="272.84522094800394"/>
  </r>
  <r>
    <s v="CH TERNERA X 120 G"/>
    <s v="MPCC010"/>
    <x v="10"/>
    <n v="397.93730552287542"/>
  </r>
  <r>
    <s v="CH TERNERA X 120 G"/>
    <s v="MPCC010"/>
    <x v="10"/>
    <n v="36.943781679842559"/>
  </r>
  <r>
    <s v="CH TERNERA X 480 G"/>
    <s v="MPCC010"/>
    <x v="10"/>
    <n v="1379.1014744527151"/>
  </r>
  <r>
    <s v="CH TERNERA X 480 G"/>
    <s v="MPCC010"/>
    <x v="10"/>
    <n v="128.03329338420437"/>
  </r>
  <r>
    <s v="JMN PREM VIANDÉ 300 G - 15 V2."/>
    <s v="MPCC010"/>
    <x v="10"/>
    <n v="17311.125"/>
  </r>
  <r>
    <s v="JMN PREMIUM 200 G"/>
    <s v="MPCC010"/>
    <x v="10"/>
    <n v="440.23219482943142"/>
  </r>
  <r>
    <s v="JMN PREMIUM 400 G"/>
    <s v="MPCC010"/>
    <x v="10"/>
    <n v="627.89664645652658"/>
  </r>
  <r>
    <s v="JMN SDW  450 G 28 U "/>
    <s v="MPCC010"/>
    <x v="10"/>
    <n v="484.69226333463877"/>
  </r>
  <r>
    <s v="JMN SDW  INST  500 G 28 U "/>
    <s v="MPCC010"/>
    <x v="10"/>
    <n v="100.85695695479617"/>
  </r>
  <r>
    <s v="SALCHICHA JUMBO"/>
    <s v="1223"/>
    <x v="10"/>
    <n v="123.86"/>
  </r>
  <r>
    <s v="SCHA DESAYUNO 115 G - 5 UNDS"/>
    <s v="1223"/>
    <x v="10"/>
    <n v="925.06937072452956"/>
  </r>
  <r>
    <s v="SCHA DESAYUNO 480 G -14 UND"/>
    <s v="1223"/>
    <x v="10"/>
    <n v="2112.2309706982965"/>
  </r>
  <r>
    <s v="SCHON CERV PREM X 50 G"/>
    <s v="MPCC010"/>
    <x v="10"/>
    <n v="713.08950000000004"/>
  </r>
  <r>
    <s v="MNESA APANADA 600 G 5 UNDS"/>
    <s v="MPCP058"/>
    <x v="11"/>
    <n v="82.420107398568035"/>
  </r>
  <r>
    <s v="JMN PREM VIANDÉ 300 G - 15 V2."/>
    <s v="MPPD168"/>
    <x v="12"/>
    <n v="351.74999999999989"/>
  </r>
  <r>
    <s v="JMN PREMIUM 200 G"/>
    <s v="MPPD168"/>
    <x v="12"/>
    <n v="14.832674791713833"/>
  </r>
  <r>
    <s v="JMN PREMIUM 400 G"/>
    <s v="MPPD168"/>
    <x v="12"/>
    <n v="21.155623939103002"/>
  </r>
  <r>
    <s v="JMN SDW  450 G 28 U "/>
    <s v="MPPD168"/>
    <x v="12"/>
    <n v="13.426378485724069"/>
  </r>
  <r>
    <s v="JMN SDW  INST  500 G 28 U "/>
    <s v="MPPD168"/>
    <x v="12"/>
    <n v="2.793821522293523"/>
  </r>
  <r>
    <s v="MDELA FAIZAN  225 G 14 U SC"/>
    <s v="MPPD168"/>
    <x v="12"/>
    <n v="27.655097682165298"/>
  </r>
  <r>
    <s v="MDELA VIANDÉ X 225 G - 14 UND S"/>
    <s v="MPPD168"/>
    <x v="12"/>
    <n v="264.5968683070659"/>
  </r>
  <r>
    <s v="MNESA APANADA 1800 G 15 UND"/>
    <s v="MPPD168"/>
    <x v="12"/>
    <n v="55.85719570405729"/>
  </r>
  <r>
    <s v="MNESA APANADA 600 G 5 UNDS"/>
    <s v="MPPD168"/>
    <x v="12"/>
    <n v="7.3706576504905863"/>
  </r>
  <r>
    <s v="CERVECERO FAIZAN 1500 G"/>
    <s v="MPPS153"/>
    <x v="13"/>
    <n v="22.140012232050957"/>
  </r>
  <r>
    <s v="CERVECERO FAIZAN 500 G"/>
    <s v="MPPS153"/>
    <x v="13"/>
    <n v="8.1412752161741526"/>
  </r>
  <r>
    <s v="CERVECERO FAIZAN X 1300 G"/>
    <s v="MPPS153"/>
    <x v="13"/>
    <n v="8.2417172606172713"/>
  </r>
  <r>
    <s v="CERVECERO FAIZAN X 750 G"/>
    <s v="MPPS153"/>
    <x v="13"/>
    <n v="5.3597267180810597"/>
  </r>
  <r>
    <s v="HSA 2700 G - 30 UNDS"/>
    <s v="MPPS153"/>
    <x v="13"/>
    <n v="3.5403357372650084"/>
  </r>
  <r>
    <s v="HSA 450 G - 5 UNDS"/>
    <s v="MPPS153"/>
    <x v="13"/>
    <n v="1.2631568247772682"/>
  </r>
  <r>
    <s v="HSA 900 G - 10 UNDS"/>
    <s v="MPPS153"/>
    <x v="13"/>
    <n v="3.1633555430191964"/>
  </r>
  <r>
    <s v="LOS PERRITOS"/>
    <s v="MPPS153"/>
    <x v="13"/>
    <n v="13.36186638133619"/>
  </r>
  <r>
    <s v="MNESA APANADA 1800 G 15 UND"/>
    <s v="MPPS153"/>
    <x v="13"/>
    <n v="50.501026252983301"/>
  </r>
  <r>
    <s v="MNESA APANADA 600 G 5 UNDS"/>
    <s v="MPPS153"/>
    <x v="13"/>
    <n v="6.6638822593476545"/>
  </r>
  <r>
    <s v="SALCHICHA JUMBO"/>
    <s v="MPPS153"/>
    <x v="13"/>
    <n v="0.33780000000000016"/>
  </r>
  <r>
    <s v="SCHA DESAYUNO 115 G - 5 UNDS"/>
    <s v="MPPS153"/>
    <x v="13"/>
    <n v="0.29367281610302537"/>
  </r>
  <r>
    <s v="SCHA DESAYUNO 480 G -14 UND"/>
    <s v="MPPS153"/>
    <x v="13"/>
    <n v="0.67054951450739575"/>
  </r>
  <r>
    <s v="SCHON AUTENTICO X 225 G"/>
    <s v="MPPS153"/>
    <x v="13"/>
    <n v="3.5091726200438722"/>
  </r>
  <r>
    <s v="SCHON AUTENTICO X 750 G"/>
    <s v="MPPS153"/>
    <x v="13"/>
    <n v="1.4895394374895723"/>
  </r>
  <r>
    <s v="SCHON CERV VIANDÉ X 225 G"/>
    <s v="MPPS153"/>
    <x v="13"/>
    <n v="40.851085146084571"/>
  </r>
  <r>
    <s v="SCHON POLLO BRAKEL X 225"/>
    <s v="MPPS153"/>
    <x v="13"/>
    <n v="89.70927702215333"/>
  </r>
  <r>
    <s v="SCHON POLLO BRAKEL X 500"/>
    <s v="MPPS153"/>
    <x v="13"/>
    <n v="104.68099082070027"/>
  </r>
  <r>
    <s v="SCHON POLLO X 225 G"/>
    <s v="MPPS153"/>
    <x v="13"/>
    <n v="6.438029442553364"/>
  </r>
  <r>
    <s v="SCHON TRAD VIANDÉ X 500 "/>
    <s v="MPPS153"/>
    <x v="13"/>
    <n v="63.923069257805366"/>
  </r>
  <r>
    <s v="CHORIZO SANTARROSANO"/>
    <s v="MPLO211"/>
    <x v="14"/>
    <n v="0.21599136034558616"/>
  </r>
  <r>
    <s v="HSA 2700 G - 30 UNDS"/>
    <s v="MPLO211"/>
    <x v="14"/>
    <n v="15.643343955357011"/>
  </r>
  <r>
    <s v="HSA 450 G - 5 UNDS"/>
    <s v="MPLO211"/>
    <x v="14"/>
    <n v="5.5813906211088593"/>
  </r>
  <r>
    <s v="HSA 900 G - 10 UNDS"/>
    <s v="MPLO211"/>
    <x v="14"/>
    <n v="13.977617515666218"/>
  </r>
  <r>
    <s v="LOS PERRITOS"/>
    <s v="MPLO211"/>
    <x v="14"/>
    <n v="33.404665953340476"/>
  </r>
  <r>
    <s v="CH TERNERA X 1020 G"/>
    <s v="MPPO134"/>
    <x v="15"/>
    <n v="12.083145499125887"/>
  </r>
  <r>
    <s v="CH TERNERA X 120 G"/>
    <s v="MPPO134"/>
    <x v="15"/>
    <n v="1.6360817601073132"/>
  </r>
  <r>
    <s v="CH TERNERA X 480 G"/>
    <s v="MPPO134"/>
    <x v="15"/>
    <n v="5.670045849871908"/>
  </r>
  <r>
    <s v="CH TERNERA X 1020 G"/>
    <s v="MPPO142"/>
    <x v="16"/>
    <n v="4.6773466448229239"/>
  </r>
  <r>
    <s v="CH TERNERA X 120 G"/>
    <s v="MPPO142"/>
    <x v="16"/>
    <n v="0.63332197165444382"/>
  </r>
  <r>
    <s v="CH TERNERA X 480 G"/>
    <s v="MPPO142"/>
    <x v="16"/>
    <n v="2.1948564580149319"/>
  </r>
  <r>
    <s v="CHORIZO SANTARROSANO"/>
    <s v="MPPO142"/>
    <x v="16"/>
    <n v="0.57597696092156314"/>
  </r>
  <r>
    <s v="HSA 2700 G - 30 UNDS"/>
    <s v="MPPO142"/>
    <x v="16"/>
    <n v="1.7701678686325042"/>
  </r>
  <r>
    <s v="HSA 450 G - 5 UNDS"/>
    <s v="MPPO142"/>
    <x v="16"/>
    <n v="0.6315784123886341"/>
  </r>
  <r>
    <s v="HSA 900 G - 10 UNDS"/>
    <s v="MPPO142"/>
    <x v="16"/>
    <n v="1.5816777715095982"/>
  </r>
  <r>
    <s v="JMN SDW  450 G 28 U "/>
    <s v="MPPO142"/>
    <x v="16"/>
    <n v="0.43635730078603208"/>
  </r>
  <r>
    <s v="JMN SDW  INST  500 G 28 U "/>
    <s v="MPPO142"/>
    <x v="16"/>
    <n v="9.0799199474539488E-2"/>
  </r>
  <r>
    <s v="LOS PERRITOS"/>
    <s v="MPPO142"/>
    <x v="16"/>
    <n v="3.6745132548674526"/>
  </r>
  <r>
    <s v="SCHON CERV PREM X 50 G"/>
    <s v="MPPO142"/>
    <x v="16"/>
    <n v="0.77500894249302432"/>
  </r>
  <r>
    <s v="GRANULOS"/>
    <s v="MPPO142"/>
    <x v="17"/>
    <n v="104.54756997540058"/>
  </r>
  <r>
    <s v="SALCHICHA JUMBO"/>
    <s v="MPLO215"/>
    <x v="18"/>
    <n v="2.8150000000000005E-2"/>
  </r>
  <r>
    <s v="SCHA CLÁSICA   225 G 9 UND"/>
    <s v="MPLO215"/>
    <x v="18"/>
    <n v="1.1459099223699476"/>
  </r>
  <r>
    <s v="SCHA CLÁSICA   450 G 18 UND"/>
    <s v="MPLO215"/>
    <x v="18"/>
    <n v="0.27130364950477392"/>
  </r>
  <r>
    <s v="SCHA DESAYUNO 115 G - 5 UNDS"/>
    <s v="MPLO215"/>
    <x v="18"/>
    <n v="0.28192590345890428"/>
  </r>
  <r>
    <s v="SCHA DESAYUNO 480 G -14 UND"/>
    <s v="MPLO215"/>
    <x v="18"/>
    <n v="0.64372753392709992"/>
  </r>
  <r>
    <s v="SCHA MINI PERRO X 1 KG"/>
    <s v="MPLO215"/>
    <x v="18"/>
    <n v="0.78115267505451402"/>
  </r>
  <r>
    <s v="SCHA PERRO X 480 G"/>
    <s v="MPLO215"/>
    <x v="18"/>
    <n v="4.4664544041167653E-2"/>
  </r>
  <r>
    <s v="SCHA SÚPER PERRO X 2.5 KG"/>
    <s v="MPLO215"/>
    <x v="18"/>
    <n v="2.3093635600502664"/>
  </r>
  <r>
    <s v="SCHA VIANDÉ   225 G 8 UNDS"/>
    <s v="MPLO215"/>
    <x v="18"/>
    <n v="9.2399606467324311"/>
  </r>
  <r>
    <s v="CH CERDO X 250"/>
    <s v="MPPO135"/>
    <x v="19"/>
    <n v="0.98076782181844879"/>
  </r>
  <r>
    <s v="CH CERDO X 500"/>
    <s v="MPPO135"/>
    <x v="19"/>
    <n v="3.5505897867975693"/>
  </r>
  <r>
    <s v="CH TERNERA X 1020 G"/>
    <s v="MPPO135"/>
    <x v="19"/>
    <n v="9.198781734818418"/>
  </r>
  <r>
    <s v="CH TERNERA X 120 G"/>
    <s v="MPPO135"/>
    <x v="19"/>
    <n v="1.2455332109204065"/>
  </r>
  <r>
    <s v="CH TERNERA X 480 G"/>
    <s v="MPPO135"/>
    <x v="19"/>
    <n v="4.316551034096034"/>
  </r>
  <r>
    <s v="JMN PREM VIANDÉ 300 G - 15 V2."/>
    <s v="MPLO214"/>
    <x v="20"/>
    <n v="10.050000000000002"/>
  </r>
  <r>
    <s v="JMN PREMIUM 200 G"/>
    <s v="MPLO214"/>
    <x v="20"/>
    <n v="0.3250997214622211"/>
  </r>
  <r>
    <s v="JMN PREMIUM 400 G"/>
    <s v="MPLO214"/>
    <x v="20"/>
    <n v="0.46368490825431247"/>
  </r>
  <r>
    <s v="MDELA FAIZAN  225 G 14 U SC"/>
    <s v="MPLO214"/>
    <x v="20"/>
    <n v="7.3458853218251559"/>
  </r>
  <r>
    <s v="MDELA VIANDÉ X 225 G - 14 UND S"/>
    <s v="MPLO214"/>
    <x v="20"/>
    <n v="70.283543144064353"/>
  </r>
  <r>
    <s v="SALCHICHA JUMBO"/>
    <s v="MPLO214"/>
    <x v="20"/>
    <n v="2.8150000000000005E-2"/>
  </r>
  <r>
    <s v="SCHA CLÁSICA   225 G 9 UND"/>
    <s v="MPLO214"/>
    <x v="20"/>
    <n v="4.4987574730079407"/>
  </r>
  <r>
    <s v="SCHA CLÁSICA   450 G 18 UND"/>
    <s v="MPLO214"/>
    <x v="20"/>
    <n v="1.065118031389112"/>
  </r>
  <r>
    <s v="SCHA DESAYUNO 115 G - 5 UNDS"/>
    <s v="MPLO214"/>
    <x v="20"/>
    <n v="0.24081170920448089"/>
  </r>
  <r>
    <s v="SCHA DESAYUNO 480 G -14 UND"/>
    <s v="MPLO214"/>
    <x v="20"/>
    <n v="0.54985060189606483"/>
  </r>
  <r>
    <s v="SCHA MANGUERA 560 G - 6 UND"/>
    <s v="MPLO214"/>
    <x v="20"/>
    <n v="5.4792417115860159"/>
  </r>
  <r>
    <s v="SCHA MINI PERRO X 1 KG"/>
    <s v="MPLO214"/>
    <x v="20"/>
    <n v="3.905763375272572"/>
  </r>
  <r>
    <s v="SCHA PERRO X 480 G"/>
    <s v="MPLO214"/>
    <x v="20"/>
    <n v="0.22332272020583835"/>
  </r>
  <r>
    <s v="SCHA SÚPER PERRO X 2.5 KG"/>
    <s v="MPLO214"/>
    <x v="20"/>
    <n v="11.546817800251336"/>
  </r>
  <r>
    <s v="SCHA VIANDÉ   225 G 8 UNDS"/>
    <s v="MPLO214"/>
    <x v="20"/>
    <n v="46.199803233662159"/>
  </r>
  <r>
    <s v="SCHON AUTENTICO X 225 G"/>
    <s v="MPLO214"/>
    <x v="20"/>
    <n v="4.09403472338452"/>
  </r>
  <r>
    <s v="SCHON AUTENTICO X 750 G"/>
    <s v="MPLO214"/>
    <x v="20"/>
    <n v="1.737796010404502"/>
  </r>
  <r>
    <s v="SCHON CERV PREM X 50 G"/>
    <s v="MPLO214"/>
    <x v="20"/>
    <n v="0.33067048213035705"/>
  </r>
  <r>
    <s v="SCHON TRAD VIANDÉ X 500 "/>
    <s v="MPLO214"/>
    <x v="20"/>
    <n v="74.576914134106303"/>
  </r>
  <r>
    <s v="CH CERDO X 250"/>
    <s v="MPPS157"/>
    <x v="21"/>
    <n v="0.26095817875435429"/>
  </r>
  <r>
    <s v="CH CERDO X 500"/>
    <s v="MPPS157"/>
    <x v="21"/>
    <n v="0.94472455524547272"/>
  </r>
  <r>
    <s v="HSA 2700 G - 30 UNDS"/>
    <s v="MPPS157"/>
    <x v="21"/>
    <n v="5.9691707198072823"/>
  </r>
  <r>
    <s v="HSA 450 G - 5 UNDS"/>
    <s v="MPPS157"/>
    <x v="21"/>
    <n v="2.1297411580546961"/>
  </r>
  <r>
    <s v="HSA 900 G - 10 UNDS"/>
    <s v="MPPS157"/>
    <x v="21"/>
    <n v="5.3335645783463193"/>
  </r>
  <r>
    <s v="LOS PERRITOS"/>
    <s v="MPPS157"/>
    <x v="21"/>
    <n v="6.6809331906680951"/>
  </r>
  <r>
    <s v="MNESA APANADA 1800 G 15 UND"/>
    <s v="MPPS157"/>
    <x v="21"/>
    <n v="11.78357279236277"/>
  </r>
  <r>
    <s v="MNESA APANADA 600 G 5 UNDS"/>
    <s v="MPPS157"/>
    <x v="21"/>
    <n v="1.5549058605144526"/>
  </r>
  <r>
    <s v="MNESA APANADA 1800 G 15 UND"/>
    <s v="MPPC109"/>
    <x v="22"/>
    <n v="66.569534606205252"/>
  </r>
  <r>
    <s v="MNESA APANADA 600 G 5 UNDS"/>
    <s v="MPPC109"/>
    <x v="22"/>
    <n v="8.7842084327764525"/>
  </r>
  <r>
    <s v="SCHON POLLO BRAKEL X 225"/>
    <s v="MPPC109"/>
    <x v="22"/>
    <n v="265.05013665636204"/>
  </r>
  <r>
    <s v="SCHON POLLO BRAKEL X 500"/>
    <s v="MPPC109"/>
    <x v="22"/>
    <n v="309.28474560661448"/>
  </r>
  <r>
    <s v="SCHON POLLO X 225 G"/>
    <s v="MPPC109"/>
    <x v="22"/>
    <n v="19.021450625725844"/>
  </r>
  <r>
    <s v="JMN PREM VIANDÉ 300 G - 15 V2."/>
    <s v="MPPC115"/>
    <x v="23"/>
    <n v="125.62499999999994"/>
  </r>
  <r>
    <s v="JMN PREMIUM 200 G"/>
    <s v="MPPC115"/>
    <x v="23"/>
    <n v="5.2828704737610916"/>
  </r>
  <r>
    <s v="JMN PREMIUM 400 G"/>
    <s v="MPPC115"/>
    <x v="23"/>
    <n v="7.5348797591325756"/>
  </r>
  <r>
    <s v="SCHA DESAYUNO 115 G - 5 UNDS"/>
    <s v="MPPC115"/>
    <x v="23"/>
    <n v="8.5165116669877357"/>
  </r>
  <r>
    <s v="SCHA DESAYUNO 480 G -14 UND"/>
    <s v="MPPC115"/>
    <x v="23"/>
    <n v="19.445935920714479"/>
  </r>
  <r>
    <s v="CHORIZO SANTARROSANO"/>
    <s v="MPPN323"/>
    <x v="24"/>
    <n v="7.1997120115195399"/>
  </r>
  <r>
    <s v="JMN PREM VIANDÉ 300 G - 15 V2."/>
    <s v="MPPN323"/>
    <x v="24"/>
    <n v="251.24999999999989"/>
  </r>
  <r>
    <s v="JMN PREMIUM 200 G"/>
    <s v="MPPN323"/>
    <x v="24"/>
    <n v="10.159366295694406"/>
  </r>
  <r>
    <s v="JMN PREMIUM 400 G"/>
    <s v="MPPN323"/>
    <x v="24"/>
    <n v="14.490153382947259"/>
  </r>
  <r>
    <s v="JMN SDW  450 G 28 U "/>
    <s v="MPPN323"/>
    <x v="24"/>
    <n v="6.4446616731475519"/>
  </r>
  <r>
    <s v="JMN SDW  INST  500 G 28 U "/>
    <s v="MPPN323"/>
    <x v="24"/>
    <n v="1.341034330700891"/>
  </r>
  <r>
    <s v="MDELA FAIZAN  225 G 14 U SC"/>
    <s v="MPPN323"/>
    <x v="24"/>
    <n v="27.655097682165298"/>
  </r>
  <r>
    <s v="MDELA VIANDÉ X 225 G - 14 UND S"/>
    <s v="MPPN323"/>
    <x v="24"/>
    <n v="264.5968683070659"/>
  </r>
  <r>
    <s v="MNESA APANADA 1800 G 15 UND"/>
    <s v="MPPN323"/>
    <x v="24"/>
    <n v="33.66735083532221"/>
  </r>
  <r>
    <s v="MNESA APANADA 600 G 5 UNDS"/>
    <s v="MPPN323"/>
    <x v="24"/>
    <n v="4.4425881728984367"/>
  </r>
  <r>
    <s v="SALCHICHA JUMBO"/>
    <s v="MPPN323"/>
    <x v="24"/>
    <n v="1.6890000000000001"/>
  </r>
  <r>
    <s v="SCHA CLÁSICA   225 G 9 UND"/>
    <s v="MPPN323"/>
    <x v="24"/>
    <n v="42.441108235923977"/>
  </r>
  <r>
    <s v="SCHA CLÁSICA   450 G 18 UND"/>
    <s v="MPPN323"/>
    <x v="24"/>
    <n v="10.048283314991624"/>
  </r>
  <r>
    <s v="SCHA DESAYUNO 115 G - 5 UNDS"/>
    <s v="MPPN323"/>
    <x v="24"/>
    <n v="4.4931940863762883"/>
  </r>
  <r>
    <s v="SCHA DESAYUNO 480 G -14 UND"/>
    <s v="MPPN323"/>
    <x v="24"/>
    <n v="10.259407571963155"/>
  </r>
  <r>
    <s v="SCHA MINI PERRO X 1 KG"/>
    <s v="MPPN323"/>
    <x v="24"/>
    <n v="48.822042190907148"/>
  </r>
  <r>
    <s v="SCHA PERRO X 480 G"/>
    <s v="MPPN323"/>
    <x v="24"/>
    <n v="2.79153400257298"/>
  </r>
  <r>
    <s v="SCHA SÚPER PERRO X 2.5 KG"/>
    <s v="MPPN323"/>
    <x v="24"/>
    <n v="144.33522250314172"/>
  </r>
  <r>
    <s v="SCHA VIANDÉ   225 G 8 UNDS"/>
    <s v="MPPN323"/>
    <x v="24"/>
    <n v="462.07711315998779"/>
  </r>
  <r>
    <s v="SCHON CERV PREM X 50 G"/>
    <s v="MPPN323"/>
    <x v="24"/>
    <n v="3.823377449632253"/>
  </r>
  <r>
    <s v="JMN PREM VIANDÉ 300 G - 15 V2."/>
    <s v="MPPS152"/>
    <x v="25"/>
    <n v="251.24999999999989"/>
  </r>
  <r>
    <s v="JMN PREMIUM 200 G"/>
    <s v="MPPS152"/>
    <x v="25"/>
    <n v="6.0956197774166441"/>
  </r>
  <r>
    <s v="JMN PREMIUM 400 G"/>
    <s v="MPPS152"/>
    <x v="25"/>
    <n v="8.6940920297683562"/>
  </r>
  <r>
    <s v="SALCHICHA JUMBO"/>
    <s v="MPPS152"/>
    <x v="25"/>
    <n v="9.0080000000000027"/>
  </r>
  <r>
    <s v="SCHA DESAYUNO 115 G - 5 UNDS"/>
    <s v="MPPS152"/>
    <x v="25"/>
    <n v="9.1038572991937894"/>
  </r>
  <r>
    <s v="SCHA DESAYUNO 480 G -14 UND"/>
    <s v="MPPS152"/>
    <x v="25"/>
    <n v="20.787034949729275"/>
  </r>
  <r>
    <s v="SCHA MINI PERRO X 1 KG"/>
    <s v="MPPS152"/>
    <x v="25"/>
    <n v="29.293225314544287"/>
  </r>
  <r>
    <s v="SCHA PERRO X 480 G"/>
    <s v="MPPS152"/>
    <x v="25"/>
    <n v="1.6749204015437877"/>
  </r>
  <r>
    <s v="SCHA SÚPER PERRO X 2.5 KG"/>
    <s v="MPPS152"/>
    <x v="25"/>
    <n v="86.60113350188503"/>
  </r>
  <r>
    <s v="CERVECERO FAIZAN 1500 G"/>
    <s v="MPCC012"/>
    <x v="26"/>
    <n v="3321.0018348076437"/>
  </r>
  <r>
    <s v="CERVECERO FAIZAN 500 G"/>
    <s v="MPCC012"/>
    <x v="26"/>
    <n v="1221.1912824261231"/>
  </r>
  <r>
    <s v="CERVECERO FAIZAN X 1300 G"/>
    <s v="MPCC012"/>
    <x v="26"/>
    <n v="1236.2575890925907"/>
  </r>
  <r>
    <s v="CERVECERO FAIZAN X 750 G"/>
    <s v="MPCC012"/>
    <x v="26"/>
    <n v="803.95900771215906"/>
  </r>
  <r>
    <s v="MDELA FAIZAN  225 G 14 U SC"/>
    <s v="MPCC012"/>
    <x v="26"/>
    <n v="932.91528738245574"/>
  </r>
  <r>
    <s v="MDELA VIANDÉ X 225 G - 14 UND S"/>
    <s v="MPCC012"/>
    <x v="26"/>
    <n v="8925.8937456718813"/>
  </r>
  <r>
    <s v="SCHA VIANDÉ   225 G 8 UNDS"/>
    <s v="MPCC012"/>
    <x v="26"/>
    <n v="7540.3277857636058"/>
  </r>
  <r>
    <s v="SCHON AUTENTICO X 225 G"/>
    <s v="MPCC012"/>
    <x v="26"/>
    <n v="877.77817674442213"/>
  </r>
  <r>
    <s v="SCHON AUTENTICO X 750 G"/>
    <s v="MPCC012"/>
    <x v="26"/>
    <n v="372.59073667688716"/>
  </r>
  <r>
    <s v="SCHON CERV VIANDÉ X 225 G"/>
    <s v="MPCC012"/>
    <x v="26"/>
    <n v="3554.044407709358"/>
  </r>
  <r>
    <s v="SCHON POLLO BRAKEL X 225"/>
    <s v="MPCC012"/>
    <x v="26"/>
    <n v="12232.824484687137"/>
  </r>
  <r>
    <s v="SCHON POLLO BRAKEL X 500"/>
    <s v="MPCC012"/>
    <x v="26"/>
    <n v="14274.378638416034"/>
  </r>
  <r>
    <s v="SCHON POLLO X 225 G"/>
    <s v="MPCC012"/>
    <x v="26"/>
    <n v="877.89453679974679"/>
  </r>
  <r>
    <s v="SCHON TRAD VIANDÉ X 500 "/>
    <s v="MPCC012"/>
    <x v="26"/>
    <n v="15989.60246769573"/>
  </r>
  <r>
    <s v="MNESA APANADA 1800 G 15 UND"/>
    <s v="MPPO140"/>
    <x v="27"/>
    <n v="35.197684964200477"/>
  </r>
  <r>
    <s v="MNESA APANADA 600 G 5 UNDS"/>
    <s v="MPPO140"/>
    <x v="27"/>
    <n v="4.644523998939273"/>
  </r>
  <r>
    <s v="JMN PREM VIANDÉ 300 G - 15 V2."/>
    <s v="MPPD161"/>
    <x v="28"/>
    <n v="25.124999999999968"/>
  </r>
  <r>
    <s v="JMN PREMIUM 200 G"/>
    <s v="MPPD161"/>
    <x v="28"/>
    <n v="0.96717167135010751"/>
  </r>
  <r>
    <s v="JMN PREMIUM 400 G"/>
    <s v="MPPD161"/>
    <x v="28"/>
    <n v="1.3794626020565792"/>
  </r>
  <r>
    <s v="JMN SDW  450 G 28 U "/>
    <s v="MPPD161"/>
    <x v="28"/>
    <n v="1.0069783864293049"/>
  </r>
  <r>
    <s v="JMN SDW  INST  500 G 28 U "/>
    <s v="MPPD161"/>
    <x v="28"/>
    <n v="0.20953661417201422"/>
  </r>
  <r>
    <s v="MDELA FAIZAN  225 G 14 U SC"/>
    <s v="MPPD161"/>
    <x v="28"/>
    <n v="4.629759656612495"/>
  </r>
  <r>
    <s v="MDELA VIANDÉ X 225 G - 14 UND S"/>
    <s v="MPPD161"/>
    <x v="28"/>
    <n v="44.296350721048981"/>
  </r>
  <r>
    <s v="MNESA APANADA 1800 G 15 UND"/>
    <s v="MPPD161"/>
    <x v="28"/>
    <n v="5.203136038186158"/>
  </r>
  <r>
    <s v="MNESA APANADA 600 G 5 UNDS"/>
    <s v="MPPD161"/>
    <x v="28"/>
    <n v="0.6865818085388492"/>
  </r>
  <r>
    <s v="SALCHICHA JUMBO"/>
    <s v="MPPD161"/>
    <x v="28"/>
    <n v="0.28150000000000008"/>
  </r>
  <r>
    <s v="SCHA CLÁSICA   225 G 9 UND"/>
    <s v="MPPD161"/>
    <x v="28"/>
    <n v="4.1167874988846247"/>
  </r>
  <r>
    <s v="SCHA CLÁSICA   450 G 18 UND"/>
    <s v="MPPD161"/>
    <x v="28"/>
    <n v="0.97468348155418738"/>
  </r>
  <r>
    <s v="SCHA DESAYUNO 115 G - 5 UNDS"/>
    <s v="MPPD161"/>
    <x v="28"/>
    <n v="0.67544747703695807"/>
  </r>
  <r>
    <s v="SCHA DESAYUNO 480 G -14 UND"/>
    <s v="MPPD161"/>
    <x v="28"/>
    <n v="1.5422638833670101"/>
  </r>
  <r>
    <s v="SCHA MANGUERA 560 G - 6 UND"/>
    <s v="MPPD161"/>
    <x v="28"/>
    <n v="4.4518838906636375"/>
  </r>
  <r>
    <s v="SCHA MINI PERRO X 1 KG"/>
    <s v="MPPD161"/>
    <x v="28"/>
    <n v="4.8822042190907151"/>
  </r>
  <r>
    <s v="SCHA PERRO X 480 G"/>
    <s v="MPPD161"/>
    <x v="28"/>
    <n v="0.27915340025729801"/>
  </r>
  <r>
    <s v="SCHA SÚPER PERRO X 2.5 KG"/>
    <s v="MPPD161"/>
    <x v="28"/>
    <n v="14.433522250314173"/>
  </r>
  <r>
    <s v="SCHA VIANDÉ   225 G 8 UNDS"/>
    <s v="MPPD161"/>
    <x v="28"/>
    <n v="46.199803233662159"/>
  </r>
  <r>
    <s v="SCHON AUTENTICO X 225 G"/>
    <s v="MPPD161"/>
    <x v="28"/>
    <n v="2.9243105167032248"/>
  </r>
  <r>
    <s v="SCHON AUTENTICO X 750 G"/>
    <s v="MPPD161"/>
    <x v="28"/>
    <n v="1.2412828645746428"/>
  </r>
  <r>
    <s v="SCHON POLLO BRAKEL X 225"/>
    <s v="MPPD161"/>
    <x v="28"/>
    <n v="36.999314128462728"/>
  </r>
  <r>
    <s v="SCHON POLLO BRAKEL X 500"/>
    <s v="MPPD161"/>
    <x v="28"/>
    <n v="43.174184334328793"/>
  </r>
  <r>
    <s v="SCHON POLLO X 225 G"/>
    <s v="MPPD161"/>
    <x v="28"/>
    <n v="2.6552735861922128"/>
  </r>
  <r>
    <s v="SCHON TRAD VIANDÉ X 500 "/>
    <s v="MPPD161"/>
    <x v="28"/>
    <n v="53.269224381504451"/>
  </r>
  <r>
    <s v="SCHA CLÁSICA   225 G 9 UND"/>
    <s v="MPPA134"/>
    <x v="29"/>
    <n v="44.138752565360939"/>
  </r>
  <r>
    <s v="SCHA CLÁSICA   450 G 18 UND"/>
    <s v="MPPA134"/>
    <x v="29"/>
    <n v="10.45021464759129"/>
  </r>
  <r>
    <s v="SCHA MANGUERA 560 G - 6 UND"/>
    <s v="MPPA134"/>
    <x v="29"/>
    <n v="65.065995325083946"/>
  </r>
  <r>
    <s v="SCHA MINI PERRO X 1 KG"/>
    <s v="MPPA134"/>
    <x v="29"/>
    <n v="78.115267505451442"/>
  </r>
  <r>
    <s v="SCHA PERRO X 480 G"/>
    <s v="MPPA134"/>
    <x v="29"/>
    <n v="4.4664544041167682"/>
  </r>
  <r>
    <s v="SCHA SÚPER PERRO X 2.5 KG"/>
    <s v="MPPA134"/>
    <x v="29"/>
    <n v="230.93635600502677"/>
  </r>
  <r>
    <s v="SCHA VIANDÉ   225 G 8 UNDS"/>
    <s v="MPPA134"/>
    <x v="29"/>
    <n v="480.56019768638708"/>
  </r>
  <r>
    <s v="SCHON AUTENTICO X 225 G"/>
    <s v="MPPA134"/>
    <x v="29"/>
    <n v="38.802700956536469"/>
  </r>
  <r>
    <s v="SCHON AUTENTICO X 750 G"/>
    <s v="MPPA134"/>
    <x v="29"/>
    <n v="16.470592818871591"/>
  </r>
  <r>
    <s v="SCHON POLLO BRAKEL X 225"/>
    <s v="MPPA134"/>
    <x v="29"/>
    <n v="540.75920649291652"/>
  </r>
  <r>
    <s v="SCHON POLLO BRAKEL X 500"/>
    <s v="MPPA134"/>
    <x v="29"/>
    <n v="631.00730950172817"/>
  </r>
  <r>
    <s v="SCHON POLLO X 225 G"/>
    <s v="MPPA134"/>
    <x v="29"/>
    <n v="38.807844721270783"/>
  </r>
  <r>
    <s v="SCHON TRAD VIANDÉ X 500 "/>
    <s v="MPPA134"/>
    <x v="29"/>
    <n v="706.82978844271884"/>
  </r>
  <r>
    <s v="CERVECERO FAIZAN 1500 G"/>
    <s v="MIPS003"/>
    <x v="30"/>
    <n v="2214.0012232050958"/>
  </r>
  <r>
    <s v="CERVECERO FAIZAN 500 G"/>
    <s v="MIPS003"/>
    <x v="30"/>
    <n v="814.12752161741525"/>
  </r>
  <r>
    <s v="CERVECERO FAIZAN X 1300 G"/>
    <s v="MIPS003"/>
    <x v="30"/>
    <n v="824.1717260617271"/>
  </r>
  <r>
    <s v="CERVECERO FAIZAN X 750 G"/>
    <s v="MIPS003"/>
    <x v="30"/>
    <n v="535.97267180810593"/>
  </r>
  <r>
    <s v="SCHON CERV VIANDÉ X 225 G"/>
    <s v="MIPS003"/>
    <x v="30"/>
    <n v="4085.1085146084579"/>
  </r>
  <r>
    <s v="SCHA MANGUERA 560 G - 6 UND"/>
    <s v="MPCC019"/>
    <x v="31"/>
    <n v="479.43364976377649"/>
  </r>
  <r>
    <s v="SCHON AUTENTICO X 225 G"/>
    <s v="MPCC019"/>
    <x v="31"/>
    <n v="62.08948700934905"/>
  </r>
  <r>
    <s v="SCHON AUTENTICO X 750 G"/>
    <s v="MPCC019"/>
    <x v="31"/>
    <n v="26.355141102396271"/>
  </r>
  <r>
    <s v="SCHON CERV VIANDÉ X 225 G"/>
    <s v="MPCC019"/>
    <x v="31"/>
    <n v="2042.5542573042289"/>
  </r>
  <r>
    <s v="SCHON POLLO BRAKEL X 225"/>
    <s v="MPCC019"/>
    <x v="31"/>
    <n v="866.05860621744637"/>
  </r>
  <r>
    <s v="SCHON POLLO BRAKEL X 500"/>
    <s v="MPCC019"/>
    <x v="31"/>
    <n v="1010.5964067155387"/>
  </r>
  <r>
    <s v="JMN PREM VIANDÉ 300 G - 15 V2."/>
    <s v="MPII310"/>
    <x v="32"/>
    <n v="5024.9999999999955"/>
  </r>
  <r>
    <s v="JMN PREMIUM 200 G"/>
    <s v="MPII310"/>
    <x v="32"/>
    <n v="166.36034416317807"/>
  </r>
  <r>
    <s v="JMN PREMIUM 400 G"/>
    <s v="MPII310"/>
    <x v="32"/>
    <n v="237.27729009888782"/>
  </r>
  <r>
    <s v="GRANULOS"/>
    <s v="MPII310"/>
    <x v="32"/>
    <n v="1255.8266663711779"/>
  </r>
  <r>
    <s v="JMN PREM VIANDÉ 300 G - 15 V2."/>
    <s v="MPPH141"/>
    <x v="33"/>
    <n v="30.150000000000009"/>
  </r>
  <r>
    <s v="JMN PREMIUM 200 G"/>
    <s v="MPPH141"/>
    <x v="33"/>
    <n v="1.2191239554833293"/>
  </r>
  <r>
    <s v="JMN PREMIUM 400 G"/>
    <s v="MPPH141"/>
    <x v="33"/>
    <n v="1.738818405953672"/>
  </r>
  <r>
    <s v="SCHA DESAYUNO 115 G - 5 UNDS"/>
    <s v="MPPH141"/>
    <x v="33"/>
    <n v="0.58734563220605074"/>
  </r>
  <r>
    <s v="SCHA DESAYUNO 480 G -14 UND"/>
    <s v="MPPH141"/>
    <x v="33"/>
    <n v="1.3410990290147915"/>
  </r>
  <r>
    <s v="CERVECERO FAIZAN 1500 G"/>
    <s v="MPPH142"/>
    <x v="34"/>
    <n v="42.066023240896826"/>
  </r>
  <r>
    <s v="CERVECERO FAIZAN 500 G"/>
    <s v="MPPH142"/>
    <x v="34"/>
    <n v="15.468422910730892"/>
  </r>
  <r>
    <s v="CERVECERO FAIZAN X 1300 G"/>
    <s v="MPPH142"/>
    <x v="34"/>
    <n v="15.659262795172816"/>
  </r>
  <r>
    <s v="CERVECERO FAIZAN X 750 G"/>
    <s v="MPPH142"/>
    <x v="34"/>
    <n v="10.183480764354014"/>
  </r>
  <r>
    <s v="CH CERDO X 250"/>
    <s v="MPPH142"/>
    <x v="34"/>
    <n v="0.68284056774056046"/>
  </r>
  <r>
    <s v="CH CERDO X 500"/>
    <s v="MPPH142"/>
    <x v="34"/>
    <n v="2.4720292528923205"/>
  </r>
  <r>
    <s v="SCHON CERV PREM X 50 G"/>
    <s v="MPPH142"/>
    <x v="34"/>
    <n v="0.31000357699720976"/>
  </r>
  <r>
    <s v="JMN SDW  450 G 28 U "/>
    <s v="MPPH147"/>
    <x v="35"/>
    <n v="2.1482205577158511"/>
  </r>
  <r>
    <s v="JMN SDW  INST  500 G 28 U "/>
    <s v="MPPH147"/>
    <x v="35"/>
    <n v="0.44701144356696371"/>
  </r>
  <r>
    <s v="SCHA MANGUERA 560 G - 6 UND"/>
    <s v="MPPH147"/>
    <x v="35"/>
    <n v="8.2188625673790234"/>
  </r>
  <r>
    <s v="SCHON CERV VIANDÉ X 225 G"/>
    <s v="MPPH147"/>
    <x v="35"/>
    <n v="71.489399005648039"/>
  </r>
  <r>
    <s v="SALCHICHA JUMBO"/>
    <s v="MPPD172"/>
    <x v="36"/>
    <n v="2.2520000000000007"/>
  </r>
  <r>
    <s v="SCHA MANGUERA 560 G - 6 UND"/>
    <s v="MPPD172"/>
    <x v="36"/>
    <n v="19.177345990551061"/>
  </r>
  <r>
    <s v="SCHA VIANDÉ   225 G 8 UNDS"/>
    <s v="MPPD172"/>
    <x v="36"/>
    <n v="157.07933099445131"/>
  </r>
  <r>
    <s v="SCHON AUTENTICO X 225 G"/>
    <s v="MPPD172"/>
    <x v="36"/>
    <n v="11.697242066812899"/>
  </r>
  <r>
    <s v="SCHON AUTENTICO X 750 G"/>
    <s v="MPPD172"/>
    <x v="36"/>
    <n v="4.9651314582985711"/>
  </r>
  <r>
    <s v="SCHON CERV VIANDÉ X 225 G"/>
    <s v="MPPD172"/>
    <x v="36"/>
    <n v="122.55325543825376"/>
  </r>
  <r>
    <s v="SCHON POLLO BRAKEL X 225"/>
    <s v="MPPD172"/>
    <x v="36"/>
    <n v="159.38166086107012"/>
  </r>
  <r>
    <s v="SCHON POLLO BRAKEL X 500"/>
    <s v="MPPD172"/>
    <x v="36"/>
    <n v="185.98110174787774"/>
  </r>
  <r>
    <s v="SCHON POLLO X 225 G"/>
    <s v="MPPD172"/>
    <x v="36"/>
    <n v="11.438101602058754"/>
  </r>
  <r>
    <s v="SCHON TRAD VIANDÉ X 500 "/>
    <s v="MPPD172"/>
    <x v="36"/>
    <n v="213.0768975260178"/>
  </r>
  <r>
    <s v="CERVECERO FAIZAN 1500 G"/>
    <s v="MPPD160"/>
    <x v="37"/>
    <n v="22.140012232050957"/>
  </r>
  <r>
    <s v="CERVECERO FAIZAN 500 G"/>
    <s v="MPPD160"/>
    <x v="37"/>
    <n v="8.1412752161741526"/>
  </r>
  <r>
    <s v="CERVECERO FAIZAN X 1300 G"/>
    <s v="MPPD160"/>
    <x v="37"/>
    <n v="8.2417172606172713"/>
  </r>
  <r>
    <s v="CERVECERO FAIZAN X 750 G"/>
    <s v="MPPD160"/>
    <x v="37"/>
    <n v="5.3597267180810597"/>
  </r>
  <r>
    <s v="CH CERDO X 250"/>
    <s v="MPPD160"/>
    <x v="37"/>
    <n v="3.044512085467467"/>
  </r>
  <r>
    <s v="CH CERDO X 500"/>
    <s v="MPPD160"/>
    <x v="37"/>
    <n v="11.021786477863849"/>
  </r>
  <r>
    <s v="CH TERNERA X 1020 G"/>
    <s v="MPPD160"/>
    <x v="37"/>
    <n v="38.977888706857705"/>
  </r>
  <r>
    <s v="CH TERNERA X 120 G"/>
    <s v="MPPD160"/>
    <x v="37"/>
    <n v="5.2776830971203665"/>
  </r>
  <r>
    <s v="CH TERNERA X 480 G"/>
    <s v="MPPD160"/>
    <x v="37"/>
    <n v="18.290470483457771"/>
  </r>
  <r>
    <s v="CHORIZO SANTARROSANO"/>
    <s v="MPPD160"/>
    <x v="37"/>
    <n v="5.3997840086396547"/>
  </r>
  <r>
    <s v="HSA 2700 G - 30 UNDS"/>
    <s v="MPPD160"/>
    <x v="37"/>
    <n v="5.7633372467104769"/>
  </r>
  <r>
    <s v="HSA 450 G - 5 UNDS"/>
    <s v="MPPD160"/>
    <x v="37"/>
    <n v="2.0563018077769479"/>
  </r>
  <r>
    <s v="HSA 900 G - 10 UNDS"/>
    <s v="MPPD160"/>
    <x v="37"/>
    <n v="5.1496485584033431"/>
  </r>
  <r>
    <s v="JMN PREM VIANDÉ 300 G - 15 V2."/>
    <s v="MPPD160"/>
    <x v="37"/>
    <n v="251.24999999999989"/>
  </r>
  <r>
    <s v="JMN PREMIUM 200 G"/>
    <s v="MPPD160"/>
    <x v="37"/>
    <n v="10.159366295694406"/>
  </r>
  <r>
    <s v="JMN PREMIUM 400 G"/>
    <s v="MPPD160"/>
    <x v="37"/>
    <n v="14.490153382947259"/>
  </r>
  <r>
    <s v="JMN SDW  450 G 28 U "/>
    <s v="MPPD160"/>
    <x v="37"/>
    <n v="9.8012562945785682"/>
  </r>
  <r>
    <s v="JMN SDW  INST  500 G 28 U "/>
    <s v="MPPD160"/>
    <x v="37"/>
    <n v="2.0394897112742711"/>
  </r>
  <r>
    <s v="LOS PERRITOS"/>
    <s v="MPPD160"/>
    <x v="37"/>
    <n v="13.36186638133619"/>
  </r>
  <r>
    <s v="MDELA FAIZAN  225 G 14 U SC"/>
    <s v="MPPD160"/>
    <x v="37"/>
    <n v="23.025338025552795"/>
  </r>
  <r>
    <s v="MDELA VIANDÉ X 225 G - 14 UND S"/>
    <s v="MPPD160"/>
    <x v="37"/>
    <n v="220.30051758601684"/>
  </r>
  <r>
    <s v="MNESA APANADA 1800 G 15 UND"/>
    <s v="MPPD160"/>
    <x v="37"/>
    <n v="34.432517899761343"/>
  </r>
  <r>
    <s v="MNESA APANADA 600 G 5 UNDS"/>
    <s v="MPPD160"/>
    <x v="37"/>
    <n v="4.5435560859188548"/>
  </r>
  <r>
    <s v="SCHA CLÁSICA   225 G 9 UND"/>
    <s v="MPPD160"/>
    <x v="37"/>
    <n v="23.342609529758185"/>
  </r>
  <r>
    <s v="SCHA CLÁSICA   450 G 18 UND"/>
    <s v="MPPD160"/>
    <x v="37"/>
    <n v="5.5265558232453937"/>
  </r>
  <r>
    <s v="SCHA DESAYUNO 115 G - 5 UNDS"/>
    <s v="MPPD160"/>
    <x v="37"/>
    <n v="5.8734563220605081"/>
  </r>
  <r>
    <s v="SCHA DESAYUNO 480 G -14 UND"/>
    <s v="MPPD160"/>
    <x v="37"/>
    <n v="13.410990290147918"/>
  </r>
  <r>
    <s v="SCHA MINI PERRO X 1 KG"/>
    <s v="MPPD160"/>
    <x v="37"/>
    <n v="26.852123204998929"/>
  </r>
  <r>
    <s v="SCHA PERRO X 480 G"/>
    <s v="MPPD160"/>
    <x v="37"/>
    <n v="1.5353437014151388"/>
  </r>
  <r>
    <s v="SCHA SÚPER PERRO X 2.5 KG"/>
    <s v="MPPD160"/>
    <x v="37"/>
    <n v="79.384372376727939"/>
  </r>
  <r>
    <s v="SCHA MANGUERA 560 G - 6 UND"/>
    <s v="MPPC117"/>
    <x v="38"/>
    <n v="54.792417115860168"/>
  </r>
  <r>
    <s v="SCHA CLÁSICA   225 G 9 UND"/>
    <s v="MPPC112"/>
    <x v="39"/>
    <n v="57.295496118497361"/>
  </r>
  <r>
    <s v="SCHA CLÁSICA   450 G 18 UND"/>
    <s v="MPPC112"/>
    <x v="39"/>
    <n v="13.565182475238693"/>
  </r>
  <r>
    <s v="SCHA MINI PERRO X 1 KG"/>
    <s v="MPPC112"/>
    <x v="39"/>
    <n v="65.909756957724639"/>
  </r>
  <r>
    <s v="SCHA PERRO X 480 G"/>
    <s v="MPPC112"/>
    <x v="39"/>
    <n v="3.7685709034735217"/>
  </r>
  <r>
    <s v="SCHA SÚPER PERRO X 2.5 KG"/>
    <s v="MPPC112"/>
    <x v="39"/>
    <n v="194.85255037924128"/>
  </r>
  <r>
    <s v="SCHA VIANDÉ   225 G 8 UNDS"/>
    <s v="MPPC112"/>
    <x v="39"/>
    <n v="623.80410276598309"/>
  </r>
  <r>
    <s v="CERVECERO FAIZAN 1500 G"/>
    <s v="MPCC036"/>
    <x v="40"/>
    <n v="1594.0808807076692"/>
  </r>
  <r>
    <s v="CERVECERO FAIZAN 500 G"/>
    <s v="MPCC036"/>
    <x v="40"/>
    <n v="586.17181556453909"/>
  </r>
  <r>
    <s v="CERVECERO FAIZAN X 1300 G"/>
    <s v="MPCC036"/>
    <x v="40"/>
    <n v="593.40364276444359"/>
  </r>
  <r>
    <s v="CERVECERO FAIZAN X 750 G"/>
    <s v="MPCC036"/>
    <x v="40"/>
    <n v="385.90032370183633"/>
  </r>
  <r>
    <s v="SALCHICHA JUMBO"/>
    <m/>
    <x v="41"/>
    <n v="1.1260000000000003"/>
  </r>
  <r>
    <s v="CHORIZO SANTARROSANO"/>
    <s v="MPC"/>
    <x v="42"/>
    <n v="251.98992040318387"/>
  </r>
  <r>
    <s v="SALCHICHA JUMBO"/>
    <m/>
    <x v="42"/>
    <n v="140.75"/>
  </r>
  <r>
    <s v="SCHON CERV VIANDÉ X 225 G"/>
    <s v="MPCP034"/>
    <x v="42"/>
    <n v="15993.199834692114"/>
  </r>
  <r>
    <s v="LOS PERRITOS"/>
    <s v="MPCP044"/>
    <x v="42"/>
    <n v="668.09331906680927"/>
  </r>
  <r>
    <s v="SCHA VIANDÉ   225 G 8 UNDS"/>
    <s v="MPCP044"/>
    <x v="42"/>
    <n v="17774.289823426836"/>
  </r>
  <r>
    <s v="SCHA VIANDÉ   225 G 8 UNDS"/>
    <s v="MPCP044"/>
    <x v="42"/>
    <n v="17774.289823426836"/>
  </r>
  <r>
    <s v="JMN SDW  450 G 28 U "/>
    <s v="MPCP044"/>
    <x v="42"/>
    <n v="134.26378485724067"/>
  </r>
  <r>
    <s v="JMN SDW  INST  500 G 28 U "/>
    <s v="MPCP044"/>
    <x v="42"/>
    <n v="27.938215222935224"/>
  </r>
  <r>
    <s v="SCHA CLÁSICA   225 G 9 UND"/>
    <s v="MPCP044"/>
    <x v="42"/>
    <n v="424.41108235923974"/>
  </r>
  <r>
    <s v="SCHA CLÁSICA   450 G 18 UND"/>
    <s v="MPCP044"/>
    <x v="42"/>
    <n v="100.48283314991626"/>
  </r>
  <r>
    <s v="SCHA MANGUERA 560 G - 6 UND"/>
    <s v="MPCP044"/>
    <x v="42"/>
    <n v="1797.6707150499774"/>
  </r>
  <r>
    <s v="SCHA MINI PERRO X 1 KG"/>
    <s v="MPCP044"/>
    <x v="42"/>
    <n v="366.1653164318036"/>
  </r>
  <r>
    <s v="SCHA PERRO X 480 G"/>
    <s v="MPCP044"/>
    <x v="42"/>
    <n v="20.936505019297346"/>
  </r>
  <r>
    <s v="SCHA SÚPER PERRO X 2.5 KG"/>
    <s v="MPCP044"/>
    <x v="42"/>
    <n v="1082.5141687735629"/>
  </r>
  <r>
    <s v="SCHON AUTENTICO X 225 G"/>
    <s v="MPCP044"/>
    <x v="42"/>
    <n v="361.05942336753873"/>
  </r>
  <r>
    <s v="SCHON AUTENTICO X 750 G"/>
    <s v="MPCP044"/>
    <x v="42"/>
    <n v="153.25898968642622"/>
  </r>
  <r>
    <s v="SCHON CERV VIANDÉ X 225 G"/>
    <s v="MPCP044"/>
    <x v="42"/>
    <n v="15993.199834692114"/>
  </r>
  <r>
    <s v="SCHON POLLO BRAKEL X 225"/>
    <s v="MPCP044"/>
    <x v="42"/>
    <n v="5027.6908632064151"/>
  </r>
  <r>
    <s v="SCHON POLLO BRAKEL X 500"/>
    <s v="MPCP044"/>
    <x v="42"/>
    <n v="5866.7696203889927"/>
  </r>
  <r>
    <s v="SCHON POLLO X 225 G"/>
    <s v="MPCP044"/>
    <x v="42"/>
    <n v="360.81465462469612"/>
  </r>
  <r>
    <s v="SCHON TRAD VIANDÉ X 500 "/>
    <s v="MPCP044"/>
    <x v="42"/>
    <n v="6577.0564817121776"/>
  </r>
  <r>
    <s v="SCHA MANGUERA 560 G - 6 UND"/>
    <s v="MPCP033"/>
    <x v="42"/>
    <n v="1935.2202291672045"/>
  </r>
  <r>
    <s v="SCHON AUTENTICO X 225 G"/>
    <s v="MPCP033"/>
    <x v="42"/>
    <n v="1071.8214948999314"/>
  </r>
  <r>
    <s v="SCHON AUTENTICO X 750 G"/>
    <s v="MPCP033"/>
    <x v="42"/>
    <n v="454.95635566155659"/>
  </r>
  <r>
    <s v="SCHON POLLO BRAKEL X 225"/>
    <s v="MPCP033"/>
    <x v="42"/>
    <n v="14937.035999977277"/>
  </r>
  <r>
    <s v="SCHON POLLO BRAKEL X 500"/>
    <s v="MPCP033"/>
    <x v="42"/>
    <n v="17429.90000929292"/>
  </r>
  <r>
    <s v="SCHON POLLO X 225 G"/>
    <s v="MPCP033"/>
    <x v="42"/>
    <n v="1071.9635777310489"/>
  </r>
  <r>
    <s v="SCHON TRAD VIANDÉ X 500 "/>
    <s v="MPCP033"/>
    <x v="42"/>
    <n v="19524.294490145716"/>
  </r>
  <r>
    <s v="HSA 2700 G - 30 UNDS"/>
    <s v="829"/>
    <x v="43"/>
    <n v="1642.8804488694407"/>
  </r>
  <r>
    <s v="HSA 450 G - 5 UNDS"/>
    <s v="829"/>
    <x v="43"/>
    <n v="586.16351817687439"/>
  </r>
  <r>
    <s v="HSA 900 G - 10 UNDS"/>
    <s v="829"/>
    <x v="43"/>
    <n v="1467.944104776861"/>
  </r>
  <r>
    <s v="JMN SDW  450 G 28 U "/>
    <s v="MPCP031"/>
    <x v="43"/>
    <n v="657.59716547379344"/>
  </r>
  <r>
    <s v="JMN SDW  INST  500 G 28 U "/>
    <s v="MPCP031"/>
    <x v="43"/>
    <n v="136.83579051889217"/>
  </r>
  <r>
    <s v="LOS PERRITOS"/>
    <s v="MPCP031"/>
    <x v="43"/>
    <n v="1182.7924120758792"/>
  </r>
  <r>
    <s v="MDELA FAIZAN  225 G 14 U SC"/>
    <s v="MPCP031"/>
    <x v="43"/>
    <n v="4609.8208250246835"/>
  </r>
  <r>
    <s v="MDELA VIANDÉ X 225 G - 14 UND S"/>
    <s v="MPCP031"/>
    <x v="43"/>
    <n v="44105.581103943659"/>
  </r>
  <r>
    <s v="MNESA APANADA 1800 G 15 UND"/>
    <s v="MPCP031"/>
    <x v="43"/>
    <n v="2220.8208878281625"/>
  </r>
  <r>
    <s v="MNESA APANADA 600 G 5 UNDS"/>
    <s v="MPCP031"/>
    <x v="43"/>
    <n v="293.04927075046407"/>
  </r>
  <r>
    <s v="SCHA CLÁSICA   225 G 9 UND"/>
    <s v="MPCP031"/>
    <x v="43"/>
    <n v="4465.3138797180327"/>
  </r>
  <r>
    <s v="SCHA CLÁSICA   450 G 18 UND"/>
    <s v="MPCP031"/>
    <x v="43"/>
    <n v="1057.1999841368986"/>
  </r>
  <r>
    <s v="SCHA MINI PERRO X 1 KG"/>
    <s v="MPCP031"/>
    <x v="43"/>
    <n v="4693.8487803181952"/>
  </r>
  <r>
    <s v="SCHA PERRO X 480 G"/>
    <s v="MPCP031"/>
    <x v="43"/>
    <n v="268.38366207537143"/>
  </r>
  <r>
    <s v="SCHA SÚPER PERRO X 2.5 KG"/>
    <s v="MPCP031"/>
    <x v="43"/>
    <n v="13876.676961897052"/>
  </r>
  <r>
    <s v="CERVECERO FAIZAN 1500 G"/>
    <s v="MPCP031"/>
    <x v="43"/>
    <n v="16466.412697465581"/>
  </r>
  <r>
    <s v="CERVECERO FAIZAN 500 G"/>
    <s v="MPCP031"/>
    <x v="43"/>
    <n v="6054.992029277365"/>
  </r>
  <r>
    <s v="CERVECERO FAIZAN X 1300 G"/>
    <s v="MPCP031"/>
    <x v="43"/>
    <n v="6129.6947954114894"/>
  </r>
  <r>
    <s v="CERVECERO FAIZAN X 750 G"/>
    <s v="MPCP031"/>
    <x v="43"/>
    <n v="3986.2431493056079"/>
  </r>
  <r>
    <s v="PP EMULSIÓN"/>
    <n v="0"/>
    <x v="44"/>
    <n v="23500.101770812133"/>
  </r>
  <r>
    <s v="MNESA APANADA 1800 G 15 UND"/>
    <s v="MPCC028"/>
    <x v="45"/>
    <n v="1308.435680190931"/>
  </r>
  <r>
    <s v="MDELA FAIZAN  225 G 14 U SC"/>
    <s v="MPCC028"/>
    <x v="45"/>
    <n v="534.70637527436554"/>
  </r>
  <r>
    <s v="MDELA VIANDÉ X 225 G - 14 UND S"/>
    <s v="MPCC028"/>
    <x v="45"/>
    <n v="5115.9331992763482"/>
  </r>
  <r>
    <s v="MNESA APANADA 600 G 5 UNDS"/>
    <s v="MPCC028"/>
    <x v="45"/>
    <n v="172.65513126491649"/>
  </r>
  <r>
    <s v="JMN PREM VIANDÉ 300 G - 15 V2."/>
    <s v="MPCC034"/>
    <x v="46"/>
    <n v="10607.774999999998"/>
  </r>
  <r>
    <s v="MNESA APANADA 1800 G 15 UND"/>
    <s v="MPCC034"/>
    <x v="46"/>
    <n v="624.60587470167081"/>
  </r>
  <r>
    <s v="MNESA APANADA 600 G 5 UNDS"/>
    <s v="MPCC034"/>
    <x v="46"/>
    <n v="82.420107398568035"/>
  </r>
  <r>
    <s v="JMN PREMIUM 200 G"/>
    <s v="MPCC034"/>
    <x v="46"/>
    <n v="848.50373851199572"/>
  </r>
  <r>
    <s v="JMN PREMIUM 400 G"/>
    <s v="MPCC034"/>
    <x v="46"/>
    <n v="1210.2082904770996"/>
  </r>
  <r>
    <s v="MDELA FAIZAN  225 G 14 U SC"/>
    <s v="MPPS154"/>
    <x v="47"/>
    <n v="11.975644978437652"/>
  </r>
  <r>
    <s v="MDELA VIANDÉ X 225 G - 14 UND S"/>
    <s v="MPPS154"/>
    <x v="47"/>
    <n v="114.57989386511335"/>
  </r>
  <r>
    <s v="MNESA APANADA 1800 G 15 UND"/>
    <s v="MPPS154"/>
    <x v="47"/>
    <n v="7.6516706443914098"/>
  </r>
  <r>
    <s v="MNESA APANADA 600 G 5 UNDS"/>
    <s v="MPPS154"/>
    <x v="47"/>
    <n v="1.0096791302041901"/>
  </r>
  <r>
    <s v="SCHON AUTENTICO X 225 G"/>
    <s v="MPPS154"/>
    <x v="47"/>
    <n v="3.5091726200438722"/>
  </r>
  <r>
    <s v="SCHON AUTENTICO X 750 G"/>
    <s v="MPPS154"/>
    <x v="47"/>
    <n v="1.4895394374895723"/>
  </r>
  <r>
    <s v="SCHON POLLO BRAKEL X 225"/>
    <s v="MPPS154"/>
    <x v="47"/>
    <n v="81.553888201957548"/>
  </r>
  <r>
    <s v="SCHON POLLO BRAKEL X 500"/>
    <s v="MPPS154"/>
    <x v="47"/>
    <n v="95.164537109727533"/>
  </r>
  <r>
    <s v="SCHON POLLO X 225 G"/>
    <s v="MPPS154"/>
    <x v="47"/>
    <n v="5.8527540386848758"/>
  </r>
  <r>
    <s v="SCHON TRAD VIANDÉ X 500 "/>
    <s v="MPPS154"/>
    <x v="47"/>
    <n v="63.923069257805366"/>
  </r>
  <r>
    <s v="HSA 2700 G - 30 UNDS"/>
    <s v="MPPS095"/>
    <x v="48"/>
    <n v="2.6511351334868203"/>
  </r>
  <r>
    <s v="HSA 450 G - 5 UNDS"/>
    <s v="MPPS095"/>
    <x v="48"/>
    <n v="0.94589883157739618"/>
  </r>
  <r>
    <s v="HSA 900 G - 10 UNDS"/>
    <s v="MPPS095"/>
    <x v="48"/>
    <n v="2.3688383368655379"/>
  </r>
  <r>
    <s v="LOS PERRITOS"/>
    <s v="MPPS095"/>
    <x v="48"/>
    <n v="5.4783652163478376"/>
  </r>
  <r>
    <s v="SALCHICHA JUMBO"/>
    <s v="MPPS095"/>
    <x v="48"/>
    <n v="0.33780000000000016"/>
  </r>
  <r>
    <s v="SCHA DESAYUNO 115 G - 5 UNDS"/>
    <s v="MPPS095"/>
    <x v="48"/>
    <n v="0.88101844830907572"/>
  </r>
  <r>
    <s v="SCHA DESAYUNO 480 G -14 UND"/>
    <s v="MPPS095"/>
    <x v="48"/>
    <n v="2.0116485435221869"/>
  </r>
  <r>
    <s v="CHORIZO SANTARROSANO"/>
    <s v="MPPA151"/>
    <x v="49"/>
    <n v="17.999280028798843"/>
  </r>
  <r>
    <s v="SCHA CLÁSICA   225 G 9 UND"/>
    <s v="MPPA151"/>
    <x v="49"/>
    <n v="42.441108235923977"/>
  </r>
  <r>
    <s v="SCHA CLÁSICA   450 G 18 UND"/>
    <s v="MPPA151"/>
    <x v="49"/>
    <n v="10.048283314991624"/>
  </r>
  <r>
    <s v="SCHA MANGUERA 560 G - 6 UND"/>
    <s v="MPPA151"/>
    <x v="49"/>
    <n v="109.58483423172034"/>
  </r>
  <r>
    <s v="SCHA MINI PERRO X 1 KG"/>
    <s v="MPPA151"/>
    <x v="49"/>
    <n v="53.704246409997857"/>
  </r>
  <r>
    <s v="SCHA PERRO X 480 G"/>
    <s v="MPPA151"/>
    <x v="49"/>
    <n v="3.0706874028302775"/>
  </r>
  <r>
    <s v="SCHA SÚPER PERRO X 2.5 KG"/>
    <s v="MPPA151"/>
    <x v="49"/>
    <n v="158.76874475345588"/>
  </r>
  <r>
    <s v="SCHA VIANDÉ   225 G 8 UNDS"/>
    <s v="MPPA151"/>
    <x v="49"/>
    <n v="924.15422631997558"/>
  </r>
  <r>
    <s v="SCHON AUTENTICO X 225 G"/>
    <s v="MPPA151"/>
    <x v="49"/>
    <n v="65.351917400482478"/>
  </r>
  <r>
    <s v="SCHON AUTENTICO X 750 G"/>
    <s v="MPPA151"/>
    <x v="49"/>
    <n v="27.739945800204787"/>
  </r>
  <r>
    <s v="SCHON POLLO BRAKEL X 225"/>
    <s v="MPPA151"/>
    <x v="49"/>
    <n v="910.75234777754372"/>
  </r>
  <r>
    <s v="SCHON POLLO BRAKEL X 500"/>
    <s v="MPPA151"/>
    <x v="49"/>
    <n v="1062.7491528450159"/>
  </r>
  <r>
    <s v="SCHON POLLO X 225 G"/>
    <s v="MPPA151"/>
    <x v="49"/>
    <n v="65.360580583192899"/>
  </r>
  <r>
    <s v="SCHON TRAD VIANDÉ X 500 "/>
    <s v="MPPA151"/>
    <x v="49"/>
    <n v="1190.4501700087892"/>
  </r>
  <r>
    <s v="CERVECERO FAIZAN 1500 G"/>
    <s v="MPPC075"/>
    <x v="50"/>
    <n v="622.57714396527297"/>
  </r>
  <r>
    <s v="CERVECERO FAIZAN 500 G"/>
    <s v="MPPC075"/>
    <x v="50"/>
    <n v="228.93265907881718"/>
  </r>
  <r>
    <s v="CERVECERO FAIZAN X 1300 G"/>
    <s v="MPPC075"/>
    <x v="50"/>
    <n v="231.75708936855767"/>
  </r>
  <r>
    <s v="CERVECERO FAIZAN X 750 G"/>
    <s v="MPPC075"/>
    <x v="50"/>
    <n v="150.71551531243941"/>
  </r>
  <r>
    <s v="SCHON CERV PREM X 50 G"/>
    <s v="MPPC121"/>
    <x v="51"/>
    <n v="39.267119752979909"/>
  </r>
  <r>
    <s v="SCHON CERV VIANDÉ X 225 G"/>
    <s v="MPPC116"/>
    <x v="52"/>
    <n v="1070.2984308274158"/>
  </r>
  <r>
    <s v="CH CERDO X 250"/>
    <s v="MPPC102"/>
    <x v="53"/>
    <n v="13.047908937717716"/>
  </r>
  <r>
    <s v="CH CERDO X 500"/>
    <s v="MPPC102"/>
    <x v="53"/>
    <n v="47.236227762273643"/>
  </r>
  <r>
    <s v="CH TERNERA X 1020 G"/>
    <s v="MPPC097"/>
    <x v="54"/>
    <n v="134.3567823725385"/>
  </r>
  <r>
    <s v="CH TERNERA X 120 G"/>
    <s v="MPPC097"/>
    <x v="54"/>
    <n v="18.192173635773901"/>
  </r>
  <r>
    <s v="CH TERNERA X 480 G"/>
    <s v="MPPC097"/>
    <x v="54"/>
    <n v="63.047251756478921"/>
  </r>
  <r>
    <s v="CHORIZO SANTARROSANO"/>
    <s v="MPNC"/>
    <x v="54"/>
    <n v="34.198632054717812"/>
  </r>
  <r>
    <s v="JMN SDW  450 G 28 U "/>
    <s v="MPPC076"/>
    <x v="55"/>
    <n v="4.4307049002889416"/>
  </r>
  <r>
    <s v="JMN SDW  INST  500 G 28 U "/>
    <s v="MPPC076"/>
    <x v="55"/>
    <n v="0.92196110235686235"/>
  </r>
  <r>
    <s v="JMN PREM VIANDÉ 300 G - 15 V2."/>
    <s v="MPLS190"/>
    <x v="56"/>
    <n v="251.24999999999989"/>
  </r>
  <r>
    <s v="JMN PREMIUM 200 G"/>
    <s v="MPLS190"/>
    <x v="56"/>
    <n v="10.972115599349966"/>
  </r>
  <r>
    <s v="JMN PREMIUM 400 G"/>
    <s v="MPLS190"/>
    <x v="56"/>
    <n v="15.64936565358305"/>
  </r>
  <r>
    <s v="GRANULOS"/>
    <s v="MPPA121"/>
    <x v="57"/>
    <n v="1695.3659996010902"/>
  </r>
  <r>
    <s v="JMN PREM VIANDÉ 300 G - 15 V2."/>
    <s v="MPPA168"/>
    <x v="58"/>
    <n v="376.87499999999983"/>
  </r>
  <r>
    <s v="JMN PREMIUM 200 G"/>
    <s v="MPPA168"/>
    <x v="58"/>
    <n v="15.848611421283275"/>
  </r>
  <r>
    <s v="JMN PREMIUM 400 G"/>
    <s v="MPPA168"/>
    <x v="58"/>
    <n v="22.604639277397727"/>
  </r>
  <r>
    <s v="JMN SDW  450 G 28 U "/>
    <s v="MPPA168"/>
    <x v="58"/>
    <n v="26.852756971448137"/>
  </r>
  <r>
    <s v="JMN SDW  INST  500 G 28 U "/>
    <s v="MPPA168"/>
    <x v="58"/>
    <n v="5.587643044587046"/>
  </r>
  <r>
    <s v="SCHA CLÁSICA   225 G 9 UND"/>
    <s v="MPPA168"/>
    <x v="58"/>
    <n v="8.9126327295440362"/>
  </r>
  <r>
    <s v="SCHA CLÁSICA   450 G 18 UND"/>
    <s v="MPPA168"/>
    <x v="58"/>
    <n v="2.1101394961482414"/>
  </r>
  <r>
    <s v="SCHA VIANDÉ   225 G 8 UNDS"/>
    <s v="MPPA168"/>
    <x v="58"/>
    <n v="1016.5696489519726"/>
  </r>
  <r>
    <s v="SCHON CERV PREM X 50 G"/>
    <s v="MPPA168"/>
    <x v="58"/>
    <n v="6.2000715399441946"/>
  </r>
  <r>
    <s v="LOS PERRITOS"/>
    <s v="MPPA154"/>
    <x v="59"/>
    <n v="133.61866381336191"/>
  </r>
  <r>
    <s v="CHORIZO SANTARROSANO"/>
    <s v="MPPA154"/>
    <x v="59"/>
    <n v="17.999280028798843"/>
  </r>
  <r>
    <s v="SCHON POLLO BRAKEL X 225"/>
    <s v="MPPA154"/>
    <x v="59"/>
    <n v="4553.761738887717"/>
  </r>
  <r>
    <s v="SCHON POLLO BRAKEL X 500"/>
    <s v="MPPA154"/>
    <x v="59"/>
    <n v="5313.7457642250774"/>
  </r>
  <r>
    <s v="SCHON POLLO X 225 G"/>
    <s v="MPPA154"/>
    <x v="59"/>
    <n v="326.80290291596435"/>
  </r>
  <r>
    <s v="SCHA VIANDÉ   225 G 8 UNDS"/>
    <s v="MPPA154"/>
    <x v="59"/>
    <n v="3354.3369929316045"/>
  </r>
  <r>
    <s v="SCHON AUTENTICO X 225 G"/>
    <s v="MPPA154"/>
    <x v="59"/>
    <n v="326.75958700241222"/>
  </r>
  <r>
    <s v="SCHON AUTENTICO X 750 G"/>
    <s v="MPPA154"/>
    <x v="59"/>
    <n v="138.69972900102388"/>
  </r>
  <r>
    <s v="SCHON TRAD VIANDÉ X 500 "/>
    <s v="MPPA154"/>
    <x v="59"/>
    <n v="5952.2508500439435"/>
  </r>
  <r>
    <s v="SCHON CERV VIANDÉ X 225 G"/>
    <s v="MPPA154"/>
    <x v="59"/>
    <n v="1634.0434058433832"/>
  </r>
  <r>
    <s v="GRANULOS"/>
    <s v="MPPA154"/>
    <x v="60"/>
    <n v="847.68299980054508"/>
  </r>
  <r>
    <s v="CHORIZO SANTARROSANO"/>
    <s v="MPPA122"/>
    <x v="61"/>
    <n v="33.766649334026638"/>
  </r>
  <r>
    <s v="HSA 2700 G - 30 UNDS"/>
    <s v="MPPA122"/>
    <x v="61"/>
    <n v="74.100050314849"/>
  </r>
  <r>
    <s v="HSA 450 G - 5 UNDS"/>
    <s v="MPPA122"/>
    <x v="61"/>
    <n v="26.438166099989331"/>
  </r>
  <r>
    <s v="HSA 900 G - 10 UNDS"/>
    <s v="MPPA122"/>
    <x v="61"/>
    <n v="66.209767179471555"/>
  </r>
  <r>
    <s v="LOS PERRITOS"/>
    <s v="MPPA122"/>
    <x v="61"/>
    <n v="757.61782382176193"/>
  </r>
  <r>
    <s v="MNESA APANADA 1800 G 15 UND"/>
    <s v="MPPA122"/>
    <x v="61"/>
    <n v="1041.2393412887832"/>
  </r>
  <r>
    <s v="MNESA APANADA 600 G 5 UNDS"/>
    <s v="MPPA122"/>
    <x v="61"/>
    <n v="137.3971360381862"/>
  </r>
  <r>
    <s v="CH CERDO X 250"/>
    <s v="MPPA154"/>
    <x v="60"/>
    <n v="19.571863406576568"/>
  </r>
  <r>
    <s v="CH CERDO X 500"/>
    <s v="MPPA154"/>
    <x v="60"/>
    <n v="70.85434164341045"/>
  </r>
  <r>
    <s v="CH TERNERA X 1020 G"/>
    <s v="MPPA154"/>
    <x v="60"/>
    <n v="233.86733224114622"/>
  </r>
  <r>
    <s v="CH TERNERA X 120 G"/>
    <s v="MPPA154"/>
    <x v="60"/>
    <n v="31.666098582722196"/>
  </r>
  <r>
    <s v="CH TERNERA X 480 G"/>
    <s v="MPPA154"/>
    <x v="60"/>
    <n v="109.7428229007466"/>
  </r>
  <r>
    <s v="HSA 2700 G - 30 UNDS"/>
    <s v="MPPA154"/>
    <x v="60"/>
    <n v="131.73342278195381"/>
  </r>
  <r>
    <s v="HSA 450 G - 5 UNDS"/>
    <s v="MPPA154"/>
    <x v="60"/>
    <n v="47.001184177758823"/>
  </r>
  <r>
    <s v="HSA 900 G - 10 UNDS"/>
    <s v="MPPA154"/>
    <x v="60"/>
    <n v="117.70625276350501"/>
  </r>
  <r>
    <s v="JMN PREM VIANDÉ 300 G - 15 V2."/>
    <s v="MPPA154"/>
    <x v="60"/>
    <n v="1507.5"/>
  </r>
  <r>
    <s v="JMN PREMIUM 200 G"/>
    <s v="MPPA154"/>
    <x v="60"/>
    <n v="24.382479109666576"/>
  </r>
  <r>
    <s v="JMN PREMIUM 400 G"/>
    <s v="MPPA154"/>
    <x v="60"/>
    <n v="34.776368119073425"/>
  </r>
  <r>
    <s v="JMN SDW  450 G 28 U "/>
    <s v="MPPA154"/>
    <x v="60"/>
    <n v="80.558270914344391"/>
  </r>
  <r>
    <s v="JMN SDW  INST  500 G 28 U "/>
    <s v="MPPA154"/>
    <x v="60"/>
    <n v="16.762929133761137"/>
  </r>
  <r>
    <s v="MDELA FAIZAN  225 G 14 U SC"/>
    <s v="MPPA154"/>
    <x v="60"/>
    <n v="276.61270695040781"/>
  </r>
  <r>
    <s v="MDELA VIANDÉ X 225 G - 14 UND S"/>
    <s v="MPPA154"/>
    <x v="60"/>
    <n v="2646.5593010802727"/>
  </r>
  <r>
    <s v="MNESA APANADA 1800 G 15 UND"/>
    <s v="MPPA154"/>
    <x v="60"/>
    <n v="306.06682577565635"/>
  </r>
  <r>
    <s v="MNESA APANADA 600 G 5 UNDS"/>
    <s v="MPPA154"/>
    <x v="60"/>
    <n v="40.387165208167595"/>
  </r>
  <r>
    <s v="SCHA CLÁSICA   225 G 9 UND"/>
    <s v="MPPA154"/>
    <x v="60"/>
    <n v="254.64664941554386"/>
  </r>
  <r>
    <s v="SCHA CLÁSICA   450 G 18 UND"/>
    <s v="MPPA154"/>
    <x v="60"/>
    <n v="60.289699889949745"/>
  </r>
  <r>
    <s v="SCHA MANGUERA 560 G - 6 UND"/>
    <s v="MPPA154"/>
    <x v="60"/>
    <n v="547.92417115860167"/>
  </r>
  <r>
    <s v="SCHA MINI PERRO X 1 KG"/>
    <s v="MPPA154"/>
    <x v="60"/>
    <n v="292.93225314544281"/>
  </r>
  <r>
    <s v="SCHA PERRO X 480 G"/>
    <s v="MPPA154"/>
    <x v="60"/>
    <n v="16.749204015437876"/>
  </r>
  <r>
    <s v="SCHA SÚPER PERRO X 2.5 KG"/>
    <s v="MPPA154"/>
    <x v="60"/>
    <n v="866.01133501885022"/>
  </r>
  <r>
    <s v="SCHON CERV PREM X 50 G"/>
    <s v="MPPA154"/>
    <x v="60"/>
    <n v="18.083541991503896"/>
  </r>
  <r>
    <s v="SCHON CERV VIANDÉ X 225 G"/>
    <s v="MPPA154"/>
    <x v="60"/>
    <n v="1634.0434058433832"/>
  </r>
  <r>
    <s v="CERVECERO FAIZAN 1500 G"/>
    <s v="MPPA154"/>
    <x v="62"/>
    <n v="1771.2009785640769"/>
  </r>
  <r>
    <s v="CERVECERO FAIZAN 500 G"/>
    <s v="MPPA154"/>
    <x v="62"/>
    <n v="651.30201729393229"/>
  </r>
  <r>
    <s v="CERVECERO FAIZAN X 1300 G"/>
    <s v="MPPA154"/>
    <x v="62"/>
    <n v="659.33738084938182"/>
  </r>
  <r>
    <s v="CERVECERO FAIZAN X 750 G"/>
    <s v="MPPA154"/>
    <x v="62"/>
    <n v="428.77813744648483"/>
  </r>
  <r>
    <s v="CHORIZO SANTARROSANO"/>
    <s v="MPNC"/>
    <x v="63"/>
    <n v="8.9996400143994215"/>
  </r>
  <r>
    <s v="CH CERDO X 250"/>
    <s v="MPLR191"/>
    <x v="64"/>
    <n v="2.935779510986487"/>
  </r>
  <r>
    <s v="CH CERDO X 500"/>
    <s v="MPLR191"/>
    <x v="64"/>
    <n v="10.628151246511571"/>
  </r>
  <r>
    <s v="HSA 2700 G - 30 UNDS"/>
    <s v="MPLR191"/>
    <x v="64"/>
    <n v="39.520026834586126"/>
  </r>
  <r>
    <s v="HSA 450 G - 5 UNDS"/>
    <s v="MPLR191"/>
    <x v="64"/>
    <n v="14.100355253327642"/>
  </r>
  <r>
    <s v="HSA 900 G - 10 UNDS"/>
    <s v="MPLR191"/>
    <x v="64"/>
    <n v="35.311875829051488"/>
  </r>
  <r>
    <s v="LOS PERRITOS"/>
    <s v="MPLR191"/>
    <x v="64"/>
    <n v="66.81"/>
  </r>
  <r>
    <s v="SCHA CLÁSICA   225 G 9 UND"/>
    <s v="MPLR191"/>
    <x v="64"/>
    <n v="50.929329883108771"/>
  </r>
  <r>
    <s v="SCHA CLÁSICA   450 G 18 UND"/>
    <s v="MPLR191"/>
    <x v="64"/>
    <n v="12.057939977989948"/>
  </r>
  <r>
    <s v="SCHA MANGUERA 560 G - 6 UND"/>
    <s v="MPLR191"/>
    <x v="64"/>
    <n v="47.943364976377651"/>
  </r>
  <r>
    <s v="SCHA MINI PERRO X 1 KG"/>
    <s v="MPLR191"/>
    <x v="64"/>
    <n v="53.704246409997857"/>
  </r>
  <r>
    <s v="SCHA PERRO X 480 G"/>
    <s v="MPLR191"/>
    <x v="64"/>
    <n v="3.0706874028302775"/>
  </r>
  <r>
    <s v="SCHA SÚPER PERRO X 2.5 KG"/>
    <s v="MPLR191"/>
    <x v="64"/>
    <n v="158.76874475345588"/>
  </r>
  <r>
    <s v="SCHA VIANDÉ   225 G 8 UNDS"/>
    <s v="MPLR191"/>
    <x v="64"/>
    <n v="554.49253579198512"/>
  </r>
  <r>
    <s v="SCHA DESAYUNO 115 G - 5 UNDS"/>
    <s v="MPPS102"/>
    <x v="65"/>
    <n v="0.88101844830907572"/>
  </r>
  <r>
    <s v="SCHA DESAYUNO 480 G -14 UND"/>
    <s v="MPPS102"/>
    <x v="65"/>
    <n v="2.0116485435221869"/>
  </r>
  <r>
    <s v="LOS PERRITOS"/>
    <s v="-"/>
    <x v="66"/>
    <n v="2304.9449999999997"/>
  </r>
  <r>
    <s v="SALCHICHA JUMBO"/>
    <s v="-"/>
    <x v="66"/>
    <n v="123.86"/>
  </r>
  <r>
    <s v="HSA 450 G - 5 UNDS"/>
    <s v="-"/>
    <x v="67"/>
    <n v="235.00592088879404"/>
  </r>
  <r>
    <s v="HSA 900 G - 10 UNDS"/>
    <s v="-"/>
    <x v="67"/>
    <n v="588.53126381752486"/>
  </r>
  <r>
    <s v="CHORIZO SANTARROSANO"/>
    <s v="-"/>
    <x v="67"/>
    <n v="764.96940122395119"/>
  </r>
  <r>
    <s v="MNESA APANADA 1800 G 15 UND"/>
    <s v="MPCP041"/>
    <x v="68"/>
    <n v="624.60587470167081"/>
  </r>
  <r>
    <s v="HSA 2700 G - 30 UNDS"/>
    <s v="-"/>
    <x v="69"/>
    <n v="658.66711390976877"/>
  </r>
  <r>
    <s v="SCHA DESAYUNO 115 G - 5 UNDS"/>
    <s v="-"/>
    <x v="69"/>
    <n v="135.08949540739167"/>
  </r>
  <r>
    <s v="SCHA DESAYUNO 480 G -14 UND"/>
    <s v="-"/>
    <x v="69"/>
    <n v="308.45277667340207"/>
  </r>
  <r>
    <s v="SCHA MANGUERA 560 G - 6 UND"/>
    <s v="-"/>
    <x v="70"/>
    <n v="547.92417115860167"/>
  </r>
  <r>
    <s v="SCHA MINI PERRO X 1 KG"/>
    <s v="MPRE001"/>
    <x v="70"/>
    <n v="414.98735862271064"/>
  </r>
  <r>
    <s v="SCHA PERRO X 480 G"/>
    <s v="MPRE001"/>
    <x v="70"/>
    <n v="23.72803902187032"/>
  </r>
  <r>
    <s v="SCHA SÚPER PERRO X 2.5 KG"/>
    <s v="MPRE001"/>
    <x v="70"/>
    <n v="1226.8493912767042"/>
  </r>
  <r>
    <s v="SCHON AUTENTICO X 225 G"/>
    <s v="MPRE001"/>
    <x v="70"/>
    <n v="385.28459938966733"/>
  </r>
  <r>
    <s v="SCHON AUTENTICO X 750 G"/>
    <s v="MPRE001"/>
    <x v="70"/>
    <n v="163.5418566103782"/>
  </r>
  <r>
    <s v="SCHON CERV VIANDÉ X 225 G"/>
    <s v="MPRE001"/>
    <x v="70"/>
    <n v="6536.1736233735328"/>
  </r>
  <r>
    <s v="SCHON POLLO BRAKEL X 225"/>
    <s v="MPRE001"/>
    <x v="70"/>
    <n v="5369.3734998826367"/>
  </r>
  <r>
    <s v="SCHON POLLO BRAKEL X 500"/>
    <s v="MPRE001"/>
    <x v="70"/>
    <n v="6265.4761771775793"/>
  </r>
  <r>
    <s v="SCHON POLLO X 225 G"/>
    <s v="MPRE001"/>
    <x v="70"/>
    <n v="385.33567349755532"/>
  </r>
  <r>
    <s v="SCHON TRAD VIANDÉ X 500 "/>
    <s v="MPRE001"/>
    <x v="70"/>
    <n v="7018.3421556627745"/>
  </r>
  <r>
    <s v="LOS PERRITOS"/>
    <s v="MPPS166"/>
    <x v="71"/>
    <n v="20.042799572004281"/>
  </r>
  <r>
    <s v="SALCHICHA JUMBO"/>
    <s v="MPPS166"/>
    <x v="71"/>
    <n v="2.2520000000000007"/>
  </r>
  <r>
    <s v="CH CERDO X 250"/>
    <s v="MPPK174"/>
    <x v="72"/>
    <n v="0.65239544688588591"/>
  </r>
  <r>
    <s v="CH CERDO X 500"/>
    <s v="MPPK174"/>
    <x v="72"/>
    <n v="2.3618113881136824"/>
  </r>
  <r>
    <s v="MDELA FAIZAN  225 G 14 U SC"/>
    <s v="MPPC110"/>
    <x v="73"/>
    <n v="51.623770843297947"/>
  </r>
  <r>
    <s v="MDELA VIANDÉ X 225 G - 14 UND S"/>
    <s v="MPPC110"/>
    <x v="73"/>
    <n v="493.9229740687997"/>
  </r>
  <r>
    <s v="MNESA APANADA 1800 G 15 UND"/>
    <s v="MPPC119"/>
    <x v="74"/>
    <n v="38.258353221957044"/>
  </r>
  <r>
    <s v="MNESA APANADA 600 G 5 UNDS"/>
    <s v="MPPC119"/>
    <x v="74"/>
    <n v="5.0483956510209493"/>
  </r>
  <r>
    <s v="SCHON POLLO BRAKEL X 225"/>
    <s v="MPPC119"/>
    <x v="74"/>
    <n v="111.72882683668182"/>
  </r>
  <r>
    <s v="SCHON POLLO BRAKEL X 500"/>
    <s v="MPPC119"/>
    <x v="74"/>
    <n v="130.37541584032667"/>
  </r>
  <r>
    <s v="SCHON POLLO X 225 G"/>
    <s v="MPPC119"/>
    <x v="74"/>
    <n v="8.0182730329982768"/>
  </r>
  <r>
    <s v="CERVECERO FAIZAN 1500 G"/>
    <s v="MPPS151"/>
    <x v="75"/>
    <n v="74.169040977370713"/>
  </r>
  <r>
    <s v="CERVECERO FAIZAN 500 G"/>
    <s v="MPPS151"/>
    <x v="75"/>
    <n v="27.273271974183412"/>
  </r>
  <r>
    <s v="CERVECERO FAIZAN X 1300 G"/>
    <s v="MPPS151"/>
    <x v="75"/>
    <n v="27.609752823067858"/>
  </r>
  <r>
    <s v="CERVECERO FAIZAN X 750 G"/>
    <s v="MPPS151"/>
    <x v="75"/>
    <n v="17.955084505571552"/>
  </r>
  <r>
    <s v="CH CERDO X 250"/>
    <s v="MPPS151"/>
    <x v="75"/>
    <n v="1.0873257448098097"/>
  </r>
  <r>
    <s v="CH CERDO X 500"/>
    <s v="MPPS151"/>
    <x v="75"/>
    <n v="3.9363523135228036"/>
  </r>
  <r>
    <s v="CH TERNERA X 1020 G"/>
    <s v="MPPS151"/>
    <x v="75"/>
    <n v="11.693366612057311"/>
  </r>
  <r>
    <s v="CH TERNERA X 120 G"/>
    <s v="MPPS151"/>
    <x v="75"/>
    <n v="1.5833049291361097"/>
  </r>
  <r>
    <s v="CH TERNERA X 480 G"/>
    <s v="MPPS151"/>
    <x v="75"/>
    <n v="5.48714114503733"/>
  </r>
  <r>
    <s v="JMN PREM VIANDÉ 300 G - 15 V2."/>
    <s v="MPPS151"/>
    <x v="75"/>
    <n v="85.425000000000011"/>
  </r>
  <r>
    <s v="JMN PREMIUM 200 G"/>
    <s v="MPPS151"/>
    <x v="75"/>
    <n v="3.4135470753533208"/>
  </r>
  <r>
    <s v="JMN PREMIUM 400 G"/>
    <s v="MPPS151"/>
    <x v="75"/>
    <n v="4.8686915366702799"/>
  </r>
  <r>
    <s v="JMN SDW  450 G 28 U "/>
    <s v="MPPS151"/>
    <x v="75"/>
    <n v="3.5982694341740507"/>
  </r>
  <r>
    <s v="JMN SDW  INST  500 G 28 U "/>
    <s v="MPPS151"/>
    <x v="75"/>
    <n v="0.74874416797466425"/>
  </r>
  <r>
    <s v="MDELA FAIZAN  225 G 14 U SC"/>
    <s v="MPPS151"/>
    <x v="75"/>
    <n v="15.679452703727645"/>
  </r>
  <r>
    <s v="MDELA VIANDÉ X 225 G - 14 UND S"/>
    <s v="MPPS151"/>
    <x v="75"/>
    <n v="150.0169744419525"/>
  </r>
  <r>
    <s v="SALCHICHA JUMBO"/>
    <s v="MPPS151"/>
    <x v="75"/>
    <n v="0.95710000000000006"/>
  </r>
  <r>
    <s v="SCHA CLÁSICA   225 G 9 UND"/>
    <s v="MPPS151"/>
    <x v="75"/>
    <n v="14.175330150798608"/>
  </r>
  <r>
    <s v="SCHA CLÁSICA   450 G 18 UND"/>
    <s v="MPPS151"/>
    <x v="75"/>
    <n v="3.3561266272072028"/>
  </r>
  <r>
    <s v="SCHA DESAYUNO 115 G - 5 UNDS"/>
    <s v="MPPS151"/>
    <x v="75"/>
    <n v="2.3787498104345057"/>
  </r>
  <r>
    <s v="SCHA DESAYUNO 480 G -14 UND"/>
    <s v="MPPS151"/>
    <x v="75"/>
    <n v="5.4314510675099061"/>
  </r>
  <r>
    <s v="SCHA MANGUERA 560 G - 6 UND"/>
    <s v="MPPS151"/>
    <x v="75"/>
    <n v="16.300744091968397"/>
  </r>
  <r>
    <s v="SCHA MINI PERRO X 1 KG"/>
    <s v="MPPS151"/>
    <x v="75"/>
    <n v="16.355384133953891"/>
  </r>
  <r>
    <s v="SCHA PERRO X 480 G"/>
    <s v="MPPS151"/>
    <x v="75"/>
    <n v="0.93516389086194784"/>
  </r>
  <r>
    <s v="SCHA SÚPER PERRO X 2.5 KG"/>
    <s v="MPPS151"/>
    <x v="75"/>
    <n v="48.352299538552458"/>
  </r>
  <r>
    <s v="SCHA VIANDÉ   225 G 8 UNDS"/>
    <s v="MPPS151"/>
    <x v="75"/>
    <n v="157.07933099445131"/>
  </r>
  <r>
    <s v="SCHON AUTENTICO X 225 G"/>
    <s v="MPPS151"/>
    <x v="75"/>
    <n v="9.9426557567909732"/>
  </r>
  <r>
    <s v="SCHON AUTENTICO X 750 G"/>
    <s v="MPPS151"/>
    <x v="75"/>
    <n v="4.2203617395537885"/>
  </r>
  <r>
    <s v="SCHON CERV PREM X 50 G"/>
    <s v="MPPS151"/>
    <x v="75"/>
    <n v="2.1493581338473202"/>
  </r>
  <r>
    <s v="SCHON CERV VIANDÉ X 225 G"/>
    <s v="MPPS151"/>
    <x v="75"/>
    <n v="135.82985811073124"/>
  </r>
  <r>
    <s v="SCHON POLLO BRAKEL X 225"/>
    <s v="MPPS151"/>
    <x v="75"/>
    <n v="135.47441173190964"/>
  </r>
  <r>
    <s v="SCHON POLLO BRAKEL X 500"/>
    <s v="MPPS151"/>
    <x v="75"/>
    <n v="158.08393648569614"/>
  </r>
  <r>
    <s v="SCHON POLLO X 225 G"/>
    <s v="MPPS151"/>
    <x v="75"/>
    <n v="9.7223863617499457"/>
  </r>
  <r>
    <s v="SCHON TRAD VIANDÉ X 500 "/>
    <s v="MPPS151"/>
    <x v="75"/>
    <n v="181.11536289711523"/>
  </r>
  <r>
    <s v="CHORIZO SANTARROSANO"/>
    <s v="MPPS151"/>
    <x v="75"/>
    <n v="3.0238790448382074"/>
  </r>
  <r>
    <s v="CERVECERO FAIZAN 1500 G"/>
    <s v="MPPS165"/>
    <x v="76"/>
    <n v="553.50030580127395"/>
  </r>
  <r>
    <s v="CERVECERO FAIZAN 500 G"/>
    <s v="MPPS165"/>
    <x v="76"/>
    <n v="203.53188040435381"/>
  </r>
  <r>
    <s v="CERVECERO FAIZAN X 1300 G"/>
    <s v="MPPS165"/>
    <x v="76"/>
    <n v="206.04293151543177"/>
  </r>
  <r>
    <s v="LOS PERRITOS"/>
    <s v="MPPS150"/>
    <x v="77"/>
    <n v="28.393966060339398"/>
  </r>
  <r>
    <s v="CERVECERO FAIZAN X 750 G"/>
    <s v="MPPS165"/>
    <x v="76"/>
    <n v="133.99316795202648"/>
  </r>
  <r>
    <s v="CH CERDO X 250"/>
    <s v="MPPS165"/>
    <x v="76"/>
    <n v="6.3064893198968939"/>
  </r>
  <r>
    <s v="CH CERDO X 500"/>
    <s v="MPPS165"/>
    <x v="76"/>
    <n v="22.830843418432256"/>
  </r>
  <r>
    <s v="CH TERNERA X 1020 G"/>
    <s v="MPPS165"/>
    <x v="76"/>
    <n v="96.860053436541378"/>
  </r>
  <r>
    <s v="CH TERNERA X 120 G"/>
    <s v="MPPS165"/>
    <x v="76"/>
    <n v="13.115042496344108"/>
  </r>
  <r>
    <s v="CH TERNERA X 480 G"/>
    <s v="MPPS165"/>
    <x v="76"/>
    <n v="45.451819151392549"/>
  </r>
  <r>
    <s v="CHORIZO SANTARROSANO"/>
    <s v="MPPS165"/>
    <x v="76"/>
    <n v="22.895084196632137"/>
  </r>
  <r>
    <s v="SALCHICHA JUMBO"/>
    <s v="MPPS165"/>
    <x v="76"/>
    <n v="10.978500000000002"/>
  </r>
  <r>
    <s v="SCHA DESAYUNO 115 G - 5 UNDS"/>
    <s v="MPPS165"/>
    <x v="76"/>
    <n v="21.144442759417824"/>
  </r>
  <r>
    <s v="JMN PREM VIANDÉ 300 G - 15 V2."/>
    <s v="MPPS150"/>
    <x v="77"/>
    <n v="477.37499999999989"/>
  </r>
  <r>
    <s v="JMN PREMIUM 200 G"/>
    <s v="MPPS150"/>
    <x v="77"/>
    <n v="19.505983287733269"/>
  </r>
  <r>
    <s v="JMN PREMIUM 400 G"/>
    <s v="MPPS150"/>
    <x v="77"/>
    <n v="27.821094495258752"/>
  </r>
  <r>
    <s v="JMN SDW  450 G 28 U "/>
    <s v="MPPS150"/>
    <x v="77"/>
    <n v="28.86671374430674"/>
  </r>
  <r>
    <s v="JMN SDW  INST  500 G 28 U "/>
    <s v="MPPS150"/>
    <x v="77"/>
    <n v="6.0067162729310741"/>
  </r>
  <r>
    <s v="MDELA FAIZAN  225 G 14 U SC"/>
    <s v="MPPS150"/>
    <x v="77"/>
    <n v="55.311183046390653"/>
  </r>
  <r>
    <s v="MDELA VIANDÉ X 225 G - 14 UND S"/>
    <s v="MPPS150"/>
    <x v="77"/>
    <n v="529.20318650228546"/>
  </r>
  <r>
    <s v="MNESA APANADA 1800 G 15 UND"/>
    <s v="MPPS150"/>
    <x v="77"/>
    <n v="145.38174224343678"/>
  </r>
  <r>
    <s v="MNESA APANADA 600 G 5 UNDS"/>
    <s v="MPPS150"/>
    <x v="77"/>
    <n v="19.183903473879607"/>
  </r>
  <r>
    <s v="SCHA CLÁSICA   225 G 9 UND"/>
    <s v="MPPS150"/>
    <x v="77"/>
    <n v="67.905773177478338"/>
  </r>
  <r>
    <s v="SCHA CLÁSICA   450 G 18 UND"/>
    <s v="MPPS150"/>
    <x v="77"/>
    <n v="16.077253303986595"/>
  </r>
  <r>
    <s v="SCHA DESAYUNO 480 G -14 UND"/>
    <s v="MPPS165"/>
    <x v="76"/>
    <n v="48.279565044532504"/>
  </r>
  <r>
    <s v="SCHA MANGUERA 560 G - 6 UND"/>
    <s v="MPPS165"/>
    <x v="76"/>
    <n v="154.1036731383567"/>
  </r>
  <r>
    <s v="SCHA MINI PERRO X 1 KG"/>
    <s v="MPPS165"/>
    <x v="76"/>
    <n v="163.55384133953896"/>
  </r>
  <r>
    <s v="SCHA PERRO X 480 G"/>
    <s v="MPPS165"/>
    <x v="76"/>
    <n v="9.3516389086194831"/>
  </r>
  <r>
    <s v="SCHA SÚPER PERRO X 2.5 KG"/>
    <s v="MPPS165"/>
    <x v="76"/>
    <n v="483.52299538552472"/>
  </r>
  <r>
    <s v="SCHON CERV PREM X 50 G"/>
    <s v="MPPS165"/>
    <x v="76"/>
    <n v="2.6608640358927165"/>
  </r>
  <r>
    <s v="SCHA VIANDÉ   225 G 8 UNDS"/>
    <s v="MPPS150"/>
    <x v="77"/>
    <n v="891.80882839877552"/>
  </r>
  <r>
    <s v="SCHON AUTENTICO X 225 G"/>
    <s v="MPPS150"/>
    <x v="77"/>
    <n v="79.001706895756868"/>
  </r>
  <r>
    <s v="SCHON AUTENTICO X 750 G"/>
    <s v="MPPS150"/>
    <x v="77"/>
    <n v="33.533875585963777"/>
  </r>
  <r>
    <s v="SCHON CERV VIANDÉ X 225 G"/>
    <s v="MPPS165"/>
    <x v="76"/>
    <n v="1062.1282137981991"/>
  </r>
  <r>
    <s v="SCHON POLLO BRAKEL X 225"/>
    <s v="MPPS150"/>
    <x v="77"/>
    <n v="1100.9774907264268"/>
  </r>
  <r>
    <s v="SCHON POLLO BRAKEL X 500"/>
    <s v="MPPS150"/>
    <x v="77"/>
    <n v="1284.7212509813216"/>
  </r>
  <r>
    <s v="SCHON POLLO X 225 G"/>
    <s v="MPPS150"/>
    <x v="77"/>
    <n v="79.012179522245816"/>
  </r>
  <r>
    <s v="SCHON TRAD VIANDÉ X 500 "/>
    <s v="MPPS150"/>
    <x v="77"/>
    <n v="1439.0946608147108"/>
  </r>
  <r>
    <s v="GRANULOS"/>
    <s v="MPPS150"/>
    <x v="77"/>
    <n v="44.205098656265456"/>
  </r>
  <r>
    <s v="SCHA VIANDÉ   225 G 8 UNDS"/>
    <s v="MPPA158"/>
    <x v="78"/>
    <n v="140.44807638336113"/>
  </r>
  <r>
    <s v="SCHON AUTENTICO X 225 G"/>
    <s v="MPPA158"/>
    <x v="78"/>
    <n v="6.2030967228944354"/>
  </r>
  <r>
    <s v="SCHON AUTENTICO X 750 G"/>
    <s v="MPPA158"/>
    <x v="78"/>
    <n v="2.6330301195607948"/>
  </r>
  <r>
    <s v="SCHON POLLO BRAKEL X 225"/>
    <s v="MPPA158"/>
    <x v="78"/>
    <n v="86.442761072551164"/>
  </r>
  <r>
    <s v="SCHON POLLO BRAKEL X 500"/>
    <s v="MPPA158"/>
    <x v="78"/>
    <n v="100.86932119759615"/>
  </r>
  <r>
    <s v="SCHON POLLO X 225 G"/>
    <s v="MPPA158"/>
    <x v="78"/>
    <n v="6.2036063532566388"/>
  </r>
  <r>
    <s v="SCHON TRAD VIANDÉ X 500 "/>
    <s v="MPPA158"/>
    <x v="78"/>
    <n v="112.99557598437237"/>
  </r>
  <r>
    <s v="JMN PREM VIANDÉ 300 G - 15 V2."/>
    <s v="MPPC077"/>
    <x v="79"/>
    <n v="200.99999999999974"/>
  </r>
  <r>
    <s v="JMN PREMIUM 200 G"/>
    <s v="MPPC077"/>
    <x v="79"/>
    <n v="8.5338676883833031"/>
  </r>
  <r>
    <s v="JMN PREMIUM 400 G"/>
    <s v="MPPC077"/>
    <x v="79"/>
    <n v="12.171728841675701"/>
  </r>
  <r>
    <s v="JMN SDW  450 G 28 U "/>
    <s v="MPPC077"/>
    <x v="79"/>
    <n v="9.9355200794358076"/>
  </r>
  <r>
    <s v="JMN SDW  INST  500 G 28 U "/>
    <s v="MPPC077"/>
    <x v="79"/>
    <n v="2.0674279264972064"/>
  </r>
  <r>
    <s v="CHORIZO SANTARROSANO"/>
    <s v="MPCC026"/>
    <x v="80"/>
    <n v="224.99100035998563"/>
  </r>
  <r>
    <s v="CH CERDO X 250"/>
    <s v="MPCC026"/>
    <x v="80"/>
    <n v="195.71863406576571"/>
  </r>
  <r>
    <s v="CH CERDO X 500"/>
    <s v="MPCC026"/>
    <x v="80"/>
    <n v="708.54341643410464"/>
  </r>
  <r>
    <s v="CH TERNERA X 1020 G"/>
    <s v="MPCC026"/>
    <x v="80"/>
    <n v="1703.3337364896818"/>
  </r>
  <r>
    <s v="CH TERNERA X 120 G"/>
    <s v="MPCC026"/>
    <x v="80"/>
    <n v="230.63475134416001"/>
  </r>
  <r>
    <s v="CH TERNERA X 480 G"/>
    <s v="MPCC026"/>
    <x v="80"/>
    <n v="799.29356012710457"/>
  </r>
  <r>
    <s v="MDELA FAIZAN  225 G 14 U SC"/>
    <s v="MPCC026"/>
    <x v="80"/>
    <n v="368.77578918137368"/>
  </r>
  <r>
    <s v="MDELA VIANDÉ X 225 G - 14 UND S"/>
    <s v="MPCC026"/>
    <x v="80"/>
    <n v="3528.3519894339529"/>
  </r>
  <r>
    <s v="SCHA DESAYUNO 115 G - 5 UNDS"/>
    <s v="MPCC026"/>
    <x v="80"/>
    <n v="73.418204025756339"/>
  </r>
  <r>
    <s v="SCHA DESAYUNO 480 G -14 UND"/>
    <s v="MPCC026"/>
    <x v="80"/>
    <n v="167.63737862684894"/>
  </r>
  <r>
    <s v="SCHON CERV PREM X 50 G"/>
    <s v="MPCC026"/>
    <x v="80"/>
    <n v="186.00214619832582"/>
  </r>
  <r>
    <s v="SALCHICHA JUMBO"/>
    <s v="MPCC026"/>
    <x v="80"/>
    <n v="39.410000000000004"/>
  </r>
  <r>
    <s v="SCHA CLÁSICA   225 G 9 UND"/>
    <s v="MPCC026"/>
    <x v="80"/>
    <n v="742.71939412866959"/>
  </r>
  <r>
    <s v="SCHA CLÁSICA   450 G 18 UND"/>
    <s v="MPCC026"/>
    <x v="80"/>
    <n v="175.84495801235337"/>
  </r>
  <r>
    <s v="SCHA MINI PERRO X 1 KG"/>
    <s v="MPCC026"/>
    <x v="80"/>
    <n v="732.33063286360721"/>
  </r>
  <r>
    <s v="SCHA PERRO X 480 G"/>
    <s v="MPCC026"/>
    <x v="80"/>
    <n v="41.873010038594693"/>
  </r>
  <r>
    <s v="SCHA SÚPER PERRO X 2.5 KG"/>
    <s v="MPCC026"/>
    <x v="80"/>
    <n v="2165.0283375471258"/>
  </r>
  <r>
    <s v="SCHA VIANDÉ   225 G 8 UNDS"/>
    <s v="MPCC026"/>
    <x v="80"/>
    <n v="1406.3287648386552"/>
  </r>
  <r>
    <s v="SCHON POLLO X 225 G"/>
    <s v="MPCC026"/>
    <x v="80"/>
    <n v="62.153112709042915"/>
  </r>
  <r>
    <s v="SCHON TRAD VIANDÉ X 500 "/>
    <s v="MPCC026"/>
    <x v="80"/>
    <n v="1131.0217558435768"/>
  </r>
  <r>
    <s v="CERVECERO FAIZAN 1500 G"/>
    <s v="MPCC026"/>
    <x v="80"/>
    <n v="1948.3210764204841"/>
  </r>
  <r>
    <s v="CERVECERO FAIZAN 500 G"/>
    <s v="MPCC026"/>
    <x v="80"/>
    <n v="716.43221902332539"/>
  </r>
  <r>
    <s v="CERVECERO FAIZAN X 1300 G"/>
    <s v="MPCC026"/>
    <x v="80"/>
    <n v="725.27111893431982"/>
  </r>
  <r>
    <s v="CERVECERO FAIZAN X 750 G"/>
    <s v="MPCC026"/>
    <x v="80"/>
    <n v="471.655951191133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s v="HSA 2700 G - 30 UNDS"/>
    <s v="MPES513"/>
    <x v="0"/>
    <n v="3"/>
    <n v="58"/>
    <n v="174"/>
    <n v="58"/>
    <n v="174"/>
    <n v="0"/>
    <n v="42090"/>
  </r>
  <r>
    <s v="MNESA APANADA 1800 G 15 UND"/>
    <s v="MPES138"/>
    <x v="1"/>
    <n v="1"/>
    <n v="577"/>
    <n v="577"/>
    <n v="577"/>
    <n v="577"/>
    <n v="0"/>
    <n v="137430"/>
  </r>
  <r>
    <s v="MNESA APANADA 600 G 5 UNDS"/>
    <s v="MPES138"/>
    <x v="1"/>
    <n v="1"/>
    <n v="577"/>
    <n v="577"/>
    <n v="577"/>
    <n v="577"/>
    <n v="0"/>
    <n v="56895"/>
  </r>
  <r>
    <s v="HSA 900 G - 10 UNDS"/>
    <s v="MPES137"/>
    <x v="2"/>
    <n v="1"/>
    <n v="437"/>
    <n v="437"/>
    <n v="437"/>
    <n v="437"/>
    <n v="0"/>
    <n v="26870"/>
  </r>
  <r>
    <s v="HSA 900 G - 10 UNDS INST"/>
    <s v="MPES137"/>
    <x v="2"/>
    <n v="1"/>
    <n v="437"/>
    <n v="437"/>
    <n v="437"/>
    <n v="437"/>
    <n v="0"/>
    <n v="120090"/>
  </r>
  <r>
    <s v="HSA 450 G - 5 UNDS"/>
    <s v="MPES143"/>
    <x v="3"/>
    <n v="1"/>
    <n v="437"/>
    <n v="437"/>
    <n v="437"/>
    <n v="437"/>
    <n v="0"/>
    <n v="14035"/>
  </r>
  <r>
    <s v="HSA 2700 G - 30 UNDS"/>
    <s v="MPES959"/>
    <x v="4"/>
    <n v="1"/>
    <n v="1022"/>
    <n v="1022"/>
    <n v="1022"/>
    <n v="1022"/>
    <n v="0"/>
    <n v="4209"/>
  </r>
  <r>
    <s v="JMN PREM VIANDÉ 300 G - 15"/>
    <s v="MPES969"/>
    <x v="5"/>
    <n v="3.125E-2"/>
    <n v="1624"/>
    <n v="50.75"/>
    <n v="1624"/>
    <n v="50.75"/>
    <n v="0"/>
    <n v="4687.5"/>
  </r>
  <r>
    <s v="SCHON POLLO BRAKEL X 500"/>
    <s v="MPES968"/>
    <x v="6"/>
    <n v="4.5999999999999999E-2"/>
    <n v="1624"/>
    <n v="74.703999999999994"/>
    <n v="1624"/>
    <n v="74.703999999999994"/>
    <n v="0"/>
    <n v="8280"/>
  </r>
  <r>
    <s v="JMN PREM VIANDÉ 300 G - 15"/>
    <s v="MPEP969"/>
    <x v="7"/>
    <n v="3.7100000000000001E-2"/>
    <n v="28"/>
    <n v="1.0387999999999999"/>
    <n v="52"/>
    <n v="1.9292"/>
    <n v="-46.153846153846153"/>
    <n v="5565"/>
  </r>
  <r>
    <s v="JMN PREM VIANDÉ 300 G - 15"/>
    <s v="MPEP424"/>
    <x v="8"/>
    <n v="2.8799999999999999E-2"/>
    <n v="4688.88"/>
    <n v="135.03974400000001"/>
    <n v="4053"/>
    <n v="116.7264"/>
    <n v="15.689119170984455"/>
    <n v="4320"/>
  </r>
  <r>
    <s v="JMN PREM VIANDÉ 300 G - 15"/>
    <s v="MPES186"/>
    <x v="9"/>
    <n v="0.14000000000000001"/>
    <n v="1700.46"/>
    <n v="238.06440000000003"/>
    <n v="1464"/>
    <n v="204.96"/>
    <n v="16.151639344262293"/>
    <n v="21000.000000000004"/>
  </r>
  <r>
    <s v="JMN PREMIUM 200 G"/>
    <s v="MPEP969"/>
    <x v="7"/>
    <n v="9.0999999999999998E-2"/>
    <n v="28"/>
    <n v="2.548"/>
    <n v="57"/>
    <n v="5.1870000000000003"/>
    <n v="-50.877192982456144"/>
    <n v="1038.037"/>
  </r>
  <r>
    <s v="JMN PREMIUM 400 G"/>
    <s v="MPEP969"/>
    <x v="7"/>
    <n v="9.0999999999999998E-2"/>
    <n v="28"/>
    <n v="2.548"/>
    <n v="57"/>
    <n v="5.1870000000000003"/>
    <n v="-50.877192982456144"/>
    <n v="732.82299999999998"/>
  </r>
  <r>
    <s v="JMN SDW  500 G 28 U "/>
    <s v="MPEP969"/>
    <x v="7"/>
    <n v="0.08"/>
    <n v="28"/>
    <n v="2.2400000000000002"/>
    <n v="57"/>
    <n v="4.5600000000000005"/>
    <n v="-50.877192982456144"/>
    <n v="423.92"/>
  </r>
  <r>
    <s v="JMN SDW  INST  500 G 28 U "/>
    <s v="MPEP969"/>
    <x v="7"/>
    <n v="0.08"/>
    <n v="28"/>
    <n v="2.2400000000000002"/>
    <n v="57"/>
    <n v="4.5600000000000005"/>
    <n v="-50.877192982456144"/>
    <n v="795.68000000000006"/>
  </r>
  <r>
    <s v="MDELA FAIZAN  225 G 14 U SC"/>
    <s v="MPEP969"/>
    <x v="7"/>
    <n v="0.1"/>
    <n v="28.02"/>
    <n v="2.802"/>
    <n v="55"/>
    <n v="5.5"/>
    <n v="-49.054545454545448"/>
    <n v="4406.9000000000005"/>
  </r>
  <r>
    <s v="JMN PREM VIANDÉ 300 G - 15"/>
    <s v="MPES200"/>
    <x v="10"/>
    <n v="0.14000000000000001"/>
    <n v="1069"/>
    <n v="149.66000000000003"/>
    <n v="1004"/>
    <n v="140.56"/>
    <n v="6.4741035856573603"/>
    <n v="21000.000000000004"/>
  </r>
  <r>
    <s v="MNESA APANADA 1800 G 15 UND"/>
    <s v="MPEP969"/>
    <x v="7"/>
    <n v="0.2087"/>
    <n v="28.02"/>
    <n v="5.8477740000000002"/>
    <n v="52"/>
    <n v="10.852399999999999"/>
    <n v="-46.115384615384613"/>
    <n v="1912.1094000000001"/>
  </r>
  <r>
    <s v="MNESA APANADA 600 G 5 UNDS"/>
    <s v="MPEP969"/>
    <x v="7"/>
    <n v="0.2087"/>
    <n v="28.02"/>
    <n v="5.8477740000000002"/>
    <n v="57"/>
    <n v="11.895899999999999"/>
    <n v="-50.842105263157897"/>
    <n v="791.59910000000002"/>
  </r>
  <r>
    <s v="CH CERDO X 250"/>
    <s v="MPES114"/>
    <x v="11"/>
    <n v="1"/>
    <n v="250"/>
    <n v="250"/>
    <n v="114"/>
    <n v="114"/>
    <n v="119.2982456140351"/>
    <n v="209.72899999999998"/>
  </r>
  <r>
    <s v="CH CERDO X 500"/>
    <s v="MPES115"/>
    <x v="12"/>
    <n v="1"/>
    <n v="114"/>
    <n v="114"/>
    <n v="114"/>
    <n v="114"/>
    <n v="0"/>
    <n v="387.07499999999999"/>
  </r>
  <r>
    <s v="CH TERNERA X 120 G"/>
    <s v="MPES171"/>
    <x v="13"/>
    <n v="1"/>
    <n v="103"/>
    <n v="103"/>
    <n v="103"/>
    <n v="103"/>
    <n v="0"/>
    <n v="363.84000000000003"/>
  </r>
  <r>
    <s v="JMN SDW  500 G 28 U "/>
    <s v="MPES215"/>
    <x v="14"/>
    <n v="1"/>
    <n v="114"/>
    <n v="114"/>
    <n v="114"/>
    <n v="114"/>
    <n v="0"/>
    <n v="847.84"/>
  </r>
  <r>
    <s v="SCHA MANGUERA 560 G - 6 UND"/>
    <s v="MPES155"/>
    <x v="15"/>
    <n v="1"/>
    <n v="115"/>
    <n v="115"/>
    <n v="115"/>
    <n v="115"/>
    <n v="0"/>
    <n v="19007"/>
  </r>
  <r>
    <s v="SCHA CLÁSICA   450 G 18 UND"/>
    <s v="MPES719"/>
    <x v="16"/>
    <n v="1"/>
    <n v="103"/>
    <n v="103"/>
    <n v="103"/>
    <n v="103"/>
    <n v="0"/>
    <n v="783.52"/>
  </r>
  <r>
    <s v="SCHA DESAYUNO 115 G - 5 UNDS"/>
    <s v="MPES949"/>
    <x v="17"/>
    <n v="1"/>
    <n v="65"/>
    <n v="65"/>
    <n v="65"/>
    <n v="65"/>
    <n v="0"/>
    <n v="13821"/>
  </r>
  <r>
    <s v="SCHA PERRO X 480 G"/>
    <s v="MPES985"/>
    <x v="18"/>
    <n v="1"/>
    <n v="114"/>
    <n v="114"/>
    <n v="114"/>
    <n v="114"/>
    <n v="0"/>
    <n v="1282"/>
  </r>
  <r>
    <s v="SCHA DESAYUNO 480 G -14 UND"/>
    <s v="MPES219"/>
    <x v="19"/>
    <n v="1"/>
    <n v="114"/>
    <n v="114"/>
    <n v="114"/>
    <n v="114"/>
    <n v="0"/>
    <n v="557.25"/>
  </r>
  <r>
    <s v="MDELA VIANDÉ X 225 G 14 UND "/>
    <s v="MPEP969"/>
    <x v="7"/>
    <n v="0.1"/>
    <n v="28.02"/>
    <n v="2.802"/>
    <n v="55"/>
    <n v="5.2"/>
    <n v="-49.054545454545448"/>
    <n v="35000"/>
  </r>
  <r>
    <s v="JMN PREMIUM 200 G"/>
    <s v="MPEP424"/>
    <x v="8"/>
    <n v="5.7500000000000002E-2"/>
    <n v="6115"/>
    <n v="351.61250000000001"/>
    <n v="4053"/>
    <n v="233.04750000000001"/>
    <n v="50.875894399210466"/>
    <n v="655.90250000000003"/>
  </r>
  <r>
    <s v="JMN PREMIUM 400 G"/>
    <s v="MPEP424"/>
    <x v="8"/>
    <n v="5.7500000000000002E-2"/>
    <n v="4688.88"/>
    <n v="269.61060000000003"/>
    <n v="4053"/>
    <n v="233.04750000000001"/>
    <n v="15.689119170984455"/>
    <n v="463.04750000000001"/>
  </r>
  <r>
    <s v="JMN SDW  500 G 28 U "/>
    <s v="MPEP424"/>
    <x v="8"/>
    <n v="5.7500000000000002E-2"/>
    <n v="4688.88"/>
    <n v="269.61060000000003"/>
    <n v="4053"/>
    <n v="233.04750000000001"/>
    <n v="15.689119170984455"/>
    <n v="304.6925"/>
  </r>
  <r>
    <s v="JMN SDW  INST  500 G 28 U "/>
    <s v="MPEP424"/>
    <x v="8"/>
    <n v="5.7500000000000002E-2"/>
    <n v="4688.88"/>
    <n v="269.61060000000003"/>
    <n v="4053"/>
    <n v="233.04750000000001"/>
    <n v="15.689119170984455"/>
    <n v="571.89499999999998"/>
  </r>
  <r>
    <s v="MDELA VIANDÉ X 225 G 14 UND "/>
    <s v="MPEP968"/>
    <x v="20"/>
    <n v="3.5999999999999997E-2"/>
    <n v="4271.1400000000003"/>
    <n v="153.76104000000001"/>
    <n v="3800"/>
    <n v="160.63199999999998"/>
    <n v="12.398421052631576"/>
    <n v="12599.999999999998"/>
  </r>
  <r>
    <s v="MDELA FAIZAN  225 G 14 U SC"/>
    <s v="MPEP431"/>
    <x v="21"/>
    <n v="3.5999999999999997E-2"/>
    <n v="4271.1400000000003"/>
    <n v="153.76104000000001"/>
    <n v="3800"/>
    <n v="136.79999999999998"/>
    <n v="12.398421052631576"/>
    <n v="1586.4839999999999"/>
  </r>
  <r>
    <s v="SCHON CERV PREM X 50 G"/>
    <s v="MPEP963"/>
    <x v="22"/>
    <n v="0.03"/>
    <n v="2381"/>
    <n v="71.429999999999993"/>
    <n v="2510"/>
    <n v="75.3"/>
    <n v="-5.1394422310756909"/>
    <n v="1902.7"/>
  </r>
  <r>
    <s v="SCHA DESAYUNO 115 G - 5 UNDS"/>
    <s v="."/>
    <x v="23"/>
    <n v="0.57499999999999996"/>
    <n v="208.17"/>
    <n v="119.69774999999998"/>
    <n v="222"/>
    <n v="127.64999999999999"/>
    <n v="-6.2297297297297405"/>
    <n v="7947.0749999999998"/>
  </r>
  <r>
    <s v="SCHA CLÁSICA   225 G 9 UND"/>
    <s v="MPEP355"/>
    <x v="24"/>
    <n v="0.99"/>
    <n v="208.17"/>
    <n v="206.08829999999998"/>
    <n v="222"/>
    <n v="219.78"/>
    <n v="-6.2297297297297405"/>
    <n v="40477.14"/>
  </r>
  <r>
    <s v="SCHA CLÁSICA   450 G 18 UND"/>
    <s v="MPEP355"/>
    <x v="24"/>
    <n v="2.0339999999999998"/>
    <n v="208.17"/>
    <n v="423.41777999999994"/>
    <n v="222"/>
    <n v="451.54799999999994"/>
    <n v="-6.2297297297297405"/>
    <n v="9960.4979999999996"/>
  </r>
  <r>
    <s v="SCHA MINI PERRO X 1 KG"/>
    <s v="MPEP355"/>
    <x v="24"/>
    <n v="4.4000000000000004"/>
    <n v="208.17"/>
    <n v="915.94799999999998"/>
    <n v="222"/>
    <n v="976.80000000000007"/>
    <n v="-6.2297297297297405"/>
    <n v="46710.400000000001"/>
  </r>
  <r>
    <s v="MDELA VIANDÉ X 225 G 14 UND "/>
    <s v="MPES186"/>
    <x v="25"/>
    <n v="7.2999999999999995E-2"/>
    <n v="1700.46"/>
    <n v="124.13357999999999"/>
    <n v="1464"/>
    <n v="97.23599999999999"/>
    <n v="16.151639344262293"/>
    <n v="25550"/>
  </r>
  <r>
    <s v="SCHA DESAYUNO 480 G -14 UND"/>
    <s v="MPEP410"/>
    <x v="26"/>
    <n v="1.76"/>
    <n v="252.42"/>
    <n v="444.25919999999996"/>
    <n v="243"/>
    <n v="427.68"/>
    <n v="3.8765432098765302"/>
    <n v="13076.8"/>
  </r>
  <r>
    <s v="SCHA PERRO X 480 G"/>
    <s v="MPEP410"/>
    <x v="26"/>
    <n v="1.44"/>
    <n v="252.42"/>
    <n v="363.48479999999995"/>
    <n v="243"/>
    <n v="349.91999999999996"/>
    <n v="3.8765432098765302"/>
    <n v="1846.08"/>
  </r>
  <r>
    <s v="SCHA SÚPER PERRO X 2.5 KG"/>
    <s v="MPEP380"/>
    <x v="27"/>
    <n v="9"/>
    <n v="204"/>
    <n v="1836"/>
    <n v="192"/>
    <n v="1728"/>
    <n v="6.25"/>
    <n v="107199"/>
  </r>
  <r>
    <s v="CH TERNERA X 1020 G"/>
    <s v="MPEP354"/>
    <x v="28"/>
    <n v="1.87"/>
    <n v="624.61"/>
    <n v="1168.0207"/>
    <n v="598"/>
    <n v="1118.26"/>
    <n v="4.4498327759197309"/>
    <n v="13856.7"/>
  </r>
  <r>
    <s v="CH TERNERA X 120 G"/>
    <s v="MPEP354"/>
    <x v="28"/>
    <n v="0.18179999999999999"/>
    <n v="624.61"/>
    <n v="113.554098"/>
    <n v="598"/>
    <n v="108.71639999999999"/>
    <n v="4.4498327759197309"/>
    <n v="1653.6527999999998"/>
  </r>
  <r>
    <s v="CH TERNERA X 480 G"/>
    <s v="MPEP354"/>
    <x v="28"/>
    <n v="0.88"/>
    <n v="624.61"/>
    <n v="549.65679999999998"/>
    <n v="598"/>
    <n v="526.24"/>
    <n v="-4.2602584012423819"/>
    <n v="6675.68"/>
  </r>
  <r>
    <s v="CH CERDO X 250"/>
    <s v="MPEP418"/>
    <x v="29"/>
    <n v="0.45450000000000002"/>
    <n v="613.08000000000004"/>
    <n v="278.64486000000005"/>
    <n v="574"/>
    <n v="260.88299999999998"/>
    <n v="6.8083623693379991"/>
    <n v="1305.7785000000001"/>
  </r>
  <r>
    <s v="CH CERDO X 500"/>
    <s v="MPEP418"/>
    <x v="29"/>
    <n v="0.90900000000000003"/>
    <n v="613.08000000000004"/>
    <n v="557.2897200000001"/>
    <n v="574"/>
    <n v="521.76599999999996"/>
    <n v="6.8083623693380133"/>
    <n v="4691.3490000000002"/>
  </r>
  <r>
    <s v="SCHON AUTENTICO X 225 G"/>
    <s v="MPEP405"/>
    <x v="30"/>
    <n v="2"/>
    <n v="28"/>
    <n v="56"/>
    <n v="27"/>
    <n v="54"/>
    <n v="3.7037037037036953"/>
    <n v="55372"/>
  </r>
  <r>
    <s v="SCHON AUTENTICO X 750 G"/>
    <s v="MPEP405"/>
    <x v="30"/>
    <n v="2"/>
    <n v="28"/>
    <n v="56"/>
    <n v="27"/>
    <n v="44"/>
    <n v="3.7037037037036953"/>
    <n v="7124"/>
  </r>
  <r>
    <s v="CERVECERO FAIZAN 1500 G"/>
    <s v="MPEP434"/>
    <x v="31"/>
    <n v="2"/>
    <n v="28"/>
    <n v="56"/>
    <n v="27"/>
    <n v="54"/>
    <n v="3.7037037037036953"/>
    <n v="89012"/>
  </r>
  <r>
    <s v="CERVECERO FAIZAN 500 G"/>
    <s v="MPEP434"/>
    <x v="31"/>
    <n v="2"/>
    <n v="28"/>
    <n v="56"/>
    <n v="27"/>
    <n v="44"/>
    <n v="27.272727272727266"/>
    <n v="71102"/>
  </r>
  <r>
    <s v="CERVECERO FAIZAN 750 G"/>
    <s v="MPEP434"/>
    <x v="31"/>
    <n v="2"/>
    <n v="28"/>
    <n v="56"/>
    <n v="27"/>
    <n v="54"/>
    <n v="3.7037037037036953"/>
    <n v="89012"/>
  </r>
  <r>
    <s v="SCHON CERV PREM X 50 G"/>
    <s v="MPEP434"/>
    <x v="31"/>
    <n v="0.1"/>
    <n v="28"/>
    <n v="2.8000000000000003"/>
    <n v="22"/>
    <n v="2.2000000000000002"/>
    <n v="27.272727272727266"/>
    <n v="570.80999999999995"/>
  </r>
  <r>
    <s v="MDELA VIANDÉ X 225 G 14 UND "/>
    <s v="MPES182"/>
    <x v="32"/>
    <n v="7.2999999999999995E-2"/>
    <n v="1069"/>
    <n v="78.036999999999992"/>
    <n v="908"/>
    <n v="64.093999999999994"/>
    <n v="17.731277533039645"/>
    <n v="25550"/>
  </r>
  <r>
    <s v="SCHON POLLO X 225 G"/>
    <s v="MPEP434"/>
    <x v="31"/>
    <n v="2"/>
    <m/>
    <m/>
    <m/>
    <m/>
    <m/>
    <n v="55372"/>
  </r>
  <r>
    <s v="SCHON POLLO BRAKEL X 225"/>
    <s v="MPEP434"/>
    <x v="31"/>
    <n v="2"/>
    <n v="28"/>
    <n v="56"/>
    <n v="27"/>
    <n v="54"/>
    <n v="3.7037037037036953"/>
    <n v="700000"/>
  </r>
  <r>
    <s v="SCHON POLLO BRAKEL X 500"/>
    <s v="MPEP434"/>
    <x v="31"/>
    <n v="2"/>
    <n v="28"/>
    <n v="56"/>
    <n v="27"/>
    <n v="44"/>
    <n v="3.7037037037036953"/>
    <n v="360000"/>
  </r>
  <r>
    <s v="SCHA VIANDÉ   225 G 8 UNDS"/>
    <s v="MPEP973"/>
    <x v="33"/>
    <n v="0.88"/>
    <n v="216.66"/>
    <n v="190.66079999999999"/>
    <n v="225"/>
    <n v="198"/>
    <n v="-3.7066666666666634"/>
    <n v="308000"/>
  </r>
  <r>
    <s v="SCHON CERV PREM X 50 G"/>
    <s v="MPES461"/>
    <x v="34"/>
    <n v="0.09"/>
    <n v="954"/>
    <n v="85.86"/>
    <n v="954"/>
    <n v="85.86"/>
    <n v="0"/>
    <n v="1712.4299999999998"/>
  </r>
  <r>
    <s v="JMN PREMIUM 400 G"/>
    <s v="MPES462"/>
    <x v="35"/>
    <n v="0.14000000000000001"/>
    <n v="2478"/>
    <n v="346.92"/>
    <n v="2388"/>
    <n v="334.32000000000005"/>
    <n v="3.7688442211055246"/>
    <n v="1127.42"/>
  </r>
  <r>
    <s v="CH CERDO X 500"/>
    <s v="MPES964"/>
    <x v="36"/>
    <n v="7.4999999999999997E-2"/>
    <n v="2219"/>
    <n v="166.42499999999998"/>
    <n v="2173"/>
    <n v="162.97499999999999"/>
    <n v="2.1168890934192319"/>
    <n v="5161"/>
  </r>
  <r>
    <s v="CH TERNERA X 1020 G"/>
    <s v="MPES964"/>
    <x v="36"/>
    <n v="0.14499999999999999"/>
    <n v="2219"/>
    <n v="321.755"/>
    <n v="2158"/>
    <n v="312.90999999999997"/>
    <n v="2.8266913809082581"/>
    <n v="1074.4499999999998"/>
  </r>
  <r>
    <s v="CH TERNERA X 480 G"/>
    <s v="MPES964"/>
    <x v="36"/>
    <n v="7.2999999999999995E-2"/>
    <n v="2219"/>
    <n v="161.98699999999999"/>
    <n v="2219"/>
    <n v="161.98699999999999"/>
    <n v="0"/>
    <n v="553.77800000000002"/>
  </r>
  <r>
    <s v="JMN SDW  500 G 28 U "/>
    <s v="MPES964"/>
    <x v="36"/>
    <n v="0.16"/>
    <n v="2283"/>
    <n v="365.28000000000003"/>
    <n v="2219"/>
    <n v="355.04"/>
    <n v="2.884182063992796"/>
    <n v="847.84"/>
  </r>
  <r>
    <s v="JMN SDW  INST  500 G 28 U "/>
    <s v="MPES964"/>
    <x v="36"/>
    <n v="0.16"/>
    <n v="2283"/>
    <n v="365.28000000000003"/>
    <n v="2219"/>
    <n v="355.04"/>
    <n v="2.884182063992796"/>
    <n v="1591.3600000000001"/>
  </r>
  <r>
    <s v="SCHA CLÁSICA   450 G 18 UND"/>
    <s v="MPES964"/>
    <x v="36"/>
    <n v="0.16"/>
    <n v="2283"/>
    <n v="365.28000000000003"/>
    <n v="2219"/>
    <n v="355.04"/>
    <n v="2.884182063992796"/>
    <n v="783.52"/>
  </r>
  <r>
    <s v="SCHA MINI PERRO X 1 KG"/>
    <s v="MPES964"/>
    <x v="36"/>
    <n v="0.14599999999999999"/>
    <n v="2283"/>
    <n v="333.31799999999998"/>
    <n v="2219"/>
    <n v="323.97399999999999"/>
    <n v="2.884182063992796"/>
    <n v="1549.9359999999999"/>
  </r>
  <r>
    <s v="SCHA PERRO X 480 G"/>
    <s v="MPES964"/>
    <x v="36"/>
    <n v="7.2999999999999995E-2"/>
    <n v="2283"/>
    <n v="166.65899999999999"/>
    <n v="2219"/>
    <n v="161.98699999999999"/>
    <n v="2.884182063992796"/>
    <n v="93.585999999999999"/>
  </r>
  <r>
    <s v="SCHA SÚPER PERRO X 2.5 KG"/>
    <s v="MPES964"/>
    <x v="36"/>
    <n v="0.14000000000000001"/>
    <n v="2219"/>
    <n v="310.66000000000003"/>
    <n v="2173"/>
    <n v="304.22000000000003"/>
    <n v="2.1168890934192319"/>
    <n v="1667.5400000000002"/>
  </r>
  <r>
    <s v="CH CERDO X 250"/>
    <s v="MPES202"/>
    <x v="37"/>
    <n v="7.2999999999999995E-2"/>
    <n v="1399.05"/>
    <n v="102.13064999999999"/>
    <n v="1350"/>
    <n v="98.55"/>
    <n v="3.6333333333333258"/>
    <n v="209.72899999999998"/>
  </r>
  <r>
    <s v="CH TERNERA X 120 G"/>
    <s v="MPES202"/>
    <x v="37"/>
    <n v="0.04"/>
    <n v="1399.05"/>
    <n v="55.961999999999996"/>
    <n v="1350"/>
    <n v="54"/>
    <n v="3.6333333333333258"/>
    <n v="363.84000000000003"/>
  </r>
  <r>
    <s v="SCHA DESAYUNO 115 G - 5 UNDS"/>
    <s v="MPES202"/>
    <x v="37"/>
    <n v="7.4999999999999997E-2"/>
    <n v="1399.05"/>
    <n v="104.92874999999999"/>
    <n v="1350"/>
    <n v="101.25"/>
    <n v="3.6333333333333258"/>
    <n v="1036.575"/>
  </r>
  <r>
    <s v="SCHA DESAYUNO 480 G -14 UND"/>
    <s v="MPES202"/>
    <x v="37"/>
    <n v="7.4999999999999997E-2"/>
    <n v="1399.05"/>
    <n v="104.92874999999999"/>
    <n v="1431"/>
    <n v="107.325"/>
    <n v="-2.2327044025157221"/>
    <n v="557.25"/>
  </r>
  <r>
    <s v="SCHON CERV PREM X 50 G"/>
    <s v="MPES202"/>
    <x v="37"/>
    <n v="0.09"/>
    <n v="1399.05"/>
    <n v="125.91449999999999"/>
    <n v="1125"/>
    <n v="101.25"/>
    <n v="24.36"/>
    <n v="1712.4299999999998"/>
  </r>
  <r>
    <s v="SCHA VIANDÉ   225 G 8 UNDS"/>
    <s v="MPES186"/>
    <x v="25"/>
    <n v="7.2999999999999995E-2"/>
    <n v="1700.46"/>
    <n v="124.13357999999999"/>
    <n v="1464"/>
    <n v="106.872"/>
    <n v="16.151639344262293"/>
    <n v="25550"/>
  </r>
  <r>
    <s v="JMN PREMIUM 200 G"/>
    <s v="MPES186"/>
    <x v="25"/>
    <n v="0.14000000000000001"/>
    <n v="1399.05"/>
    <n v="195.86700000000002"/>
    <n v="1464"/>
    <n v="204.96"/>
    <n v="-4.4364754098360777"/>
    <n v="1596.9800000000002"/>
  </r>
  <r>
    <s v="MDELA FAIZAN  225 G 14 U SC"/>
    <s v="MPES186"/>
    <x v="25"/>
    <n v="7.2999999999999995E-2"/>
    <n v="1700.46"/>
    <n v="124.13357999999999"/>
    <n v="1464"/>
    <n v="106.872"/>
    <n v="16.151639344262293"/>
    <n v="3217.0369999999998"/>
  </r>
  <r>
    <s v="SCHA VIANDÉ   225 G 8 UNDS"/>
    <s v="MPES183"/>
    <x v="38"/>
    <n v="7.2999999999999995E-2"/>
    <n v="1015.75"/>
    <n v="74.149749999999997"/>
    <n v="908"/>
    <n v="66.283999999999992"/>
    <n v="11.866740088105729"/>
    <n v="25550"/>
  </r>
  <r>
    <s v="SCHA CLÁSICA   225 G 9 UND"/>
    <s v="MPES186"/>
    <x v="25"/>
    <n v="7.2999999999999995E-2"/>
    <n v="1700.46"/>
    <n v="124.13357999999999"/>
    <n v="1464"/>
    <n v="106.872"/>
    <n v="16.151639344262293"/>
    <n v="2984.6779999999999"/>
  </r>
  <r>
    <s v="SCHON CERV VIANDÉ X 225 G"/>
    <s v="MPEP434"/>
    <x v="31"/>
    <n v="2"/>
    <n v="28"/>
    <n v="56"/>
    <n v="27"/>
    <n v="54"/>
    <n v="3.7037037037036953"/>
    <n v="700000"/>
  </r>
  <r>
    <s v="JMN SDW  INST  500 G 28 U "/>
    <s v="MPES223"/>
    <x v="39"/>
    <n v="0.16"/>
    <n v="1075"/>
    <n v="172"/>
    <n v="1075"/>
    <n v="172"/>
    <n v="0"/>
    <n v="1591.3600000000001"/>
  </r>
  <r>
    <s v="CH TERNERA X 1020 G"/>
    <s v="MPES179"/>
    <x v="40"/>
    <n v="0.14499999999999999"/>
    <n v="1411"/>
    <n v="204.595"/>
    <n v="1411"/>
    <n v="204.595"/>
    <n v="0"/>
    <n v="1074.4499999999998"/>
  </r>
  <r>
    <s v="CH TERNERA X 480 G"/>
    <s v="MPES178"/>
    <x v="41"/>
    <n v="7.2999999999999995E-2"/>
    <n v="1450"/>
    <n v="105.85"/>
    <n v="1450"/>
    <n v="105.85"/>
    <n v="0"/>
    <n v="553.77800000000002"/>
  </r>
  <r>
    <s v="JMN PREMIUM 200 G"/>
    <s v="MPES001"/>
    <x v="42"/>
    <n v="0.14000000000000001"/>
    <n v="1535"/>
    <n v="214.90000000000003"/>
    <n v="1535"/>
    <n v="214.90000000000003"/>
    <n v="0"/>
    <n v="1596.9800000000002"/>
  </r>
  <r>
    <s v="JMN PREMIUM 400 G"/>
    <s v="MPES002"/>
    <x v="43"/>
    <n v="0.14000000000000001"/>
    <n v="1895"/>
    <n v="265.3"/>
    <n v="1895"/>
    <n v="265.3"/>
    <n v="0"/>
    <n v="1127.42"/>
  </r>
  <r>
    <s v="SCHON CERV VIANDÉ X 225 G"/>
    <s v="MPES209"/>
    <x v="44"/>
    <n v="0.22"/>
    <n v="491.73"/>
    <n v="108.1806"/>
    <n v="474"/>
    <n v="104.28"/>
    <n v="3.7405063291139413"/>
    <n v="154000"/>
  </r>
  <r>
    <s v="MEGA COMBO FAIZAN 900 G"/>
    <s v="MPES251"/>
    <x v="45"/>
    <n v="1.09E-2"/>
    <n v="26300"/>
    <n v="286.67"/>
    <n v="26300"/>
    <n v="286.67"/>
    <n v="0"/>
    <n v="301.77999999999997"/>
  </r>
  <r>
    <s v="MDELA FAIZAN  225 G 14 U SC"/>
    <s v="MPES188"/>
    <x v="46"/>
    <n v="7.2999999999999995E-2"/>
    <n v="1496"/>
    <n v="109.208"/>
    <n v="1496"/>
    <n v="109.208"/>
    <n v="0"/>
    <n v="3217.0369999999998"/>
  </r>
  <r>
    <s v="SCHA MINI PERRO X 1 KG"/>
    <s v="MPES159"/>
    <x v="47"/>
    <n v="0.14599999999999999"/>
    <n v="918"/>
    <n v="134.02799999999999"/>
    <n v="918"/>
    <n v="134.02799999999999"/>
    <n v="0"/>
    <n v="1549.9359999999999"/>
  </r>
  <r>
    <s v="SCHA SÚPER PERRO X 2.5 KG"/>
    <s v="MPES158"/>
    <x v="48"/>
    <n v="0.14000000000000001"/>
    <n v="823"/>
    <n v="115.22000000000001"/>
    <n v="823"/>
    <n v="115.22000000000001"/>
    <n v="0"/>
    <n v="1667.5400000000002"/>
  </r>
  <r>
    <s v="SCHON TRAD VIANDÉ X 500 "/>
    <s v="MPES972"/>
    <x v="49"/>
    <n v="4.5999999999999999E-2"/>
    <n v="2561"/>
    <n v="117.806"/>
    <n v="1624"/>
    <n v="74.703999999999994"/>
    <n v="57.697044334975374"/>
    <n v="9200"/>
  </r>
  <r>
    <s v="SCHA CLÁSICA   225 G 9 UND"/>
    <s v="MPES190"/>
    <x v="50"/>
    <n v="7.2999999999999995E-2"/>
    <n v="1519"/>
    <n v="110.88699999999999"/>
    <n v="1519"/>
    <n v="110.88699999999999"/>
    <n v="0"/>
    <n v="2984.6779999999999"/>
  </r>
  <r>
    <s v="SCHON TRAD VIANDÉ X 500 "/>
    <s v="MPEP434"/>
    <x v="31"/>
    <n v="2"/>
    <n v="28"/>
    <n v="56"/>
    <n v="27"/>
    <n v="54"/>
    <n v="3.7037037037036953"/>
    <n v="400000"/>
  </r>
  <r>
    <s v="SCHA DESAYUNO 115 G - 5 UNDS"/>
    <s v="MPES407"/>
    <x v="51"/>
    <n v="7.4999999999999997E-2"/>
    <n v="861"/>
    <n v="64.575000000000003"/>
    <n v="861"/>
    <n v="64.575000000000003"/>
    <n v="0"/>
    <n v="1036.575"/>
  </r>
  <r>
    <s v="SCHA PERRO X 480 G"/>
    <s v="MPES407"/>
    <x v="51"/>
    <n v="1"/>
    <n v="990"/>
    <n v="990"/>
    <n v="990"/>
    <n v="990"/>
    <n v="0"/>
    <n v="93.585999999999999"/>
  </r>
  <r>
    <s v="CH CERDO X 250"/>
    <s v="MPES401"/>
    <x v="52"/>
    <n v="7.2999999999999995E-2"/>
    <n v="861"/>
    <n v="62.852999999999994"/>
    <n v="861"/>
    <n v="62.852999999999994"/>
    <n v="0"/>
    <n v="2873"/>
  </r>
  <r>
    <s v="CH CERDO X 500"/>
    <s v="MPES401"/>
    <x v="52"/>
    <n v="7.4999999999999997E-2"/>
    <n v="861"/>
    <n v="64.575000000000003"/>
    <n v="861"/>
    <n v="64.575000000000003"/>
    <n v="0"/>
    <n v="387.07499999999999"/>
  </r>
  <r>
    <s v="CH TERNERA X 120 G"/>
    <s v="MPES401"/>
    <x v="52"/>
    <n v="0.04"/>
    <n v="861"/>
    <n v="34.44"/>
    <n v="861"/>
    <n v="34.44"/>
    <n v="0"/>
    <n v="9096"/>
  </r>
  <r>
    <s v="JMN SDW  500 G 28 U "/>
    <s v="MPES401"/>
    <x v="52"/>
    <n v="0.16"/>
    <n v="861"/>
    <n v="137.76"/>
    <n v="861"/>
    <n v="137.76"/>
    <n v="0"/>
    <n v="5299"/>
  </r>
  <r>
    <s v="SCHA CLÁSICA   450 G 18 UND"/>
    <s v="MPES401"/>
    <x v="52"/>
    <n v="0.16"/>
    <n v="861"/>
    <n v="137.76"/>
    <n v="861"/>
    <n v="137.76"/>
    <n v="0"/>
    <n v="4897"/>
  </r>
  <r>
    <s v="SCHA DESAYUNO 480 G -14 UND"/>
    <s v="MPES401"/>
    <x v="52"/>
    <n v="7.4999999999999997E-2"/>
    <n v="861"/>
    <n v="64.575000000000003"/>
    <n v="861"/>
    <n v="64.575000000000003"/>
    <n v="0"/>
    <n v="7430"/>
  </r>
  <r>
    <s v="SCHON TRAD VIANDÉ X 500 "/>
    <s v="MPES208"/>
    <x v="53"/>
    <n v="0.4"/>
    <n v="556.86"/>
    <n v="222.74400000000003"/>
    <n v="522"/>
    <n v="208.8"/>
    <n v="6.6781609195402325"/>
    <n v="80000"/>
  </r>
  <r>
    <s v="CERVECERO FAIZAN 1500 G"/>
    <s v="MPEP956"/>
    <x v="54"/>
    <n v="1"/>
    <n v="45.66"/>
    <n v="45.66"/>
    <n v="46"/>
    <n v="46"/>
    <n v="-0.73913043478262352"/>
    <n v="44506"/>
  </r>
  <r>
    <s v="CERVECERO FAIZAN 750 G"/>
    <s v="MPEP956"/>
    <x v="54"/>
    <n v="1"/>
    <n v="45.66"/>
    <n v="45.66"/>
    <n v="46"/>
    <n v="46"/>
    <n v="-0.73913043478262352"/>
    <n v="44506"/>
  </r>
  <r>
    <s v="MNESA APANADA 1800 G 15 UND"/>
    <s v="MPEP352"/>
    <x v="55"/>
    <n v="0.15"/>
    <n v="1299.33"/>
    <n v="194.89949999999999"/>
    <n v="795"/>
    <n v="119.25"/>
    <n v="63.437735849056594"/>
    <n v="1374.3"/>
  </r>
  <r>
    <s v="MNESA APANADA 600 G 5 UNDS"/>
    <s v="MPEP352"/>
    <x v="55"/>
    <n v="0.15"/>
    <n v="1299.33"/>
    <n v="194.89949999999999"/>
    <n v="795"/>
    <n v="119.25"/>
    <n v="63.437735849056594"/>
    <n v="568.94999999999993"/>
  </r>
  <r>
    <s v="SCHA MANGUERA 560 G - 6 UND"/>
    <s v="MPEP955"/>
    <x v="56"/>
    <n v="1.68"/>
    <n v="264.82"/>
    <n v="444.89759999999995"/>
    <n v="255"/>
    <n v="428.4"/>
    <n v="3.8509803921568562"/>
    <n v="31931.759999999998"/>
  </r>
  <r>
    <s v="HSA 2700 G - 30 UNDS"/>
    <s v="MPES654"/>
    <x v="57"/>
    <n v="30"/>
    <n v="19"/>
    <n v="570"/>
    <n v="19"/>
    <n v="570"/>
    <n v="0"/>
    <n v="1403"/>
  </r>
  <r>
    <s v="HSA 450 G - 5 UNDS"/>
    <s v="MPES654"/>
    <x v="57"/>
    <n v="5"/>
    <n v="19"/>
    <n v="95"/>
    <n v="19"/>
    <n v="95"/>
    <n v="0"/>
    <n v="2807"/>
  </r>
  <r>
    <s v="HSA 900 G - 10 UNDS"/>
    <s v="MPES654"/>
    <x v="57"/>
    <n v="10"/>
    <n v="19"/>
    <n v="190"/>
    <n v="19"/>
    <n v="190"/>
    <n v="0"/>
    <n v="2687"/>
  </r>
  <r>
    <s v="HSA 900 G - 10 UNDS INST"/>
    <s v="MPES654"/>
    <x v="57"/>
    <n v="10"/>
    <n v="19"/>
    <n v="190"/>
    <n v="19"/>
    <n v="190"/>
    <n v="0"/>
    <n v="12009"/>
  </r>
  <r>
    <s v="MNESA APANADA 1800 G 15 UND"/>
    <s v="MPES654"/>
    <x v="57"/>
    <n v="15"/>
    <n v="19"/>
    <n v="285"/>
    <n v="19"/>
    <n v="285"/>
    <n v="0"/>
    <n v="9162"/>
  </r>
  <r>
    <s v="MNESA APANADA 600 G 5 UNDS"/>
    <s v="MPES654"/>
    <x v="57"/>
    <n v="15"/>
    <n v="19"/>
    <n v="285"/>
    <n v="19"/>
    <n v="285"/>
    <n v="0"/>
    <n v="3793"/>
  </r>
  <r>
    <s v="SCHON AUTENTICO X 225 G"/>
    <s v="MPES162"/>
    <x v="58"/>
    <n v="0.22"/>
    <n v="581"/>
    <n v="127.82000000000001"/>
    <n v="581"/>
    <n v="127.82000000000001"/>
    <n v="0"/>
    <n v="6090.92"/>
  </r>
  <r>
    <s v="CERVECERO FAIZAN 1500 G"/>
    <s v="MPES133"/>
    <x v="59"/>
    <n v="0.7"/>
    <n v="629"/>
    <n v="440.29999999999995"/>
    <n v="589"/>
    <n v="412.29999999999995"/>
    <n v="6.7911714770798"/>
    <n v="31154.199999999997"/>
  </r>
  <r>
    <s v="SÚPER COMBO VIANDÉ 900 G"/>
    <s v="MPES973"/>
    <x v="60"/>
    <n v="0.11"/>
    <n v="1727"/>
    <n v="189.97"/>
    <n v="1727"/>
    <n v="189.97"/>
    <n v="0"/>
    <n v="38500"/>
  </r>
  <r>
    <s v="CERVECERO FAIZAN 500 G"/>
    <s v="MPES106"/>
    <x v="61"/>
    <n v="0.3"/>
    <n v="711.54"/>
    <n v="213.46199999999999"/>
    <n v="686"/>
    <n v="192.9"/>
    <n v="10.659409020217709"/>
    <n v="21330.6"/>
  </r>
  <r>
    <s v="CERVECERO FAIZAN 750 G"/>
    <s v="MPES100"/>
    <x v="62"/>
    <n v="0.35"/>
    <n v="629"/>
    <n v="220.14999999999998"/>
    <n v="606"/>
    <n v="212.1"/>
    <n v="3.7953795379537922"/>
    <n v="31154.199999999997"/>
  </r>
  <r>
    <s v="SCHON POLLO BRAKEL X 225"/>
    <s v="MPES207"/>
    <x v="63"/>
    <n v="0.22"/>
    <n v="531"/>
    <n v="116.82000000000001"/>
    <n v="512"/>
    <n v="112.64"/>
    <n v="3.7109375"/>
    <n v="77000"/>
  </r>
  <r>
    <s v="SCHON POLLO BRAKEL X 500"/>
    <s v="MPES206"/>
    <x v="64"/>
    <n v="0.4"/>
    <n v="515.6"/>
    <n v="206.24"/>
    <n v="505"/>
    <n v="208.8"/>
    <n v="2.0990099009900973"/>
    <n v="72000"/>
  </r>
  <r>
    <s v="SCHON POLLO X 225 G"/>
    <s v="MPES161"/>
    <x v="65"/>
    <n v="0.22"/>
    <m/>
    <m/>
    <m/>
    <m/>
    <m/>
    <n v="6090.92"/>
  </r>
  <r>
    <s v="SÚPER COMBO VIANDÉ 900 G"/>
    <s v="MPES220"/>
    <x v="66"/>
    <n v="1.09E-2"/>
    <n v="26300"/>
    <n v="286.67"/>
    <n v="26300"/>
    <n v="286.67"/>
    <n v="0"/>
    <n v="3815"/>
  </r>
  <r>
    <s v="SCHON AUTENTICO X 750 G"/>
    <s v="MPES994"/>
    <x v="67"/>
    <n v="0.5"/>
    <n v="629.04"/>
    <n v="314.52"/>
    <n v="606"/>
    <n v="303"/>
    <n v="3.8019801980198054"/>
    <n v="17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3BA05-5DCF-4890-AE5C-EB3EE2D8B3E3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outline="1" outlineData="1" compactData="0" multipleFieldFilters="0">
  <location ref="A3:B85" firstHeaderRow="1" firstDataRow="1" firstDataCol="1"/>
  <pivotFields count="4">
    <pivotField compact="0" showAll="0" defaultSubtotal="0"/>
    <pivotField compact="0" showAll="0" defaultSubtotal="0"/>
    <pivotField axis="axisRow" compact="0" showAll="0" sortType="ascending" defaultSubtota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m="1" x="8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</items>
    </pivotField>
    <pivotField dataField="1" compact="0" numFmtId="43" showAll="0" defaultSubtotal="0"/>
  </pivotFields>
  <rowFields count="1">
    <field x="2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Items count="1">
    <i/>
  </colItems>
  <dataFields count="1">
    <dataField name="Suma de CATIDAD" fld="3" baseField="0" baseItem="0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1419F-9458-461C-9538-3C0F9B46684B}" name="TablaDinámica2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5" firstHeaderRow="1" firstDataRow="1" firstDataCol="1"/>
  <pivotFields count="4">
    <pivotField showAll="0"/>
    <pivotField showAll="0"/>
    <pivotField axis="axisRow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6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1"/>
        <item x="60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dataField="1" numFmtId="43" showAll="0"/>
  </pivotFields>
  <rowFields count="1">
    <field x="2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Items count="1">
    <i/>
  </colItems>
  <dataFields count="1">
    <dataField name="Suma de CATIDAD / FEBRERO 2023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947DB-21C1-4B24-82D6-739A31893902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C70" firstHeaderRow="0" firstDataRow="1" firstDataCol="1"/>
  <pivotFields count="10">
    <pivotField showAll="0"/>
    <pivotField showAll="0"/>
    <pivotField axis="axisRow" showAll="0">
      <items count="69">
        <item x="0"/>
        <item x="1"/>
        <item x="2"/>
        <item x="3"/>
        <item x="4"/>
        <item x="5"/>
        <item x="6"/>
        <item x="49"/>
        <item x="60"/>
        <item x="7"/>
        <item x="11"/>
        <item x="12"/>
        <item x="13"/>
        <item x="14"/>
        <item x="15"/>
        <item x="16"/>
        <item x="17"/>
        <item x="18"/>
        <item x="19"/>
        <item x="8"/>
        <item x="20"/>
        <item x="21"/>
        <item x="22"/>
        <item x="23"/>
        <item x="24"/>
        <item x="33"/>
        <item x="26"/>
        <item x="27"/>
        <item x="28"/>
        <item x="29"/>
        <item x="30"/>
        <item x="31"/>
        <item x="34"/>
        <item x="35"/>
        <item x="36"/>
        <item x="37"/>
        <item x="9"/>
        <item x="25"/>
        <item x="39"/>
        <item x="40"/>
        <item x="41"/>
        <item x="42"/>
        <item x="43"/>
        <item x="10"/>
        <item x="45"/>
        <item x="46"/>
        <item x="47"/>
        <item x="48"/>
        <item x="38"/>
        <item x="50"/>
        <item x="66"/>
        <item x="51"/>
        <item x="52"/>
        <item x="32"/>
        <item x="54"/>
        <item x="55"/>
        <item x="56"/>
        <item x="57"/>
        <item x="58"/>
        <item x="59"/>
        <item x="44"/>
        <item x="61"/>
        <item x="62"/>
        <item x="63"/>
        <item x="64"/>
        <item x="53"/>
        <item x="67"/>
        <item x="65"/>
        <item t="default"/>
      </items>
    </pivotField>
    <pivotField showAll="0"/>
    <pivotField dataField="1" numFmtId="43" showAll="0"/>
    <pivotField numFmtId="43" showAll="0"/>
    <pivotField numFmtId="43" showAll="0"/>
    <pivotField numFmtId="43" showAll="0"/>
    <pivotField numFmtId="43" showAll="0"/>
    <pivotField dataField="1" numFmtId="43" showAll="0"/>
  </pivotFields>
  <rowFields count="1">
    <field x="2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ECESIDAD" fld="9" baseField="0" baseItem="0"/>
    <dataField name="Suma de OCT -        COP / UMB" fld="4" baseField="0" baseItem="0"/>
  </dataFields>
  <formats count="8">
    <format dxfId="17">
      <pivotArea type="all" dataOnly="0" outline="0" fieldPosition="0"/>
    </format>
    <format dxfId="16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">
      <pivotArea dataOnly="0" labelOnly="1" fieldPosition="0">
        <references count="1">
          <reference field="2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4">
      <pivotArea dataOnly="0" labelOnly="1" grandRow="1" outline="0" fieldPosition="0"/>
    </format>
    <format dxfId="13">
      <pivotArea field="2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E8566-D11F-4936-80C6-7FBA2674BC7B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5" firstHeaderRow="1" firstDataRow="1" firstDataCol="1"/>
  <pivotFields count="4">
    <pivotField showAll="0">
      <items count="23">
        <item x="7"/>
        <item x="3"/>
        <item x="15"/>
        <item x="6"/>
        <item x="5"/>
        <item x="19"/>
        <item x="20"/>
        <item x="21"/>
        <item x="1"/>
        <item x="0"/>
        <item x="8"/>
        <item x="18"/>
        <item x="17"/>
        <item x="11"/>
        <item x="16"/>
        <item x="12"/>
        <item x="9"/>
        <item x="10"/>
        <item x="4"/>
        <item x="2"/>
        <item x="13"/>
        <item x="14"/>
        <item t="default"/>
      </items>
    </pivotField>
    <pivotField showAll="0"/>
    <pivotField axis="axisRow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m="1" x="8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dataField="1" numFmtId="43" showAll="0"/>
  </pivotFields>
  <rowFields count="1">
    <field x="2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Items count="1">
    <i/>
  </colItems>
  <dataFields count="1">
    <dataField name="Suma de CATIDA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3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7C57-D8C8-4393-B881-387670F25BA2}">
  <sheetPr codeName="Hoja2"/>
  <dimension ref="A1:K72"/>
  <sheetViews>
    <sheetView view="pageBreakPreview" zoomScale="70" zoomScaleNormal="100" zoomScaleSheetLayoutView="70" workbookViewId="0">
      <selection activeCell="L20" sqref="L20"/>
    </sheetView>
  </sheetViews>
  <sheetFormatPr baseColWidth="10" defaultColWidth="11.5703125" defaultRowHeight="16.5" x14ac:dyDescent="0.3"/>
  <cols>
    <col min="1" max="1" width="11.5703125" style="422"/>
    <col min="2" max="2" width="66.28515625" style="422" bestFit="1" customWidth="1"/>
    <col min="3" max="3" width="12.28515625" style="513" hidden="1" customWidth="1"/>
    <col min="4" max="4" width="12.28515625" style="491" hidden="1" customWidth="1"/>
    <col min="5" max="5" width="12.28515625" style="514" hidden="1" customWidth="1"/>
    <col min="6" max="6" width="12.28515625" style="515" hidden="1" customWidth="1"/>
    <col min="7" max="7" width="12.28515625" style="514" hidden="1" customWidth="1"/>
    <col min="8" max="8" width="12.28515625" style="422" hidden="1" customWidth="1"/>
    <col min="9" max="16384" width="11.5703125" style="422"/>
  </cols>
  <sheetData>
    <row r="1" spans="1:11" s="42" customFormat="1" ht="28.5" x14ac:dyDescent="0.25">
      <c r="A1" s="516" t="s">
        <v>0</v>
      </c>
      <c r="B1" s="516" t="s">
        <v>1</v>
      </c>
      <c r="C1" s="517" t="s">
        <v>2</v>
      </c>
      <c r="D1" s="516" t="s">
        <v>3</v>
      </c>
      <c r="E1" s="518" t="s">
        <v>536</v>
      </c>
      <c r="F1" s="519" t="s">
        <v>512</v>
      </c>
      <c r="G1" s="520" t="s">
        <v>306</v>
      </c>
      <c r="H1" s="521" t="s">
        <v>307</v>
      </c>
      <c r="I1" s="522" t="s">
        <v>3</v>
      </c>
      <c r="J1" s="191"/>
    </row>
    <row r="2" spans="1:11" s="527" customFormat="1" x14ac:dyDescent="0.3">
      <c r="A2" s="70" t="s">
        <v>101</v>
      </c>
      <c r="B2" s="74" t="s">
        <v>102</v>
      </c>
      <c r="C2" s="190">
        <v>9.1049994735418354E-4</v>
      </c>
      <c r="D2" s="72" t="e">
        <f>(C2*100)/#REF!</f>
        <v>#REF!</v>
      </c>
      <c r="E2" s="452">
        <v>70021</v>
      </c>
      <c r="F2" s="449">
        <f t="shared" ref="F2:F24" si="0">E2*C2</f>
        <v>63.754116813687283</v>
      </c>
      <c r="G2" s="501">
        <v>65950</v>
      </c>
      <c r="H2" s="73">
        <f>G2*C2</f>
        <v>60.047471528008401</v>
      </c>
      <c r="I2" s="404">
        <f t="shared" ref="I2:I24" si="1">((E2/G2)*100)-100</f>
        <v>6.1728582259287208</v>
      </c>
      <c r="J2" s="525"/>
      <c r="K2" s="526"/>
    </row>
    <row r="3" spans="1:11" s="527" customFormat="1" x14ac:dyDescent="0.3">
      <c r="A3" s="523" t="s">
        <v>133</v>
      </c>
      <c r="B3" s="523" t="s">
        <v>585</v>
      </c>
      <c r="C3" s="190">
        <v>3.2673256440422668E-2</v>
      </c>
      <c r="D3" s="70">
        <v>24.024453265016668</v>
      </c>
      <c r="E3" s="529">
        <v>7029</v>
      </c>
      <c r="F3" s="524">
        <f t="shared" si="0"/>
        <v>229.66031951973093</v>
      </c>
      <c r="G3" s="501">
        <v>6648</v>
      </c>
      <c r="H3" s="73">
        <f>G3*C3</f>
        <v>217.21180881592988</v>
      </c>
      <c r="I3" s="417">
        <f t="shared" si="1"/>
        <v>5.7310469314079313</v>
      </c>
      <c r="J3" s="525"/>
    </row>
    <row r="4" spans="1:11" s="527" customFormat="1" x14ac:dyDescent="0.3">
      <c r="A4" s="523" t="s">
        <v>119</v>
      </c>
      <c r="B4" s="523" t="s">
        <v>120</v>
      </c>
      <c r="C4" s="190">
        <v>8.9915525516540287E-5</v>
      </c>
      <c r="D4" s="70" t="e">
        <f>(C4*100)/#REF!</f>
        <v>#REF!</v>
      </c>
      <c r="E4" s="501">
        <v>153185</v>
      </c>
      <c r="F4" s="492">
        <f t="shared" si="0"/>
        <v>13.773709776251224</v>
      </c>
      <c r="G4" s="501">
        <v>145309</v>
      </c>
      <c r="H4" s="70">
        <f>G4*C4</f>
        <v>13.065535097282952</v>
      </c>
      <c r="I4" s="417">
        <f t="shared" si="1"/>
        <v>5.4201735611696336</v>
      </c>
      <c r="J4" s="528"/>
    </row>
    <row r="5" spans="1:11" s="527" customFormat="1" x14ac:dyDescent="0.3">
      <c r="A5" s="523" t="s">
        <v>27</v>
      </c>
      <c r="B5" s="523" t="s">
        <v>28</v>
      </c>
      <c r="C5" s="190">
        <v>1.1469276281396723E-3</v>
      </c>
      <c r="D5" s="70" t="e">
        <f>(C5*100)/#REF!</f>
        <v>#REF!</v>
      </c>
      <c r="E5" s="531">
        <v>16795</v>
      </c>
      <c r="F5" s="524">
        <f t="shared" si="0"/>
        <v>19.262649514605798</v>
      </c>
      <c r="G5" s="501">
        <v>16110</v>
      </c>
      <c r="H5" s="73">
        <f>G5*C5</f>
        <v>18.477004089330119</v>
      </c>
      <c r="I5" s="404">
        <f t="shared" si="1"/>
        <v>4.2520173805090025</v>
      </c>
      <c r="J5" s="528"/>
    </row>
    <row r="6" spans="1:11" s="42" customFormat="1" x14ac:dyDescent="0.3">
      <c r="A6" s="74" t="s">
        <v>9</v>
      </c>
      <c r="B6" s="74" t="s">
        <v>10</v>
      </c>
      <c r="C6" s="532">
        <v>5.6625422827992808E-2</v>
      </c>
      <c r="D6" s="533" t="e">
        <f>(C6*100)/#REF!</f>
        <v>#REF!</v>
      </c>
      <c r="E6" s="529">
        <v>5975</v>
      </c>
      <c r="F6" s="534">
        <f t="shared" si="0"/>
        <v>338.33690139725701</v>
      </c>
      <c r="G6" s="501">
        <v>5761</v>
      </c>
      <c r="H6" s="73">
        <f>G6*C6</f>
        <v>326.21906091206654</v>
      </c>
      <c r="I6" s="535">
        <f t="shared" si="1"/>
        <v>3.7146328762367631</v>
      </c>
      <c r="J6" s="530"/>
    </row>
    <row r="7" spans="1:11" s="42" customFormat="1" x14ac:dyDescent="0.25">
      <c r="A7" s="523" t="s">
        <v>80</v>
      </c>
      <c r="B7" s="523" t="s">
        <v>81</v>
      </c>
      <c r="C7" s="190">
        <v>7.2081065405550117E-4</v>
      </c>
      <c r="D7" s="536" t="e">
        <f>(C7*100)/#REF!</f>
        <v>#REF!</v>
      </c>
      <c r="E7" s="537">
        <v>21400</v>
      </c>
      <c r="F7" s="538">
        <f t="shared" si="0"/>
        <v>15.425347996787725</v>
      </c>
      <c r="G7" s="537">
        <v>20650</v>
      </c>
      <c r="H7" s="539">
        <v>14.884740006246099</v>
      </c>
      <c r="I7" s="540">
        <f t="shared" si="1"/>
        <v>3.6319612590799011</v>
      </c>
      <c r="J7" s="336"/>
    </row>
    <row r="8" spans="1:11" s="42" customFormat="1" x14ac:dyDescent="0.25">
      <c r="A8" s="523" t="s">
        <v>498</v>
      </c>
      <c r="B8" s="541" t="s">
        <v>499</v>
      </c>
      <c r="C8" s="190">
        <v>0.11336515513126492</v>
      </c>
      <c r="D8" s="70">
        <v>11.336515513126493</v>
      </c>
      <c r="E8" s="501">
        <v>3160</v>
      </c>
      <c r="F8" s="524">
        <f t="shared" si="0"/>
        <v>358.23389021479716</v>
      </c>
      <c r="G8" s="501">
        <v>3067</v>
      </c>
      <c r="H8" s="73">
        <f>G8*C8</f>
        <v>347.69093078758954</v>
      </c>
      <c r="I8" s="404">
        <f t="shared" si="1"/>
        <v>3.0322791000978242</v>
      </c>
      <c r="J8" s="336"/>
    </row>
    <row r="9" spans="1:11" s="42" customFormat="1" x14ac:dyDescent="0.25">
      <c r="A9" s="542" t="s">
        <v>11</v>
      </c>
      <c r="B9" s="542" t="s">
        <v>12</v>
      </c>
      <c r="C9" s="543">
        <v>7.8633889533327398E-3</v>
      </c>
      <c r="D9" s="536" t="e">
        <f>(C9*100)/#REF!</f>
        <v>#REF!</v>
      </c>
      <c r="E9" s="452">
        <v>16084</v>
      </c>
      <c r="F9" s="538">
        <f t="shared" si="0"/>
        <v>126.47474792540379</v>
      </c>
      <c r="G9" s="537">
        <v>15638</v>
      </c>
      <c r="H9" s="539">
        <v>122.96767645221739</v>
      </c>
      <c r="I9" s="540">
        <f t="shared" si="1"/>
        <v>2.8520271134416078</v>
      </c>
      <c r="J9" s="336"/>
    </row>
    <row r="10" spans="1:11" s="42" customFormat="1" x14ac:dyDescent="0.3">
      <c r="A10" s="74" t="s">
        <v>13</v>
      </c>
      <c r="B10" s="74" t="s">
        <v>14</v>
      </c>
      <c r="C10" s="190">
        <v>3.3087559937140776E-4</v>
      </c>
      <c r="D10" s="70" t="e">
        <f>(C10*100)/#REF!</f>
        <v>#REF!</v>
      </c>
      <c r="E10" s="544">
        <v>33158</v>
      </c>
      <c r="F10" s="524">
        <f t="shared" si="0"/>
        <v>10.971173123957138</v>
      </c>
      <c r="G10" s="501">
        <v>32239</v>
      </c>
      <c r="H10" s="73">
        <f t="shared" ref="H10:H24" si="2">G10*C10</f>
        <v>10.667098448134816</v>
      </c>
      <c r="I10" s="404">
        <f t="shared" si="1"/>
        <v>2.8505846955550851</v>
      </c>
      <c r="J10" s="336"/>
    </row>
    <row r="11" spans="1:11" s="42" customFormat="1" x14ac:dyDescent="0.25">
      <c r="A11" s="523" t="s">
        <v>86</v>
      </c>
      <c r="B11" s="523" t="s">
        <v>87</v>
      </c>
      <c r="C11" s="190">
        <v>8.9720612651046216E-5</v>
      </c>
      <c r="D11" s="70">
        <v>6.5971038714004573E-2</v>
      </c>
      <c r="E11" s="501">
        <v>51477</v>
      </c>
      <c r="F11" s="524">
        <f t="shared" si="0"/>
        <v>4.6185479774379061</v>
      </c>
      <c r="G11" s="501">
        <v>50051</v>
      </c>
      <c r="H11" s="73">
        <f t="shared" si="2"/>
        <v>4.4906063837975143</v>
      </c>
      <c r="I11" s="417">
        <f t="shared" si="1"/>
        <v>2.8490939241973194</v>
      </c>
      <c r="J11" s="336"/>
    </row>
    <row r="12" spans="1:11" s="42" customFormat="1" x14ac:dyDescent="0.25">
      <c r="A12" s="523" t="s">
        <v>88</v>
      </c>
      <c r="B12" s="523" t="s">
        <v>89</v>
      </c>
      <c r="C12" s="190">
        <v>4.9154041205985949E-4</v>
      </c>
      <c r="D12" s="70" t="e">
        <f>(C12*100)/#REF!</f>
        <v>#REF!</v>
      </c>
      <c r="E12" s="501">
        <v>40689</v>
      </c>
      <c r="F12" s="524">
        <f t="shared" si="0"/>
        <v>20.000287826303623</v>
      </c>
      <c r="G12" s="501">
        <v>39563</v>
      </c>
      <c r="H12" s="73">
        <f t="shared" si="2"/>
        <v>19.446813322324221</v>
      </c>
      <c r="I12" s="404">
        <f t="shared" si="1"/>
        <v>2.8460935722771126</v>
      </c>
      <c r="J12" s="336"/>
    </row>
    <row r="13" spans="1:11" s="42" customFormat="1" x14ac:dyDescent="0.3">
      <c r="A13" s="545">
        <v>30017</v>
      </c>
      <c r="B13" s="545" t="s">
        <v>290</v>
      </c>
      <c r="C13" s="546">
        <v>1</v>
      </c>
      <c r="D13" s="547" t="e">
        <f>(C13*100)/#REF!</f>
        <v>#REF!</v>
      </c>
      <c r="E13" s="548">
        <v>1385</v>
      </c>
      <c r="F13" s="549">
        <f t="shared" si="0"/>
        <v>1385</v>
      </c>
      <c r="G13" s="548">
        <v>1347</v>
      </c>
      <c r="H13" s="550">
        <f t="shared" si="2"/>
        <v>1347</v>
      </c>
      <c r="I13" s="551">
        <f t="shared" si="1"/>
        <v>2.8210838901262036</v>
      </c>
      <c r="J13" s="282"/>
    </row>
    <row r="14" spans="1:11" s="42" customFormat="1" x14ac:dyDescent="0.25">
      <c r="A14" s="523" t="s">
        <v>215</v>
      </c>
      <c r="B14" s="523" t="s">
        <v>216</v>
      </c>
      <c r="C14" s="189">
        <v>1.0857715705856346E-2</v>
      </c>
      <c r="D14" s="72" t="e">
        <f>(C14*100)/#REF!</f>
        <v>#REF!</v>
      </c>
      <c r="E14" s="452">
        <v>16680</v>
      </c>
      <c r="F14" s="500">
        <f t="shared" si="0"/>
        <v>181.10669797368385</v>
      </c>
      <c r="G14" s="501">
        <v>16262</v>
      </c>
      <c r="H14" s="73">
        <f t="shared" si="2"/>
        <v>176.56817280863589</v>
      </c>
      <c r="I14" s="404">
        <f t="shared" si="1"/>
        <v>2.570409543721567</v>
      </c>
      <c r="J14" s="282"/>
    </row>
    <row r="15" spans="1:11" s="42" customFormat="1" x14ac:dyDescent="0.3">
      <c r="A15" s="74" t="s">
        <v>141</v>
      </c>
      <c r="B15" s="74" t="s">
        <v>142</v>
      </c>
      <c r="C15" s="532">
        <v>2.5856367876446341E-2</v>
      </c>
      <c r="D15" s="533">
        <v>4.9723784377781426</v>
      </c>
      <c r="E15" s="501">
        <v>6260</v>
      </c>
      <c r="F15" s="501">
        <f t="shared" si="0"/>
        <v>161.8608629065541</v>
      </c>
      <c r="G15" s="501">
        <v>6198</v>
      </c>
      <c r="H15" s="88">
        <f t="shared" si="2"/>
        <v>160.25776809821443</v>
      </c>
      <c r="I15" s="417">
        <f t="shared" si="1"/>
        <v>1.0003226847370144</v>
      </c>
      <c r="J15" s="282"/>
    </row>
    <row r="16" spans="1:11" s="42" customFormat="1" x14ac:dyDescent="0.3">
      <c r="A16" s="545">
        <v>30018</v>
      </c>
      <c r="B16" s="545" t="s">
        <v>293</v>
      </c>
      <c r="C16" s="546">
        <v>1</v>
      </c>
      <c r="D16" s="547" t="e">
        <f>(C16*100)/#REF!</f>
        <v>#REF!</v>
      </c>
      <c r="E16" s="548">
        <v>1347</v>
      </c>
      <c r="F16" s="549">
        <f t="shared" si="0"/>
        <v>1347</v>
      </c>
      <c r="G16" s="548">
        <v>1336</v>
      </c>
      <c r="H16" s="550">
        <f t="shared" si="2"/>
        <v>1336</v>
      </c>
      <c r="I16" s="551">
        <f t="shared" si="1"/>
        <v>0.8233532934131631</v>
      </c>
      <c r="J16" s="282"/>
    </row>
    <row r="17" spans="1:10" s="42" customFormat="1" x14ac:dyDescent="0.3">
      <c r="A17" s="545" t="s">
        <v>288</v>
      </c>
      <c r="B17" s="545" t="s">
        <v>289</v>
      </c>
      <c r="C17" s="546">
        <v>1</v>
      </c>
      <c r="D17" s="547" t="e">
        <f>(C17*100)/#REF!</f>
        <v>#REF!</v>
      </c>
      <c r="E17" s="548">
        <v>2310</v>
      </c>
      <c r="F17" s="549">
        <f t="shared" si="0"/>
        <v>2310</v>
      </c>
      <c r="G17" s="548">
        <v>2293</v>
      </c>
      <c r="H17" s="550">
        <f t="shared" si="2"/>
        <v>2293</v>
      </c>
      <c r="I17" s="551">
        <f t="shared" si="1"/>
        <v>0.74138682948104417</v>
      </c>
    </row>
    <row r="18" spans="1:10" s="42" customFormat="1" x14ac:dyDescent="0.3">
      <c r="A18" s="74" t="s">
        <v>5</v>
      </c>
      <c r="B18" s="74" t="s">
        <v>55</v>
      </c>
      <c r="C18" s="532">
        <v>4.2469067120994616E-2</v>
      </c>
      <c r="D18" s="533" t="e">
        <f>(C18*100)/#REF!</f>
        <v>#REF!</v>
      </c>
      <c r="E18" s="529">
        <v>5484</v>
      </c>
      <c r="F18" s="534">
        <f t="shared" si="0"/>
        <v>232.90036409153447</v>
      </c>
      <c r="G18" s="529">
        <v>5453</v>
      </c>
      <c r="H18" s="73">
        <f t="shared" si="2"/>
        <v>231.58382301078365</v>
      </c>
      <c r="I18" s="535">
        <f t="shared" si="1"/>
        <v>0.56849440674857021</v>
      </c>
    </row>
    <row r="19" spans="1:10" s="42" customFormat="1" x14ac:dyDescent="0.3">
      <c r="A19" s="74" t="s">
        <v>25</v>
      </c>
      <c r="B19" s="74" t="s">
        <v>26</v>
      </c>
      <c r="C19" s="532">
        <v>5.6625422827992818E-3</v>
      </c>
      <c r="D19" s="533" t="e">
        <f>(C19*100)/#REF!</f>
        <v>#REF!</v>
      </c>
      <c r="E19" s="537">
        <v>59418</v>
      </c>
      <c r="F19" s="534">
        <f t="shared" si="0"/>
        <v>336.45693735936771</v>
      </c>
      <c r="G19" s="501">
        <v>59227</v>
      </c>
      <c r="H19" s="73">
        <f t="shared" si="2"/>
        <v>335.37539178335305</v>
      </c>
      <c r="I19" s="535">
        <f t="shared" si="1"/>
        <v>0.32248805443461492</v>
      </c>
    </row>
    <row r="20" spans="1:10" s="42" customFormat="1" x14ac:dyDescent="0.3">
      <c r="A20" s="74" t="s">
        <v>404</v>
      </c>
      <c r="B20" s="74" t="s">
        <v>405</v>
      </c>
      <c r="C20" s="70">
        <v>3.0528513323074941E-3</v>
      </c>
      <c r="D20" s="72" t="e">
        <f>(C20*100)/#REF!</f>
        <v>#REF!</v>
      </c>
      <c r="E20" s="452">
        <v>4915</v>
      </c>
      <c r="F20" s="552">
        <f t="shared" si="0"/>
        <v>15.004764298291333</v>
      </c>
      <c r="G20" s="452">
        <v>4908</v>
      </c>
      <c r="H20" s="73">
        <f t="shared" si="2"/>
        <v>14.983394338965182</v>
      </c>
      <c r="I20" s="404">
        <f t="shared" si="1"/>
        <v>0.14262428687857209</v>
      </c>
      <c r="J20" s="345"/>
    </row>
    <row r="21" spans="1:10" s="42" customFormat="1" x14ac:dyDescent="0.25">
      <c r="A21" s="523" t="s">
        <v>184</v>
      </c>
      <c r="B21" s="523" t="s">
        <v>185</v>
      </c>
      <c r="C21" s="190">
        <v>1.7645053821372427E-4</v>
      </c>
      <c r="D21" s="70">
        <v>0.12974304280420901</v>
      </c>
      <c r="E21" s="501">
        <v>53618</v>
      </c>
      <c r="F21" s="524">
        <f t="shared" si="0"/>
        <v>9.4609249579434689</v>
      </c>
      <c r="G21" s="501">
        <v>53617</v>
      </c>
      <c r="H21" s="73">
        <f t="shared" si="2"/>
        <v>9.4607485074052544</v>
      </c>
      <c r="I21" s="509">
        <f t="shared" si="1"/>
        <v>1.8650801052046972E-3</v>
      </c>
      <c r="J21" s="345"/>
    </row>
    <row r="22" spans="1:10" s="42" customFormat="1" x14ac:dyDescent="0.25">
      <c r="A22" s="523" t="s">
        <v>59</v>
      </c>
      <c r="B22" s="523" t="s">
        <v>60</v>
      </c>
      <c r="C22" s="190">
        <v>5.7677008750994432E-3</v>
      </c>
      <c r="D22" s="70">
        <v>0.5767700875099443</v>
      </c>
      <c r="E22" s="501">
        <v>62000</v>
      </c>
      <c r="F22" s="524">
        <f t="shared" si="0"/>
        <v>357.59745425616546</v>
      </c>
      <c r="G22" s="501">
        <v>62000</v>
      </c>
      <c r="H22" s="73">
        <f t="shared" si="2"/>
        <v>357.59745425616546</v>
      </c>
      <c r="I22" s="506">
        <f t="shared" si="1"/>
        <v>0</v>
      </c>
      <c r="J22" s="345"/>
    </row>
    <row r="23" spans="1:10" s="42" customFormat="1" x14ac:dyDescent="0.3">
      <c r="A23" s="74" t="s">
        <v>4</v>
      </c>
      <c r="B23" s="74" t="s">
        <v>53</v>
      </c>
      <c r="C23" s="532">
        <v>0.13988295021157471</v>
      </c>
      <c r="D23" s="533">
        <v>26.900567348379752</v>
      </c>
      <c r="E23" s="501">
        <v>7</v>
      </c>
      <c r="F23" s="501">
        <f t="shared" si="0"/>
        <v>0.97918065148102296</v>
      </c>
      <c r="G23" s="501">
        <v>7</v>
      </c>
      <c r="H23" s="88">
        <f t="shared" si="2"/>
        <v>0.97918065148102296</v>
      </c>
      <c r="I23" s="70">
        <f t="shared" si="1"/>
        <v>0</v>
      </c>
      <c r="J23" s="345"/>
    </row>
    <row r="24" spans="1:10" s="42" customFormat="1" x14ac:dyDescent="0.3">
      <c r="A24" s="74" t="s">
        <v>61</v>
      </c>
      <c r="B24" s="74" t="s">
        <v>62</v>
      </c>
      <c r="C24" s="190">
        <v>1.3572422888123676E-4</v>
      </c>
      <c r="D24" s="70" t="e">
        <f>(C24*100)/#REF!</f>
        <v>#REF!</v>
      </c>
      <c r="E24" s="501">
        <v>30713</v>
      </c>
      <c r="F24" s="524">
        <f t="shared" si="0"/>
        <v>4.1684982416294245</v>
      </c>
      <c r="G24" s="501">
        <v>30713</v>
      </c>
      <c r="H24" s="73">
        <f t="shared" si="2"/>
        <v>4.1684982416294245</v>
      </c>
      <c r="I24" s="73">
        <f t="shared" si="1"/>
        <v>0</v>
      </c>
      <c r="J24" s="336"/>
    </row>
    <row r="25" spans="1:10" s="42" customFormat="1" x14ac:dyDescent="0.25">
      <c r="A25" s="523"/>
      <c r="B25" s="523" t="s">
        <v>246</v>
      </c>
      <c r="C25" s="190">
        <v>7.9200000000000007E-2</v>
      </c>
      <c r="D25" s="70">
        <v>11.999999999999998</v>
      </c>
      <c r="E25" s="501">
        <v>7900</v>
      </c>
      <c r="F25" s="524">
        <v>625.68000000000006</v>
      </c>
      <c r="G25" s="501">
        <v>7900</v>
      </c>
      <c r="H25" s="70">
        <v>625.68000000000006</v>
      </c>
      <c r="I25" s="70">
        <v>0</v>
      </c>
      <c r="J25" s="336"/>
    </row>
    <row r="26" spans="1:10" s="42" customFormat="1" x14ac:dyDescent="0.3">
      <c r="A26" s="553" t="s">
        <v>75</v>
      </c>
      <c r="B26" s="553" t="s">
        <v>76</v>
      </c>
      <c r="C26" s="554">
        <v>3.8752756589677671E-3</v>
      </c>
      <c r="D26" s="555" t="e">
        <f>(C26*100)/#REF!</f>
        <v>#REF!</v>
      </c>
      <c r="E26" s="531">
        <v>35100</v>
      </c>
      <c r="F26" s="556">
        <f t="shared" ref="F26:F61" si="3">E26*C26</f>
        <v>136.02217562976864</v>
      </c>
      <c r="G26" s="544">
        <v>35100</v>
      </c>
      <c r="H26" s="533">
        <f t="shared" ref="H26:H45" si="4">G26*C26</f>
        <v>136.02217562976864</v>
      </c>
      <c r="I26" s="533">
        <f t="shared" ref="I26:I69" si="5">((E26/G26)*100)-100</f>
        <v>0</v>
      </c>
      <c r="J26" s="336"/>
    </row>
    <row r="27" spans="1:10" s="42" customFormat="1" x14ac:dyDescent="0.25">
      <c r="A27" s="70" t="s">
        <v>78</v>
      </c>
      <c r="B27" s="56" t="s">
        <v>79</v>
      </c>
      <c r="C27" s="189">
        <v>1.582535622782271E-3</v>
      </c>
      <c r="D27" s="72" t="e">
        <f>(C27*100)/#REF!</f>
        <v>#REF!</v>
      </c>
      <c r="E27" s="501">
        <v>62980</v>
      </c>
      <c r="F27" s="449">
        <f t="shared" si="3"/>
        <v>99.668093522827434</v>
      </c>
      <c r="G27" s="501">
        <v>62980</v>
      </c>
      <c r="H27" s="73">
        <f t="shared" si="4"/>
        <v>99.668093522827434</v>
      </c>
      <c r="I27" s="73">
        <f t="shared" si="5"/>
        <v>0</v>
      </c>
      <c r="J27" s="336"/>
    </row>
    <row r="28" spans="1:10" s="42" customFormat="1" x14ac:dyDescent="0.25">
      <c r="A28" s="523" t="s">
        <v>65</v>
      </c>
      <c r="B28" s="523" t="s">
        <v>66</v>
      </c>
      <c r="C28" s="190">
        <v>5.1875752816869206E-4</v>
      </c>
      <c r="D28" s="72" t="e">
        <f>(C28*100)/#REF!</f>
        <v>#REF!</v>
      </c>
      <c r="E28" s="501">
        <v>24619</v>
      </c>
      <c r="F28" s="500">
        <f t="shared" si="3"/>
        <v>12.771291585985029</v>
      </c>
      <c r="G28" s="501">
        <v>24619</v>
      </c>
      <c r="H28" s="73">
        <f t="shared" si="4"/>
        <v>12.771291585985029</v>
      </c>
      <c r="I28" s="73">
        <f t="shared" si="5"/>
        <v>0</v>
      </c>
      <c r="J28" s="336"/>
    </row>
    <row r="29" spans="1:10" s="42" customFormat="1" x14ac:dyDescent="0.25">
      <c r="A29" s="523" t="s">
        <v>217</v>
      </c>
      <c r="B29" s="523" t="s">
        <v>218</v>
      </c>
      <c r="C29" s="189">
        <v>2.2921844267918953E-3</v>
      </c>
      <c r="D29" s="72" t="e">
        <f>(C29*100)/#REF!</f>
        <v>#REF!</v>
      </c>
      <c r="E29" s="452">
        <v>4561</v>
      </c>
      <c r="F29" s="500">
        <f t="shared" si="3"/>
        <v>10.454653170597835</v>
      </c>
      <c r="G29" s="501">
        <v>4561</v>
      </c>
      <c r="H29" s="73">
        <f t="shared" si="4"/>
        <v>10.454653170597835</v>
      </c>
      <c r="I29" s="73">
        <f t="shared" si="5"/>
        <v>0</v>
      </c>
      <c r="J29" s="345"/>
    </row>
    <row r="30" spans="1:10" s="42" customFormat="1" x14ac:dyDescent="0.25">
      <c r="A30" s="523" t="s">
        <v>182</v>
      </c>
      <c r="B30" s="523" t="s">
        <v>183</v>
      </c>
      <c r="C30" s="190">
        <v>2.3177824934853607E-4</v>
      </c>
      <c r="D30" s="70">
        <v>0.17042518334451179</v>
      </c>
      <c r="E30" s="501">
        <v>39122</v>
      </c>
      <c r="F30" s="524">
        <f t="shared" si="3"/>
        <v>9.0676286710134288</v>
      </c>
      <c r="G30" s="501">
        <v>39122</v>
      </c>
      <c r="H30" s="73">
        <f t="shared" si="4"/>
        <v>9.0676286710134288</v>
      </c>
      <c r="I30" s="70">
        <f t="shared" si="5"/>
        <v>0</v>
      </c>
      <c r="J30" s="345"/>
    </row>
    <row r="31" spans="1:10" s="42" customFormat="1" x14ac:dyDescent="0.3">
      <c r="A31" s="74" t="s">
        <v>35</v>
      </c>
      <c r="B31" s="74" t="s">
        <v>36</v>
      </c>
      <c r="C31" s="532">
        <v>9.0600676524788481E-5</v>
      </c>
      <c r="D31" s="533" t="e">
        <f>(C31*100)/#REF!</f>
        <v>#REF!</v>
      </c>
      <c r="E31" s="501">
        <v>169210</v>
      </c>
      <c r="F31" s="534">
        <f t="shared" si="3"/>
        <v>15.330540474759459</v>
      </c>
      <c r="G31" s="501">
        <v>169210</v>
      </c>
      <c r="H31" s="73">
        <f t="shared" si="4"/>
        <v>15.330540474759459</v>
      </c>
      <c r="I31" s="533">
        <f t="shared" si="5"/>
        <v>0</v>
      </c>
      <c r="J31" s="336"/>
    </row>
    <row r="32" spans="1:10" s="42" customFormat="1" x14ac:dyDescent="0.3">
      <c r="A32" s="74" t="s">
        <v>31</v>
      </c>
      <c r="B32" s="74" t="s">
        <v>32</v>
      </c>
      <c r="C32" s="532">
        <v>4.5300338262394251E-4</v>
      </c>
      <c r="D32" s="533" t="e">
        <f>(C32*100)/#REF!</f>
        <v>#REF!</v>
      </c>
      <c r="E32" s="531">
        <v>121899</v>
      </c>
      <c r="F32" s="534">
        <f t="shared" si="3"/>
        <v>55.220659338475969</v>
      </c>
      <c r="G32" s="501">
        <v>121899</v>
      </c>
      <c r="H32" s="73">
        <f t="shared" si="4"/>
        <v>55.220659338475969</v>
      </c>
      <c r="I32" s="533">
        <f t="shared" si="5"/>
        <v>0</v>
      </c>
      <c r="J32" s="336"/>
    </row>
    <row r="33" spans="1:10" s="42" customFormat="1" x14ac:dyDescent="0.3">
      <c r="A33" s="74" t="s">
        <v>219</v>
      </c>
      <c r="B33" s="74" t="s">
        <v>220</v>
      </c>
      <c r="C33" s="190">
        <v>1.1389445780243643E-4</v>
      </c>
      <c r="D33" s="70" t="e">
        <f>(C33*100)/#REF!</f>
        <v>#REF!</v>
      </c>
      <c r="E33" s="452">
        <v>32511</v>
      </c>
      <c r="F33" s="524">
        <f t="shared" si="3"/>
        <v>3.7028227176150108</v>
      </c>
      <c r="G33" s="501">
        <v>32511</v>
      </c>
      <c r="H33" s="73">
        <f t="shared" si="4"/>
        <v>3.7028227176150108</v>
      </c>
      <c r="I33" s="73">
        <f t="shared" si="5"/>
        <v>0</v>
      </c>
      <c r="J33" s="336"/>
    </row>
    <row r="34" spans="1:10" s="42" customFormat="1" x14ac:dyDescent="0.3">
      <c r="A34" s="74" t="s">
        <v>103</v>
      </c>
      <c r="B34" s="74" t="s">
        <v>104</v>
      </c>
      <c r="C34" s="532">
        <v>3.3975253696795693E-3</v>
      </c>
      <c r="D34" s="533" t="e">
        <f>(C34*100)/#REF!</f>
        <v>#REF!</v>
      </c>
      <c r="E34" s="452">
        <v>10972</v>
      </c>
      <c r="F34" s="534">
        <f t="shared" si="3"/>
        <v>37.277648356124232</v>
      </c>
      <c r="G34" s="501">
        <v>10972</v>
      </c>
      <c r="H34" s="73">
        <f t="shared" si="4"/>
        <v>37.277648356124232</v>
      </c>
      <c r="I34" s="533">
        <f t="shared" si="5"/>
        <v>0</v>
      </c>
      <c r="J34" s="336"/>
    </row>
    <row r="35" spans="1:10" s="42" customFormat="1" x14ac:dyDescent="0.3">
      <c r="A35" s="553" t="s">
        <v>8</v>
      </c>
      <c r="B35" s="553" t="s">
        <v>56</v>
      </c>
      <c r="C35" s="554">
        <v>9.650379972189857E-2</v>
      </c>
      <c r="D35" s="555" t="e">
        <f>(C35*100)/#REF!</f>
        <v>#REF!</v>
      </c>
      <c r="E35" s="531">
        <v>1500</v>
      </c>
      <c r="F35" s="556">
        <f t="shared" si="3"/>
        <v>144.75569958284785</v>
      </c>
      <c r="G35" s="544">
        <v>1500</v>
      </c>
      <c r="H35" s="533">
        <f t="shared" si="4"/>
        <v>144.75569958284785</v>
      </c>
      <c r="I35" s="533">
        <f t="shared" si="5"/>
        <v>0</v>
      </c>
      <c r="J35" s="336"/>
    </row>
    <row r="36" spans="1:10" s="42" customFormat="1" x14ac:dyDescent="0.3">
      <c r="A36" s="74" t="s">
        <v>8</v>
      </c>
      <c r="B36" s="74" t="s">
        <v>140</v>
      </c>
      <c r="C36" s="532">
        <v>3.8784551814669513E-2</v>
      </c>
      <c r="D36" s="533">
        <v>7.4585676566672143</v>
      </c>
      <c r="E36" s="501">
        <v>1500</v>
      </c>
      <c r="F36" s="501">
        <f t="shared" si="3"/>
        <v>58.176827722004269</v>
      </c>
      <c r="G36" s="501">
        <v>1500</v>
      </c>
      <c r="H36" s="88">
        <f t="shared" si="4"/>
        <v>58.176827722004269</v>
      </c>
      <c r="I36" s="70">
        <f t="shared" si="5"/>
        <v>0</v>
      </c>
      <c r="J36" s="336"/>
    </row>
    <row r="37" spans="1:10" s="527" customFormat="1" x14ac:dyDescent="0.3">
      <c r="A37" s="523" t="s">
        <v>243</v>
      </c>
      <c r="B37" s="523" t="s">
        <v>244</v>
      </c>
      <c r="C37" s="190">
        <v>3.0495889684433834E-3</v>
      </c>
      <c r="D37" s="70">
        <v>0.30495889684433836</v>
      </c>
      <c r="E37" s="501">
        <v>50633</v>
      </c>
      <c r="F37" s="524">
        <f t="shared" si="3"/>
        <v>154.40983823919385</v>
      </c>
      <c r="G37" s="501">
        <v>50633</v>
      </c>
      <c r="H37" s="497">
        <f t="shared" si="4"/>
        <v>154.40983823919385</v>
      </c>
      <c r="I37" s="73">
        <f t="shared" si="5"/>
        <v>0</v>
      </c>
    </row>
    <row r="38" spans="1:10" s="527" customFormat="1" x14ac:dyDescent="0.3">
      <c r="A38" s="74" t="s">
        <v>33</v>
      </c>
      <c r="B38" s="74" t="s">
        <v>34</v>
      </c>
      <c r="C38" s="532">
        <v>5.6625422827992825E-4</v>
      </c>
      <c r="D38" s="533" t="e">
        <f>(C38*100)/#REF!</f>
        <v>#REF!</v>
      </c>
      <c r="E38" s="529">
        <v>26800</v>
      </c>
      <c r="F38" s="534">
        <f t="shared" si="3"/>
        <v>15.175613317902076</v>
      </c>
      <c r="G38" s="501">
        <v>26800</v>
      </c>
      <c r="H38" s="497">
        <f t="shared" si="4"/>
        <v>15.175613317902076</v>
      </c>
      <c r="I38" s="533">
        <f t="shared" si="5"/>
        <v>0</v>
      </c>
    </row>
    <row r="39" spans="1:10" s="527" customFormat="1" x14ac:dyDescent="0.3">
      <c r="A39" s="74" t="s">
        <v>23</v>
      </c>
      <c r="B39" s="74" t="s">
        <v>24</v>
      </c>
      <c r="C39" s="532">
        <v>9.060067652478852E-3</v>
      </c>
      <c r="D39" s="533" t="e">
        <f>(C39*100)/#REF!</f>
        <v>#REF!</v>
      </c>
      <c r="E39" s="557">
        <v>19616</v>
      </c>
      <c r="F39" s="534">
        <f t="shared" si="3"/>
        <v>177.72228707102516</v>
      </c>
      <c r="G39" s="529">
        <v>19616</v>
      </c>
      <c r="H39" s="497">
        <f t="shared" si="4"/>
        <v>177.72228707102516</v>
      </c>
      <c r="I39" s="533">
        <f t="shared" si="5"/>
        <v>0</v>
      </c>
    </row>
    <row r="40" spans="1:10" s="527" customFormat="1" x14ac:dyDescent="0.3">
      <c r="A40" s="523" t="s">
        <v>130</v>
      </c>
      <c r="B40" s="523" t="s">
        <v>131</v>
      </c>
      <c r="C40" s="190">
        <v>2.8673190703491808E-2</v>
      </c>
      <c r="D40" s="70" t="e">
        <f>(C40*100)/#REF!</f>
        <v>#REF!</v>
      </c>
      <c r="E40" s="501">
        <v>4000</v>
      </c>
      <c r="F40" s="524">
        <f t="shared" si="3"/>
        <v>114.69276281396724</v>
      </c>
      <c r="G40" s="501">
        <v>4000</v>
      </c>
      <c r="H40" s="497">
        <f t="shared" si="4"/>
        <v>114.69276281396724</v>
      </c>
      <c r="I40" s="73">
        <f t="shared" si="5"/>
        <v>0</v>
      </c>
    </row>
    <row r="41" spans="1:10" s="527" customFormat="1" x14ac:dyDescent="0.3">
      <c r="A41" s="70" t="s">
        <v>97</v>
      </c>
      <c r="B41" s="56" t="s">
        <v>98</v>
      </c>
      <c r="C41" s="190">
        <v>1.7749406263772631E-2</v>
      </c>
      <c r="D41" s="72" t="e">
        <f>(C41*100)/#REF!</f>
        <v>#REF!</v>
      </c>
      <c r="E41" s="452">
        <v>310</v>
      </c>
      <c r="F41" s="449">
        <f t="shared" si="3"/>
        <v>5.502315941769516</v>
      </c>
      <c r="G41" s="501">
        <v>310</v>
      </c>
      <c r="H41" s="497">
        <f t="shared" si="4"/>
        <v>5.502315941769516</v>
      </c>
      <c r="I41" s="73">
        <f t="shared" si="5"/>
        <v>0</v>
      </c>
    </row>
    <row r="42" spans="1:10" s="527" customFormat="1" x14ac:dyDescent="0.3">
      <c r="A42" s="70" t="s">
        <v>107</v>
      </c>
      <c r="B42" s="56" t="s">
        <v>108</v>
      </c>
      <c r="C42" s="190">
        <v>1.3007142105059768E-4</v>
      </c>
      <c r="D42" s="72" t="e">
        <f>(C42*100)/#REF!</f>
        <v>#REF!</v>
      </c>
      <c r="E42" s="452">
        <v>65000</v>
      </c>
      <c r="F42" s="449">
        <f t="shared" si="3"/>
        <v>8.4546423682888481</v>
      </c>
      <c r="G42" s="501">
        <v>65000</v>
      </c>
      <c r="H42" s="497">
        <f t="shared" si="4"/>
        <v>8.4546423682888481</v>
      </c>
      <c r="I42" s="73">
        <f t="shared" si="5"/>
        <v>0</v>
      </c>
    </row>
    <row r="43" spans="1:10" s="527" customFormat="1" x14ac:dyDescent="0.3">
      <c r="A43" s="74" t="s">
        <v>149</v>
      </c>
      <c r="B43" s="74" t="s">
        <v>416</v>
      </c>
      <c r="C43" s="190">
        <v>2.9802383124970868E-4</v>
      </c>
      <c r="D43" s="70" t="e">
        <f>(C43*100)/#REF!</f>
        <v>#REF!</v>
      </c>
      <c r="E43" s="501">
        <v>41100</v>
      </c>
      <c r="F43" s="524">
        <f t="shared" si="3"/>
        <v>12.248779464363027</v>
      </c>
      <c r="G43" s="501">
        <v>41100</v>
      </c>
      <c r="H43" s="497">
        <f t="shared" si="4"/>
        <v>12.248779464363027</v>
      </c>
      <c r="I43" s="73">
        <f t="shared" si="5"/>
        <v>0</v>
      </c>
    </row>
    <row r="44" spans="1:10" s="527" customFormat="1" x14ac:dyDescent="0.3">
      <c r="A44" s="523" t="s">
        <v>261</v>
      </c>
      <c r="B44" s="523" t="s">
        <v>262</v>
      </c>
      <c r="C44" s="190">
        <v>3.2769360803990635E-3</v>
      </c>
      <c r="D44" s="70" t="e">
        <f>(C44*100)/#REF!</f>
        <v>#REF!</v>
      </c>
      <c r="E44" s="501">
        <v>29877</v>
      </c>
      <c r="F44" s="524">
        <f t="shared" si="3"/>
        <v>97.905019274082818</v>
      </c>
      <c r="G44" s="501">
        <v>29877</v>
      </c>
      <c r="H44" s="73">
        <f t="shared" si="4"/>
        <v>97.905019274082818</v>
      </c>
      <c r="I44" s="73">
        <f t="shared" si="5"/>
        <v>0</v>
      </c>
      <c r="J44" s="558"/>
    </row>
    <row r="45" spans="1:10" s="527" customFormat="1" x14ac:dyDescent="0.3">
      <c r="A45" s="74" t="s">
        <v>19</v>
      </c>
      <c r="B45" s="74" t="s">
        <v>20</v>
      </c>
      <c r="C45" s="190">
        <v>3.5541948775389778E-3</v>
      </c>
      <c r="D45" s="543" t="e">
        <f>(C45*100)/#REF!</f>
        <v>#REF!</v>
      </c>
      <c r="E45" s="537">
        <v>27308</v>
      </c>
      <c r="F45" s="552">
        <f t="shared" si="3"/>
        <v>97.057953715834401</v>
      </c>
      <c r="G45" s="559">
        <v>27308</v>
      </c>
      <c r="H45" s="560">
        <f t="shared" si="4"/>
        <v>97.057953715834401</v>
      </c>
      <c r="I45" s="560">
        <f t="shared" si="5"/>
        <v>0</v>
      </c>
      <c r="J45" s="558"/>
    </row>
    <row r="46" spans="1:10" s="527" customFormat="1" x14ac:dyDescent="0.3">
      <c r="A46" s="553" t="s">
        <v>337</v>
      </c>
      <c r="B46" s="553" t="s">
        <v>336</v>
      </c>
      <c r="C46" s="554">
        <v>1.0080201604032082E-3</v>
      </c>
      <c r="D46" s="561" t="e">
        <f>(C46*100)/#REF!</f>
        <v>#REF!</v>
      </c>
      <c r="E46" s="544">
        <v>32870</v>
      </c>
      <c r="F46" s="556">
        <f t="shared" si="3"/>
        <v>33.133622672453455</v>
      </c>
      <c r="G46" s="544">
        <v>32870</v>
      </c>
      <c r="H46" s="562">
        <f>C46*G46</f>
        <v>33.133622672453455</v>
      </c>
      <c r="I46" s="561">
        <f t="shared" si="5"/>
        <v>0</v>
      </c>
      <c r="J46" s="558"/>
    </row>
    <row r="47" spans="1:10" s="527" customFormat="1" x14ac:dyDescent="0.3">
      <c r="A47" s="74" t="s">
        <v>145</v>
      </c>
      <c r="B47" s="74" t="s">
        <v>146</v>
      </c>
      <c r="C47" s="532">
        <v>1.8616584871041369E-2</v>
      </c>
      <c r="D47" s="533">
        <v>3.5801124752002629</v>
      </c>
      <c r="E47" s="501">
        <v>12000</v>
      </c>
      <c r="F47" s="501">
        <f t="shared" si="3"/>
        <v>223.39901845249642</v>
      </c>
      <c r="G47" s="501">
        <v>12000</v>
      </c>
      <c r="H47" s="88">
        <f t="shared" ref="H47:H57" si="6">G47*C47</f>
        <v>223.39901845249642</v>
      </c>
      <c r="I47" s="70">
        <f t="shared" si="5"/>
        <v>0</v>
      </c>
      <c r="J47" s="526"/>
    </row>
    <row r="48" spans="1:10" s="527" customFormat="1" x14ac:dyDescent="0.3">
      <c r="A48" s="523" t="s">
        <v>67</v>
      </c>
      <c r="B48" s="523" t="s">
        <v>68</v>
      </c>
      <c r="C48" s="190">
        <v>6.6295412357464877E-4</v>
      </c>
      <c r="D48" s="70">
        <v>6.6295412357464875E-2</v>
      </c>
      <c r="E48" s="501">
        <v>69401</v>
      </c>
      <c r="F48" s="524">
        <f t="shared" si="3"/>
        <v>46.009679130204198</v>
      </c>
      <c r="G48" s="501">
        <v>69401</v>
      </c>
      <c r="H48" s="73">
        <f t="shared" si="6"/>
        <v>46.009679130204198</v>
      </c>
      <c r="I48" s="73">
        <f t="shared" si="5"/>
        <v>0</v>
      </c>
      <c r="J48" s="526"/>
    </row>
    <row r="49" spans="1:10" s="527" customFormat="1" x14ac:dyDescent="0.3">
      <c r="A49" s="523" t="s">
        <v>121</v>
      </c>
      <c r="B49" s="523" t="s">
        <v>122</v>
      </c>
      <c r="C49" s="190">
        <v>3.8846493969841596E-4</v>
      </c>
      <c r="D49" s="72" t="e">
        <f>(C49*100)/#REF!</f>
        <v>#REF!</v>
      </c>
      <c r="E49" s="452">
        <v>43120</v>
      </c>
      <c r="F49" s="500">
        <f t="shared" si="3"/>
        <v>16.750608199795696</v>
      </c>
      <c r="G49" s="501">
        <v>43120</v>
      </c>
      <c r="H49" s="73">
        <f t="shared" si="6"/>
        <v>16.750608199795696</v>
      </c>
      <c r="I49" s="73">
        <f t="shared" si="5"/>
        <v>0</v>
      </c>
      <c r="J49" s="526"/>
    </row>
    <row r="50" spans="1:10" s="527" customFormat="1" x14ac:dyDescent="0.3">
      <c r="A50" s="74" t="s">
        <v>147</v>
      </c>
      <c r="B50" s="74" t="s">
        <v>148</v>
      </c>
      <c r="C50" s="532">
        <v>7.2708106468567114E-3</v>
      </c>
      <c r="D50" s="533">
        <v>1.3982328167032136</v>
      </c>
      <c r="E50" s="501">
        <v>15516</v>
      </c>
      <c r="F50" s="501">
        <f t="shared" si="3"/>
        <v>112.81389799662874</v>
      </c>
      <c r="G50" s="505">
        <v>15516</v>
      </c>
      <c r="H50" s="88">
        <f t="shared" si="6"/>
        <v>112.81389799662874</v>
      </c>
      <c r="I50" s="70">
        <f t="shared" si="5"/>
        <v>0</v>
      </c>
      <c r="J50" s="526"/>
    </row>
    <row r="51" spans="1:10" s="527" customFormat="1" x14ac:dyDescent="0.3">
      <c r="A51" s="74" t="s">
        <v>433</v>
      </c>
      <c r="B51" s="74" t="s">
        <v>434</v>
      </c>
      <c r="C51" s="190">
        <v>2.0955454626855829E-3</v>
      </c>
      <c r="D51" s="70" t="e">
        <f>(C51*100)/#REF!</f>
        <v>#REF!</v>
      </c>
      <c r="E51" s="501">
        <v>21000</v>
      </c>
      <c r="F51" s="524">
        <f t="shared" si="3"/>
        <v>44.006454716397243</v>
      </c>
      <c r="G51" s="501">
        <v>21000</v>
      </c>
      <c r="H51" s="73">
        <f t="shared" si="6"/>
        <v>44.006454716397243</v>
      </c>
      <c r="I51" s="73">
        <f t="shared" si="5"/>
        <v>0</v>
      </c>
      <c r="J51" s="526"/>
    </row>
    <row r="52" spans="1:10" s="527" customFormat="1" x14ac:dyDescent="0.3">
      <c r="A52" s="74" t="s">
        <v>414</v>
      </c>
      <c r="B52" s="74" t="s">
        <v>415</v>
      </c>
      <c r="C52" s="190">
        <v>5.6947228901218219E-3</v>
      </c>
      <c r="D52" s="70" t="e">
        <f>(C52*100)/#REF!</f>
        <v>#REF!</v>
      </c>
      <c r="E52" s="501">
        <v>37500</v>
      </c>
      <c r="F52" s="524">
        <f t="shared" si="3"/>
        <v>213.55210837956832</v>
      </c>
      <c r="G52" s="501">
        <v>37500</v>
      </c>
      <c r="H52" s="73">
        <f t="shared" si="6"/>
        <v>213.55210837956832</v>
      </c>
      <c r="I52" s="73">
        <f t="shared" si="5"/>
        <v>0</v>
      </c>
      <c r="J52" s="526"/>
    </row>
    <row r="53" spans="1:10" s="527" customFormat="1" x14ac:dyDescent="0.3">
      <c r="A53" s="523" t="s">
        <v>180</v>
      </c>
      <c r="B53" s="523" t="s">
        <v>181</v>
      </c>
      <c r="C53" s="190">
        <v>2.5772245984013028E-3</v>
      </c>
      <c r="D53" s="70">
        <v>1.8950180870597813</v>
      </c>
      <c r="E53" s="501">
        <v>36457</v>
      </c>
      <c r="F53" s="524">
        <f t="shared" si="3"/>
        <v>93.957877183916295</v>
      </c>
      <c r="G53" s="501">
        <v>36457</v>
      </c>
      <c r="H53" s="73">
        <f t="shared" si="6"/>
        <v>93.957877183916295</v>
      </c>
      <c r="I53" s="70">
        <f t="shared" si="5"/>
        <v>0</v>
      </c>
      <c r="J53" s="526"/>
    </row>
    <row r="54" spans="1:10" s="42" customFormat="1" x14ac:dyDescent="0.3">
      <c r="A54" s="563" t="s">
        <v>406</v>
      </c>
      <c r="B54" s="563" t="s">
        <v>407</v>
      </c>
      <c r="C54" s="507">
        <v>1.1193788218460809E-3</v>
      </c>
      <c r="D54" s="495" t="e">
        <f>(C54*100)/#REF!</f>
        <v>#REF!</v>
      </c>
      <c r="E54" s="452">
        <v>8214</v>
      </c>
      <c r="F54" s="564">
        <f t="shared" si="3"/>
        <v>9.1945776426437078</v>
      </c>
      <c r="G54" s="502">
        <v>8214</v>
      </c>
      <c r="H54" s="498">
        <f t="shared" si="6"/>
        <v>9.1945776426437078</v>
      </c>
      <c r="I54" s="498">
        <f t="shared" si="5"/>
        <v>0</v>
      </c>
    </row>
    <row r="55" spans="1:10" s="42" customFormat="1" x14ac:dyDescent="0.25">
      <c r="A55" s="70" t="s">
        <v>99</v>
      </c>
      <c r="B55" s="56" t="s">
        <v>100</v>
      </c>
      <c r="C55" s="70">
        <v>1.7728500000000001E-3</v>
      </c>
      <c r="D55" s="495" t="e">
        <f>(C55*100)/#REF!</f>
        <v>#REF!</v>
      </c>
      <c r="E55" s="502">
        <v>21534</v>
      </c>
      <c r="F55" s="503">
        <f t="shared" si="3"/>
        <v>38.1765519</v>
      </c>
      <c r="G55" s="501">
        <v>21534</v>
      </c>
      <c r="H55" s="498">
        <f t="shared" si="6"/>
        <v>38.1765519</v>
      </c>
      <c r="I55" s="498">
        <f t="shared" si="5"/>
        <v>0</v>
      </c>
    </row>
    <row r="56" spans="1:10" s="42" customFormat="1" x14ac:dyDescent="0.3">
      <c r="A56" s="74" t="s">
        <v>21</v>
      </c>
      <c r="B56" s="74" t="s">
        <v>22</v>
      </c>
      <c r="C56" s="190">
        <v>3.1592843355902019E-3</v>
      </c>
      <c r="D56" s="565" t="e">
        <f>(C56*100)/#REF!</f>
        <v>#REF!</v>
      </c>
      <c r="E56" s="501">
        <v>10412</v>
      </c>
      <c r="F56" s="564">
        <f t="shared" si="3"/>
        <v>32.894468502165182</v>
      </c>
      <c r="G56" s="537">
        <v>10412</v>
      </c>
      <c r="H56" s="566">
        <f t="shared" si="6"/>
        <v>32.894468502165182</v>
      </c>
      <c r="I56" s="566">
        <f t="shared" si="5"/>
        <v>0</v>
      </c>
    </row>
    <row r="57" spans="1:10" s="42" customFormat="1" x14ac:dyDescent="0.3">
      <c r="A57" s="74" t="s">
        <v>417</v>
      </c>
      <c r="B57" s="74" t="s">
        <v>418</v>
      </c>
      <c r="C57" s="190">
        <v>2.8473614450609113E-4</v>
      </c>
      <c r="D57" s="507" t="e">
        <f>(C57*100)/#REF!</f>
        <v>#REF!</v>
      </c>
      <c r="E57" s="529">
        <v>72924</v>
      </c>
      <c r="F57" s="567">
        <f t="shared" si="3"/>
        <v>20.764098601962189</v>
      </c>
      <c r="G57" s="501">
        <v>72924</v>
      </c>
      <c r="H57" s="498">
        <f t="shared" si="6"/>
        <v>20.764098601962189</v>
      </c>
      <c r="I57" s="498">
        <f t="shared" si="5"/>
        <v>0</v>
      </c>
    </row>
    <row r="58" spans="1:10" s="42" customFormat="1" x14ac:dyDescent="0.3">
      <c r="A58" s="553" t="s">
        <v>278</v>
      </c>
      <c r="B58" s="553" t="s">
        <v>279</v>
      </c>
      <c r="C58" s="562">
        <v>1.4011200000000005E-3</v>
      </c>
      <c r="D58" s="568" t="e">
        <f>(C58*100)/#REF!</f>
        <v>#REF!</v>
      </c>
      <c r="E58" s="569">
        <v>64256</v>
      </c>
      <c r="F58" s="570">
        <f t="shared" si="3"/>
        <v>90.030366720000032</v>
      </c>
      <c r="G58" s="544">
        <v>64256</v>
      </c>
      <c r="H58" s="571">
        <f>C58*G58</f>
        <v>90.030366720000032</v>
      </c>
      <c r="I58" s="568">
        <f t="shared" si="5"/>
        <v>0</v>
      </c>
    </row>
    <row r="59" spans="1:10" s="527" customFormat="1" x14ac:dyDescent="0.3">
      <c r="A59" s="523" t="s">
        <v>63</v>
      </c>
      <c r="B59" s="523" t="s">
        <v>64</v>
      </c>
      <c r="C59" s="190">
        <v>3.3147706178732433E-3</v>
      </c>
      <c r="D59" s="572">
        <v>0.33147706178732433</v>
      </c>
      <c r="E59" s="501">
        <v>46385</v>
      </c>
      <c r="F59" s="573">
        <f t="shared" si="3"/>
        <v>153.75563511005038</v>
      </c>
      <c r="G59" s="501">
        <v>46385</v>
      </c>
      <c r="H59" s="497">
        <f t="shared" ref="H59:H69" si="7">G59*C59</f>
        <v>153.75563511005038</v>
      </c>
      <c r="I59" s="73">
        <f t="shared" si="5"/>
        <v>0</v>
      </c>
    </row>
    <row r="60" spans="1:10" s="527" customFormat="1" x14ac:dyDescent="0.3">
      <c r="A60" s="74" t="s">
        <v>17</v>
      </c>
      <c r="B60" s="74" t="s">
        <v>18</v>
      </c>
      <c r="C60" s="532">
        <v>6.4640919691115852E-3</v>
      </c>
      <c r="D60" s="574">
        <v>1.2430946094445356</v>
      </c>
      <c r="E60" s="501">
        <v>878</v>
      </c>
      <c r="F60" s="493">
        <f t="shared" si="3"/>
        <v>5.6754727488799714</v>
      </c>
      <c r="G60" s="501">
        <v>878</v>
      </c>
      <c r="H60" s="575">
        <f t="shared" si="7"/>
        <v>5.6754727488799714</v>
      </c>
      <c r="I60" s="70">
        <f t="shared" si="5"/>
        <v>0</v>
      </c>
    </row>
    <row r="61" spans="1:10" s="577" customFormat="1" x14ac:dyDescent="0.3">
      <c r="A61" s="576" t="s">
        <v>213</v>
      </c>
      <c r="B61" s="576" t="s">
        <v>214</v>
      </c>
      <c r="C61" s="494">
        <v>1.447695427447513E-2</v>
      </c>
      <c r="D61" s="495" t="e">
        <f>(C61*100)/#REF!</f>
        <v>#REF!</v>
      </c>
      <c r="E61" s="502">
        <v>11052</v>
      </c>
      <c r="F61" s="504">
        <f t="shared" si="3"/>
        <v>159.99929864149914</v>
      </c>
      <c r="G61" s="508">
        <v>11052</v>
      </c>
      <c r="H61" s="498">
        <f t="shared" si="7"/>
        <v>159.99929864149914</v>
      </c>
      <c r="I61" s="498">
        <f t="shared" si="5"/>
        <v>0</v>
      </c>
    </row>
    <row r="62" spans="1:10" s="577" customFormat="1" x14ac:dyDescent="0.3">
      <c r="A62" s="510" t="s">
        <v>587</v>
      </c>
      <c r="B62" s="510" t="s">
        <v>586</v>
      </c>
      <c r="C62" s="587">
        <v>0.33333333333333337</v>
      </c>
      <c r="D62" s="588">
        <v>33.333333333333336</v>
      </c>
      <c r="E62" s="589">
        <v>5320</v>
      </c>
      <c r="F62" s="512">
        <v>1773.3333333333335</v>
      </c>
      <c r="G62" s="511">
        <v>5320</v>
      </c>
      <c r="H62" s="590">
        <f t="shared" si="7"/>
        <v>1773.3333333333335</v>
      </c>
      <c r="I62" s="498">
        <f t="shared" si="5"/>
        <v>0</v>
      </c>
    </row>
    <row r="63" spans="1:10" s="42" customFormat="1" x14ac:dyDescent="0.25">
      <c r="A63" s="70" t="s">
        <v>105</v>
      </c>
      <c r="B63" s="56" t="s">
        <v>106</v>
      </c>
      <c r="C63" s="189">
        <v>5.6364282455258978E-4</v>
      </c>
      <c r="D63" s="495" t="e">
        <f>(C63*100)/#REF!</f>
        <v>#REF!</v>
      </c>
      <c r="E63" s="452">
        <v>65850</v>
      </c>
      <c r="F63" s="503">
        <f t="shared" ref="F63:F69" si="8">E63*C63</f>
        <v>37.115879996788038</v>
      </c>
      <c r="G63" s="501">
        <v>65857</v>
      </c>
      <c r="H63" s="498">
        <f t="shared" si="7"/>
        <v>37.119825496559905</v>
      </c>
      <c r="I63" s="499">
        <f t="shared" si="5"/>
        <v>-1.0629090301719657E-2</v>
      </c>
      <c r="J63" s="191"/>
    </row>
    <row r="64" spans="1:10" s="42" customFormat="1" x14ac:dyDescent="0.3">
      <c r="A64" s="545" t="s">
        <v>291</v>
      </c>
      <c r="B64" s="545" t="s">
        <v>292</v>
      </c>
      <c r="C64" s="546">
        <v>1</v>
      </c>
      <c r="D64" s="578" t="e">
        <f>(C64*100)/#REF!</f>
        <v>#REF!</v>
      </c>
      <c r="E64" s="548">
        <v>2094</v>
      </c>
      <c r="F64" s="579">
        <f t="shared" si="8"/>
        <v>2094</v>
      </c>
      <c r="G64" s="548">
        <v>2095</v>
      </c>
      <c r="H64" s="580">
        <f t="shared" si="7"/>
        <v>2095</v>
      </c>
      <c r="I64" s="581">
        <f t="shared" si="5"/>
        <v>-4.7732696897369919E-2</v>
      </c>
      <c r="J64" s="191"/>
    </row>
    <row r="65" spans="1:11" s="42" customFormat="1" x14ac:dyDescent="0.3">
      <c r="A65" s="74" t="s">
        <v>15</v>
      </c>
      <c r="B65" s="74" t="s">
        <v>16</v>
      </c>
      <c r="C65" s="532">
        <v>6.2287965110792102E-3</v>
      </c>
      <c r="D65" s="582" t="e">
        <f>(C65*100)/#REF!</f>
        <v>#REF!</v>
      </c>
      <c r="E65" s="529">
        <v>28967</v>
      </c>
      <c r="F65" s="583">
        <f t="shared" si="8"/>
        <v>180.42954853643147</v>
      </c>
      <c r="G65" s="501">
        <v>29262</v>
      </c>
      <c r="H65" s="498">
        <f t="shared" si="7"/>
        <v>182.26704350719984</v>
      </c>
      <c r="I65" s="584">
        <f t="shared" si="5"/>
        <v>-1.0081334153509687</v>
      </c>
      <c r="J65" s="191"/>
    </row>
    <row r="66" spans="1:11" s="42" customFormat="1" x14ac:dyDescent="0.3">
      <c r="A66" s="74" t="s">
        <v>29</v>
      </c>
      <c r="B66" s="74" t="s">
        <v>30</v>
      </c>
      <c r="C66" s="532">
        <v>8.6618832386095243E-4</v>
      </c>
      <c r="D66" s="582">
        <v>0.16657467766556777</v>
      </c>
      <c r="E66" s="501">
        <v>2500</v>
      </c>
      <c r="F66" s="508">
        <f t="shared" si="8"/>
        <v>2.1654708096523811</v>
      </c>
      <c r="G66" s="501">
        <v>2554</v>
      </c>
      <c r="H66" s="585">
        <f t="shared" si="7"/>
        <v>2.2122449791408725</v>
      </c>
      <c r="I66" s="586">
        <f t="shared" si="5"/>
        <v>-2.1143304620203622</v>
      </c>
      <c r="J66" s="191"/>
    </row>
    <row r="67" spans="1:11" s="42" customFormat="1" x14ac:dyDescent="0.3">
      <c r="A67" s="74" t="s">
        <v>6</v>
      </c>
      <c r="B67" s="74" t="s">
        <v>77</v>
      </c>
      <c r="C67" s="543">
        <v>0.10068112630136712</v>
      </c>
      <c r="D67" s="543" t="e">
        <f>(C67*100)/#REF!</f>
        <v>#REF!</v>
      </c>
      <c r="E67" s="452">
        <v>6993</v>
      </c>
      <c r="F67" s="552">
        <f t="shared" si="8"/>
        <v>704.06311622546025</v>
      </c>
      <c r="G67" s="544">
        <v>7255</v>
      </c>
      <c r="H67" s="560">
        <f t="shared" si="7"/>
        <v>730.4415713164185</v>
      </c>
      <c r="I67" s="591">
        <f t="shared" si="5"/>
        <v>-3.6113025499655436</v>
      </c>
      <c r="J67" s="487"/>
      <c r="K67" s="488"/>
    </row>
    <row r="68" spans="1:11" s="42" customFormat="1" x14ac:dyDescent="0.25">
      <c r="A68" s="523" t="s">
        <v>241</v>
      </c>
      <c r="B68" s="523" t="s">
        <v>242</v>
      </c>
      <c r="C68" s="190">
        <v>5.4116945107398576E-2</v>
      </c>
      <c r="D68" s="70">
        <v>5.4116945107398573</v>
      </c>
      <c r="E68" s="452">
        <v>17600</v>
      </c>
      <c r="F68" s="567">
        <f t="shared" si="8"/>
        <v>952.45823389021496</v>
      </c>
      <c r="G68" s="501">
        <v>19147.5</v>
      </c>
      <c r="H68" s="73">
        <f t="shared" si="7"/>
        <v>1036.2042064439142</v>
      </c>
      <c r="I68" s="401">
        <f t="shared" si="5"/>
        <v>-8.08199503851678</v>
      </c>
    </row>
    <row r="69" spans="1:11" s="42" customFormat="1" x14ac:dyDescent="0.25">
      <c r="A69" s="523" t="s">
        <v>95</v>
      </c>
      <c r="B69" s="523" t="s">
        <v>96</v>
      </c>
      <c r="C69" s="190">
        <v>5.6374451615740694E-2</v>
      </c>
      <c r="D69" s="70">
        <v>41.451802658632857</v>
      </c>
      <c r="E69" s="501">
        <v>16500</v>
      </c>
      <c r="F69" s="567">
        <f t="shared" si="8"/>
        <v>930.17845165972142</v>
      </c>
      <c r="G69" s="501">
        <v>18045</v>
      </c>
      <c r="H69" s="73">
        <f t="shared" si="7"/>
        <v>1017.2769794060408</v>
      </c>
      <c r="I69" s="416">
        <f t="shared" si="5"/>
        <v>-8.5619285120531998</v>
      </c>
    </row>
    <row r="70" spans="1:11" s="42" customFormat="1" x14ac:dyDescent="0.25">
      <c r="A70" s="523"/>
      <c r="B70" s="523" t="s">
        <v>247</v>
      </c>
      <c r="C70" s="190">
        <v>9.240000000000001E-2</v>
      </c>
      <c r="D70" s="70">
        <v>13.999999999999996</v>
      </c>
      <c r="E70" s="501">
        <v>1778</v>
      </c>
      <c r="F70" s="567">
        <v>164.28720000000001</v>
      </c>
      <c r="G70" s="501">
        <v>2240</v>
      </c>
      <c r="H70" s="70">
        <v>206.97600000000003</v>
      </c>
      <c r="I70" s="416">
        <v>-20.625</v>
      </c>
    </row>
    <row r="71" spans="1:11" s="42" customFormat="1" x14ac:dyDescent="0.25">
      <c r="A71" s="523" t="s">
        <v>509</v>
      </c>
      <c r="B71" s="523" t="s">
        <v>558</v>
      </c>
      <c r="C71" s="190">
        <v>5.4116945107398576E-2</v>
      </c>
      <c r="D71" s="70">
        <v>5.4116945107398573</v>
      </c>
      <c r="E71" s="501">
        <v>6800</v>
      </c>
      <c r="F71" s="567">
        <f>E71*C71</f>
        <v>367.99522673031032</v>
      </c>
      <c r="G71" s="501">
        <v>15000</v>
      </c>
      <c r="H71" s="73">
        <f>G71*C71</f>
        <v>811.75417661097867</v>
      </c>
      <c r="I71" s="499">
        <f>((E71/G71)*100)-100</f>
        <v>-54.666666666666671</v>
      </c>
    </row>
    <row r="72" spans="1:11" s="42" customFormat="1" x14ac:dyDescent="0.25">
      <c r="A72" s="523" t="s">
        <v>116</v>
      </c>
      <c r="B72" s="523" t="s">
        <v>117</v>
      </c>
      <c r="C72" s="190">
        <v>9.6513028496500841E-2</v>
      </c>
      <c r="D72" s="72" t="e">
        <f>(C72*100)/#REF!</f>
        <v>#REF!</v>
      </c>
      <c r="E72" s="452">
        <v>1600</v>
      </c>
      <c r="F72" s="504">
        <f>E72*C72</f>
        <v>154.42084559440136</v>
      </c>
      <c r="G72" s="501">
        <v>3719.25</v>
      </c>
      <c r="H72" s="73">
        <f>G72*C72</f>
        <v>358.95608123561078</v>
      </c>
      <c r="I72" s="401">
        <f>((E72/G72)*100)-100</f>
        <v>-56.98057404046515</v>
      </c>
    </row>
  </sheetData>
  <autoFilter ref="A1:I72" xr:uid="{1E477C57-D8C8-4393-B881-387670F25BA2}">
    <sortState xmlns:xlrd2="http://schemas.microsoft.com/office/spreadsheetml/2017/richdata2" ref="A2:I72">
      <sortCondition descending="1" ref="I1:I72"/>
    </sortState>
  </autoFilter>
  <conditionalFormatting sqref="B1:B1048576">
    <cfRule type="duplicateValues" dxfId="9" priority="1"/>
  </conditionalFormatting>
  <pageMargins left="0.7" right="0.7" top="0.75" bottom="0.75" header="0.3" footer="0.3"/>
  <pageSetup scale="53" orientation="portrait" r:id="rId1"/>
  <colBreaks count="1" manualBreakCount="1">
    <brk id="9" max="31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8987-74F3-43B5-8E48-90C6DD061494}">
  <sheetPr codeName="Hoja3"/>
  <dimension ref="A1:I71"/>
  <sheetViews>
    <sheetView view="pageBreakPreview" zoomScale="70" zoomScaleNormal="100" zoomScaleSheetLayoutView="70" workbookViewId="0">
      <pane ySplit="1" topLeftCell="A66" activePane="bottomLeft" state="frozen"/>
      <selection pane="bottomLeft" activeCell="N10" sqref="N10"/>
    </sheetView>
  </sheetViews>
  <sheetFormatPr baseColWidth="10" defaultRowHeight="15" x14ac:dyDescent="0.25"/>
  <cols>
    <col min="2" max="2" width="96.28515625" bestFit="1" customWidth="1"/>
    <col min="3" max="3" width="0" hidden="1" customWidth="1"/>
    <col min="4" max="4" width="12" hidden="1" customWidth="1"/>
    <col min="5" max="5" width="0" hidden="1" customWidth="1"/>
    <col min="6" max="6" width="12" hidden="1" customWidth="1"/>
    <col min="7" max="7" width="12.5703125" hidden="1" customWidth="1"/>
  </cols>
  <sheetData>
    <row r="1" spans="1:9" s="28" customFormat="1" ht="25.5" x14ac:dyDescent="0.25">
      <c r="A1" s="227" t="s">
        <v>0</v>
      </c>
      <c r="B1" s="227" t="s">
        <v>1</v>
      </c>
      <c r="C1" s="228" t="s">
        <v>2</v>
      </c>
      <c r="D1" s="614" t="s">
        <v>536</v>
      </c>
      <c r="E1" s="614" t="s">
        <v>512</v>
      </c>
      <c r="F1" s="615" t="s">
        <v>306</v>
      </c>
      <c r="G1" s="615" t="s">
        <v>307</v>
      </c>
      <c r="H1" s="616" t="s">
        <v>3</v>
      </c>
    </row>
    <row r="2" spans="1:9" s="1" customFormat="1" ht="13.5" x14ac:dyDescent="0.25">
      <c r="A2" s="610" t="s">
        <v>274</v>
      </c>
      <c r="B2" s="610" t="s">
        <v>275</v>
      </c>
      <c r="C2" s="123">
        <v>2</v>
      </c>
      <c r="D2" s="123">
        <v>27</v>
      </c>
      <c r="E2" s="123">
        <f t="shared" ref="E2:E33" si="0">D2*C2</f>
        <v>54</v>
      </c>
      <c r="F2" s="123">
        <v>22</v>
      </c>
      <c r="G2" s="613">
        <v>44</v>
      </c>
      <c r="H2" s="444">
        <f t="shared" ref="H2:H33" si="1">((D2/F2)*100)-100</f>
        <v>22.727272727272734</v>
      </c>
    </row>
    <row r="3" spans="1:9" s="1" customFormat="1" ht="13.5" x14ac:dyDescent="0.25">
      <c r="A3" s="610" t="s">
        <v>70</v>
      </c>
      <c r="B3" s="610" t="s">
        <v>71</v>
      </c>
      <c r="C3" s="123">
        <v>2</v>
      </c>
      <c r="D3" s="123">
        <v>27</v>
      </c>
      <c r="E3" s="123">
        <f t="shared" si="0"/>
        <v>54</v>
      </c>
      <c r="F3" s="123">
        <v>22</v>
      </c>
      <c r="G3" s="123">
        <f t="shared" ref="G3:G14" si="2">F3*C3</f>
        <v>44</v>
      </c>
      <c r="H3" s="444">
        <f t="shared" si="1"/>
        <v>22.727272727272734</v>
      </c>
    </row>
    <row r="4" spans="1:9" s="1" customFormat="1" ht="13.5" x14ac:dyDescent="0.25">
      <c r="A4" s="610" t="s">
        <v>352</v>
      </c>
      <c r="B4" s="610" t="s">
        <v>353</v>
      </c>
      <c r="C4" s="123">
        <v>4.5999999999999999E-2</v>
      </c>
      <c r="D4" s="123">
        <v>1624</v>
      </c>
      <c r="E4" s="123">
        <f t="shared" si="0"/>
        <v>74.703999999999994</v>
      </c>
      <c r="F4" s="123">
        <v>1353</v>
      </c>
      <c r="G4" s="613">
        <f t="shared" si="2"/>
        <v>62.238</v>
      </c>
      <c r="H4" s="444">
        <f t="shared" si="1"/>
        <v>20.029563932002944</v>
      </c>
    </row>
    <row r="5" spans="1:9" s="1" customFormat="1" ht="13.5" x14ac:dyDescent="0.25">
      <c r="A5" s="222" t="s">
        <v>386</v>
      </c>
      <c r="B5" s="222" t="s">
        <v>387</v>
      </c>
      <c r="C5" s="221">
        <v>4.4999999999999998E-2</v>
      </c>
      <c r="D5" s="612">
        <v>1816</v>
      </c>
      <c r="E5" s="225">
        <f t="shared" si="0"/>
        <v>81.72</v>
      </c>
      <c r="F5" s="225">
        <v>1513</v>
      </c>
      <c r="G5" s="225">
        <f t="shared" si="2"/>
        <v>68.084999999999994</v>
      </c>
      <c r="H5" s="444">
        <f t="shared" si="1"/>
        <v>20.026437541308667</v>
      </c>
      <c r="I5" s="258"/>
    </row>
    <row r="6" spans="1:9" s="1" customFormat="1" ht="13.5" x14ac:dyDescent="0.25">
      <c r="A6" s="222" t="s">
        <v>128</v>
      </c>
      <c r="B6" s="222" t="s">
        <v>129</v>
      </c>
      <c r="C6" s="221">
        <v>0.04</v>
      </c>
      <c r="D6" s="225">
        <v>1350</v>
      </c>
      <c r="E6" s="225">
        <f t="shared" si="0"/>
        <v>54</v>
      </c>
      <c r="F6" s="225">
        <v>1125</v>
      </c>
      <c r="G6" s="225">
        <f t="shared" si="2"/>
        <v>45</v>
      </c>
      <c r="H6" s="444">
        <f t="shared" si="1"/>
        <v>20</v>
      </c>
      <c r="I6" s="258"/>
    </row>
    <row r="7" spans="1:9" s="1" customFormat="1" ht="13.5" x14ac:dyDescent="0.25">
      <c r="A7" s="610" t="s">
        <v>51</v>
      </c>
      <c r="B7" s="610" t="s">
        <v>52</v>
      </c>
      <c r="C7" s="611">
        <v>0.14000000000000001</v>
      </c>
      <c r="D7" s="123">
        <v>1464</v>
      </c>
      <c r="E7" s="613">
        <f t="shared" si="0"/>
        <v>204.96</v>
      </c>
      <c r="F7" s="123">
        <v>1323</v>
      </c>
      <c r="G7" s="123">
        <f t="shared" si="2"/>
        <v>185.22000000000003</v>
      </c>
      <c r="H7" s="444">
        <f t="shared" si="1"/>
        <v>10.657596371882079</v>
      </c>
    </row>
    <row r="8" spans="1:9" s="1" customFormat="1" ht="13.5" x14ac:dyDescent="0.25">
      <c r="A8" s="610" t="s">
        <v>296</v>
      </c>
      <c r="B8" s="610" t="s">
        <v>297</v>
      </c>
      <c r="C8" s="611">
        <v>1.09E-2</v>
      </c>
      <c r="D8" s="123">
        <v>26300</v>
      </c>
      <c r="E8" s="613">
        <f t="shared" si="0"/>
        <v>286.67</v>
      </c>
      <c r="F8" s="123">
        <v>23900</v>
      </c>
      <c r="G8" s="613">
        <f t="shared" si="2"/>
        <v>260.51</v>
      </c>
      <c r="H8" s="444">
        <f t="shared" si="1"/>
        <v>10.041841004184107</v>
      </c>
    </row>
    <row r="9" spans="1:9" s="1" customFormat="1" ht="13.5" x14ac:dyDescent="0.25">
      <c r="A9" s="610" t="s">
        <v>200</v>
      </c>
      <c r="B9" s="610" t="s">
        <v>201</v>
      </c>
      <c r="C9" s="611">
        <v>9.0999999999999998E-2</v>
      </c>
      <c r="D9" s="123">
        <v>57</v>
      </c>
      <c r="E9" s="613">
        <f t="shared" si="0"/>
        <v>5.1870000000000003</v>
      </c>
      <c r="F9" s="123">
        <v>52</v>
      </c>
      <c r="G9" s="123">
        <f t="shared" si="2"/>
        <v>4.7320000000000002</v>
      </c>
      <c r="H9" s="444">
        <f t="shared" si="1"/>
        <v>9.6153846153846274</v>
      </c>
    </row>
    <row r="10" spans="1:9" s="120" customFormat="1" ht="13.5" x14ac:dyDescent="0.25">
      <c r="A10" s="610" t="s">
        <v>198</v>
      </c>
      <c r="B10" s="610" t="s">
        <v>199</v>
      </c>
      <c r="C10" s="611">
        <v>5.7500000000000002E-2</v>
      </c>
      <c r="D10" s="123">
        <v>4053</v>
      </c>
      <c r="E10" s="613">
        <f t="shared" si="0"/>
        <v>233.04750000000001</v>
      </c>
      <c r="F10" s="123">
        <v>3712</v>
      </c>
      <c r="G10" s="123">
        <f t="shared" si="2"/>
        <v>213.44</v>
      </c>
      <c r="H10" s="444">
        <f t="shared" si="1"/>
        <v>9.1864224137931103</v>
      </c>
      <c r="I10" s="176"/>
    </row>
    <row r="11" spans="1:9" s="120" customFormat="1" ht="13.5" x14ac:dyDescent="0.25">
      <c r="A11" s="610" t="s">
        <v>330</v>
      </c>
      <c r="B11" s="610" t="s">
        <v>331</v>
      </c>
      <c r="C11" s="123">
        <v>0.5</v>
      </c>
      <c r="D11" s="123">
        <v>606</v>
      </c>
      <c r="E11" s="123">
        <f t="shared" si="0"/>
        <v>303</v>
      </c>
      <c r="F11" s="123">
        <v>565</v>
      </c>
      <c r="G11" s="613">
        <f t="shared" si="2"/>
        <v>282.5</v>
      </c>
      <c r="H11" s="444">
        <f t="shared" si="1"/>
        <v>7.2566371681415944</v>
      </c>
    </row>
    <row r="12" spans="1:9" s="120" customFormat="1" ht="13.5" x14ac:dyDescent="0.25">
      <c r="A12" s="610" t="s">
        <v>168</v>
      </c>
      <c r="B12" s="610" t="s">
        <v>169</v>
      </c>
      <c r="C12" s="611">
        <v>9</v>
      </c>
      <c r="D12" s="123">
        <v>204</v>
      </c>
      <c r="E12" s="123">
        <f t="shared" si="0"/>
        <v>1836</v>
      </c>
      <c r="F12" s="123">
        <v>192</v>
      </c>
      <c r="G12" s="123">
        <f t="shared" si="2"/>
        <v>1728</v>
      </c>
      <c r="H12" s="444">
        <f t="shared" si="1"/>
        <v>6.25</v>
      </c>
    </row>
    <row r="13" spans="1:9" s="120" customFormat="1" ht="13.5" x14ac:dyDescent="0.25">
      <c r="A13" s="610" t="s">
        <v>341</v>
      </c>
      <c r="B13" s="610" t="s">
        <v>340</v>
      </c>
      <c r="C13" s="611">
        <v>0.22</v>
      </c>
      <c r="D13" s="123">
        <v>512</v>
      </c>
      <c r="E13" s="123">
        <f t="shared" si="0"/>
        <v>112.64</v>
      </c>
      <c r="F13" s="123">
        <v>491</v>
      </c>
      <c r="G13" s="613">
        <f t="shared" si="2"/>
        <v>108.02</v>
      </c>
      <c r="H13" s="444">
        <f t="shared" si="1"/>
        <v>4.2769857433808482</v>
      </c>
    </row>
    <row r="14" spans="1:9" s="120" customFormat="1" ht="13.5" x14ac:dyDescent="0.25">
      <c r="A14" s="610" t="s">
        <v>350</v>
      </c>
      <c r="B14" s="610" t="s">
        <v>351</v>
      </c>
      <c r="C14" s="123">
        <v>0.4</v>
      </c>
      <c r="D14" s="123">
        <v>522</v>
      </c>
      <c r="E14" s="123">
        <f t="shared" si="0"/>
        <v>208.8</v>
      </c>
      <c r="F14" s="123">
        <v>504</v>
      </c>
      <c r="G14" s="613">
        <f t="shared" si="2"/>
        <v>201.60000000000002</v>
      </c>
      <c r="H14" s="444">
        <f t="shared" si="1"/>
        <v>3.5714285714285836</v>
      </c>
    </row>
    <row r="15" spans="1:9" s="120" customFormat="1" ht="13.5" x14ac:dyDescent="0.25">
      <c r="A15" s="610" t="s">
        <v>165</v>
      </c>
      <c r="B15" s="610" t="s">
        <v>164</v>
      </c>
      <c r="C15" s="123">
        <v>0.7</v>
      </c>
      <c r="D15" s="123">
        <v>589</v>
      </c>
      <c r="E15" s="123">
        <f t="shared" si="0"/>
        <v>412.29999999999995</v>
      </c>
      <c r="F15" s="123">
        <v>569</v>
      </c>
      <c r="G15" s="123">
        <f>C15*F15</f>
        <v>398.29999999999995</v>
      </c>
      <c r="H15" s="444">
        <f t="shared" si="1"/>
        <v>3.5149384885764476</v>
      </c>
    </row>
    <row r="16" spans="1:9" s="120" customFormat="1" ht="13.5" x14ac:dyDescent="0.25">
      <c r="A16" s="610" t="s">
        <v>356</v>
      </c>
      <c r="B16" s="610" t="s">
        <v>355</v>
      </c>
      <c r="C16" s="611">
        <v>7.2999999999999995E-2</v>
      </c>
      <c r="D16" s="123">
        <v>908</v>
      </c>
      <c r="E16" s="123">
        <f t="shared" si="0"/>
        <v>66.283999999999992</v>
      </c>
      <c r="F16" s="123">
        <v>878</v>
      </c>
      <c r="G16" s="123">
        <v>64.093999999999994</v>
      </c>
      <c r="H16" s="444">
        <f t="shared" si="1"/>
        <v>3.4168564920273354</v>
      </c>
    </row>
    <row r="17" spans="1:9" s="1" customFormat="1" ht="13.5" x14ac:dyDescent="0.25">
      <c r="A17" s="222" t="s">
        <v>367</v>
      </c>
      <c r="B17" s="222" t="s">
        <v>368</v>
      </c>
      <c r="C17" s="221">
        <v>7.2999999999999995E-2</v>
      </c>
      <c r="D17" s="225">
        <v>908</v>
      </c>
      <c r="E17" s="225">
        <f t="shared" si="0"/>
        <v>66.283999999999992</v>
      </c>
      <c r="F17" s="225">
        <v>880</v>
      </c>
      <c r="G17" s="225">
        <f>F17*C17</f>
        <v>64.239999999999995</v>
      </c>
      <c r="H17" s="444">
        <f t="shared" si="1"/>
        <v>3.1818181818181728</v>
      </c>
    </row>
    <row r="18" spans="1:9" s="120" customFormat="1" ht="13.5" x14ac:dyDescent="0.25">
      <c r="A18" s="222" t="s">
        <v>234</v>
      </c>
      <c r="B18" s="222" t="s">
        <v>235</v>
      </c>
      <c r="C18" s="221">
        <v>1.76</v>
      </c>
      <c r="D18" s="123">
        <v>243</v>
      </c>
      <c r="E18" s="225">
        <f t="shared" si="0"/>
        <v>427.68</v>
      </c>
      <c r="F18" s="225">
        <v>236</v>
      </c>
      <c r="G18" s="225">
        <f>F18*C18</f>
        <v>415.36</v>
      </c>
      <c r="H18" s="444">
        <f t="shared" si="1"/>
        <v>2.9661016949152526</v>
      </c>
    </row>
    <row r="19" spans="1:9" s="120" customFormat="1" ht="13.5" x14ac:dyDescent="0.25">
      <c r="A19" s="610" t="s">
        <v>157</v>
      </c>
      <c r="B19" s="610" t="s">
        <v>158</v>
      </c>
      <c r="C19" s="123">
        <v>0.35</v>
      </c>
      <c r="D19" s="123">
        <v>606</v>
      </c>
      <c r="E19" s="123">
        <f t="shared" si="0"/>
        <v>212.1</v>
      </c>
      <c r="F19" s="123">
        <v>589</v>
      </c>
      <c r="G19" s="123">
        <f>F19*C19</f>
        <v>206.14999999999998</v>
      </c>
      <c r="H19" s="444">
        <f t="shared" si="1"/>
        <v>2.8862478777589047</v>
      </c>
    </row>
    <row r="20" spans="1:9" s="120" customFormat="1" ht="13.5" x14ac:dyDescent="0.25">
      <c r="A20" s="610" t="s">
        <v>153</v>
      </c>
      <c r="B20" s="610" t="s">
        <v>154</v>
      </c>
      <c r="C20" s="123">
        <v>0.3</v>
      </c>
      <c r="D20" s="123">
        <v>686</v>
      </c>
      <c r="E20" s="123">
        <f t="shared" si="0"/>
        <v>205.79999999999998</v>
      </c>
      <c r="F20" s="123">
        <v>667</v>
      </c>
      <c r="G20" s="123">
        <v>192.9</v>
      </c>
      <c r="H20" s="444">
        <f t="shared" si="1"/>
        <v>2.8485757121439121</v>
      </c>
    </row>
    <row r="21" spans="1:9" s="120" customFormat="1" ht="13.5" x14ac:dyDescent="0.25">
      <c r="A21" s="610" t="s">
        <v>205</v>
      </c>
      <c r="B21" s="610" t="s">
        <v>204</v>
      </c>
      <c r="C21" s="611">
        <v>0.14000000000000001</v>
      </c>
      <c r="D21" s="123">
        <v>2388</v>
      </c>
      <c r="E21" s="613">
        <f t="shared" si="0"/>
        <v>334.32000000000005</v>
      </c>
      <c r="F21" s="123">
        <v>2322</v>
      </c>
      <c r="G21" s="123">
        <f>F21*C21</f>
        <v>325.08000000000004</v>
      </c>
      <c r="H21" s="444">
        <f t="shared" si="1"/>
        <v>2.8423772609819054</v>
      </c>
    </row>
    <row r="22" spans="1:9" s="120" customFormat="1" ht="13.5" x14ac:dyDescent="0.25">
      <c r="A22" s="610" t="s">
        <v>269</v>
      </c>
      <c r="B22" s="610" t="s">
        <v>270</v>
      </c>
      <c r="C22" s="123">
        <v>0.22</v>
      </c>
      <c r="D22" s="123">
        <v>581</v>
      </c>
      <c r="E22" s="123">
        <f t="shared" si="0"/>
        <v>127.82000000000001</v>
      </c>
      <c r="F22" s="123">
        <v>565</v>
      </c>
      <c r="G22" s="613">
        <f>F22*C22</f>
        <v>124.3</v>
      </c>
      <c r="H22" s="444">
        <f t="shared" si="1"/>
        <v>2.8318584070796504</v>
      </c>
      <c r="I22" s="119"/>
    </row>
    <row r="23" spans="1:9" s="120" customFormat="1" ht="13.5" x14ac:dyDescent="0.25">
      <c r="A23" s="222" t="s">
        <v>276</v>
      </c>
      <c r="B23" s="222" t="s">
        <v>277</v>
      </c>
      <c r="C23" s="225">
        <v>0.22</v>
      </c>
      <c r="D23" s="225">
        <v>581</v>
      </c>
      <c r="E23" s="225">
        <f t="shared" si="0"/>
        <v>127.82000000000001</v>
      </c>
      <c r="F23" s="225">
        <v>565</v>
      </c>
      <c r="G23" s="496">
        <f>F23*C23</f>
        <v>124.3</v>
      </c>
      <c r="H23" s="444">
        <f t="shared" si="1"/>
        <v>2.8318584070796504</v>
      </c>
      <c r="I23" s="119"/>
    </row>
    <row r="24" spans="1:9" s="120" customFormat="1" ht="13.5" x14ac:dyDescent="0.25">
      <c r="A24" s="610" t="s">
        <v>125</v>
      </c>
      <c r="B24" s="610" t="s">
        <v>175</v>
      </c>
      <c r="C24" s="611">
        <v>4.4000000000000004</v>
      </c>
      <c r="D24" s="123">
        <v>222</v>
      </c>
      <c r="E24" s="123">
        <f t="shared" si="0"/>
        <v>976.80000000000007</v>
      </c>
      <c r="F24" s="123">
        <v>216</v>
      </c>
      <c r="G24" s="123">
        <f>F24*C24</f>
        <v>950.40000000000009</v>
      </c>
      <c r="H24" s="444">
        <f t="shared" si="1"/>
        <v>2.7777777777777715</v>
      </c>
      <c r="I24" s="119"/>
    </row>
    <row r="25" spans="1:9" s="120" customFormat="1" ht="13.5" x14ac:dyDescent="0.25">
      <c r="A25" s="222" t="s">
        <v>265</v>
      </c>
      <c r="B25" s="222" t="s">
        <v>266</v>
      </c>
      <c r="C25" s="221">
        <v>1</v>
      </c>
      <c r="D25" s="225">
        <v>115</v>
      </c>
      <c r="E25" s="225">
        <f t="shared" si="0"/>
        <v>115</v>
      </c>
      <c r="F25" s="225">
        <v>112</v>
      </c>
      <c r="G25" s="225">
        <f>F25*C25</f>
        <v>112</v>
      </c>
      <c r="H25" s="444">
        <f t="shared" si="1"/>
        <v>2.6785714285714164</v>
      </c>
    </row>
    <row r="26" spans="1:9" s="120" customFormat="1" ht="13.5" x14ac:dyDescent="0.25">
      <c r="A26" s="610" t="s">
        <v>346</v>
      </c>
      <c r="B26" s="610" t="s">
        <v>347</v>
      </c>
      <c r="C26" s="123">
        <v>0.4</v>
      </c>
      <c r="D26" s="123">
        <v>535</v>
      </c>
      <c r="E26" s="123">
        <f t="shared" si="0"/>
        <v>214</v>
      </c>
      <c r="F26" s="123">
        <v>522</v>
      </c>
      <c r="G26" s="613">
        <v>208.8</v>
      </c>
      <c r="H26" s="444">
        <f t="shared" si="1"/>
        <v>2.4904214559387015</v>
      </c>
    </row>
    <row r="27" spans="1:9" s="120" customFormat="1" ht="13.5" x14ac:dyDescent="0.25">
      <c r="A27" s="222" t="s">
        <v>263</v>
      </c>
      <c r="B27" s="222" t="s">
        <v>264</v>
      </c>
      <c r="C27" s="221">
        <v>1.68</v>
      </c>
      <c r="D27" s="225">
        <v>255</v>
      </c>
      <c r="E27" s="225">
        <f t="shared" si="0"/>
        <v>428.4</v>
      </c>
      <c r="F27" s="225">
        <v>249</v>
      </c>
      <c r="G27" s="225">
        <f t="shared" ref="G27:G67" si="3">F27*C27</f>
        <v>418.32</v>
      </c>
      <c r="H27" s="444">
        <f t="shared" si="1"/>
        <v>2.409638554216869</v>
      </c>
    </row>
    <row r="28" spans="1:9" s="120" customFormat="1" ht="13.5" x14ac:dyDescent="0.25">
      <c r="A28" s="222" t="s">
        <v>370</v>
      </c>
      <c r="B28" s="222" t="s">
        <v>369</v>
      </c>
      <c r="C28" s="221">
        <v>0.88</v>
      </c>
      <c r="D28" s="225">
        <v>225</v>
      </c>
      <c r="E28" s="225">
        <f t="shared" si="0"/>
        <v>198</v>
      </c>
      <c r="F28" s="225">
        <v>220</v>
      </c>
      <c r="G28" s="225">
        <f t="shared" si="3"/>
        <v>193.6</v>
      </c>
      <c r="H28" s="444">
        <f t="shared" si="1"/>
        <v>2.2727272727272663</v>
      </c>
    </row>
    <row r="29" spans="1:9" s="120" customFormat="1" ht="13.5" x14ac:dyDescent="0.25">
      <c r="A29" s="610" t="s">
        <v>83</v>
      </c>
      <c r="B29" s="610" t="s">
        <v>84</v>
      </c>
      <c r="C29" s="123">
        <v>3.5999999999999997E-2</v>
      </c>
      <c r="D29" s="123">
        <v>3800</v>
      </c>
      <c r="E29" s="123">
        <f t="shared" si="0"/>
        <v>136.79999999999998</v>
      </c>
      <c r="F29" s="123">
        <v>3716</v>
      </c>
      <c r="G29" s="123">
        <f t="shared" si="3"/>
        <v>133.77599999999998</v>
      </c>
      <c r="H29" s="444">
        <f t="shared" si="1"/>
        <v>2.2604951560818023</v>
      </c>
    </row>
    <row r="30" spans="1:9" s="120" customFormat="1" ht="13.5" x14ac:dyDescent="0.25">
      <c r="A30" s="222" t="s">
        <v>187</v>
      </c>
      <c r="B30" s="222" t="s">
        <v>188</v>
      </c>
      <c r="C30" s="221">
        <v>0.18179999999999999</v>
      </c>
      <c r="D30" s="225">
        <v>598</v>
      </c>
      <c r="E30" s="225">
        <f t="shared" si="0"/>
        <v>108.71639999999999</v>
      </c>
      <c r="F30" s="225">
        <v>585</v>
      </c>
      <c r="G30" s="225">
        <f t="shared" si="3"/>
        <v>106.35299999999999</v>
      </c>
      <c r="H30" s="444">
        <f t="shared" si="1"/>
        <v>2.2222222222222143</v>
      </c>
    </row>
    <row r="31" spans="1:9" s="120" customFormat="1" ht="13.5" x14ac:dyDescent="0.25">
      <c r="A31" s="610" t="s">
        <v>172</v>
      </c>
      <c r="B31" s="610" t="s">
        <v>91</v>
      </c>
      <c r="C31" s="611">
        <v>0.14599999999999999</v>
      </c>
      <c r="D31" s="123">
        <v>2219</v>
      </c>
      <c r="E31" s="123">
        <f t="shared" si="0"/>
        <v>323.97399999999999</v>
      </c>
      <c r="F31" s="123">
        <v>2173</v>
      </c>
      <c r="G31" s="123">
        <f t="shared" si="3"/>
        <v>317.25799999999998</v>
      </c>
      <c r="H31" s="444">
        <f t="shared" si="1"/>
        <v>2.1168890934192319</v>
      </c>
    </row>
    <row r="32" spans="1:9" s="120" customFormat="1" ht="13.5" x14ac:dyDescent="0.25">
      <c r="A32" s="610" t="s">
        <v>520</v>
      </c>
      <c r="B32" s="610" t="s">
        <v>559</v>
      </c>
      <c r="C32" s="123">
        <v>3.5999999999999997E-2</v>
      </c>
      <c r="D32" s="123">
        <v>3800</v>
      </c>
      <c r="E32" s="617">
        <f t="shared" si="0"/>
        <v>136.79999999999998</v>
      </c>
      <c r="F32" s="617">
        <v>3742</v>
      </c>
      <c r="G32" s="617">
        <f t="shared" si="3"/>
        <v>134.71199999999999</v>
      </c>
      <c r="H32" s="444">
        <f t="shared" si="1"/>
        <v>1.5499732763228309</v>
      </c>
    </row>
    <row r="33" spans="1:9" s="120" customFormat="1" ht="13.5" x14ac:dyDescent="0.25">
      <c r="A33" s="610" t="s">
        <v>411</v>
      </c>
      <c r="B33" s="610" t="s">
        <v>412</v>
      </c>
      <c r="C33" s="123">
        <v>0.22</v>
      </c>
      <c r="D33" s="123">
        <v>474</v>
      </c>
      <c r="E33" s="123">
        <f t="shared" si="0"/>
        <v>104.28</v>
      </c>
      <c r="F33" s="123">
        <v>470</v>
      </c>
      <c r="G33" s="613">
        <f t="shared" si="3"/>
        <v>103.4</v>
      </c>
      <c r="H33" s="444">
        <f t="shared" si="1"/>
        <v>0.85106382978723616</v>
      </c>
    </row>
    <row r="34" spans="1:9" s="120" customFormat="1" ht="13.5" x14ac:dyDescent="0.25">
      <c r="A34" s="222" t="s">
        <v>285</v>
      </c>
      <c r="B34" s="222" t="s">
        <v>286</v>
      </c>
      <c r="C34" s="221">
        <v>7.2999999999999995E-2</v>
      </c>
      <c r="D34" s="225">
        <v>1519</v>
      </c>
      <c r="E34" s="225">
        <f t="shared" ref="E34:E65" si="4">D34*C34</f>
        <v>110.88699999999999</v>
      </c>
      <c r="F34" s="225">
        <v>1510</v>
      </c>
      <c r="G34" s="496">
        <f t="shared" si="3"/>
        <v>110.22999999999999</v>
      </c>
      <c r="H34" s="444">
        <f t="shared" ref="H34:H65" si="5">((D34/F34)*100)-100</f>
        <v>0.59602649006622244</v>
      </c>
    </row>
    <row r="35" spans="1:9" s="120" customFormat="1" ht="13.5" x14ac:dyDescent="0.25">
      <c r="A35" s="222" t="s">
        <v>250</v>
      </c>
      <c r="B35" s="222" t="s">
        <v>251</v>
      </c>
      <c r="C35" s="221">
        <v>0.15</v>
      </c>
      <c r="D35" s="225">
        <v>795</v>
      </c>
      <c r="E35" s="225">
        <f t="shared" si="4"/>
        <v>119.25</v>
      </c>
      <c r="F35" s="225">
        <v>795</v>
      </c>
      <c r="G35" s="225">
        <f t="shared" si="3"/>
        <v>119.25</v>
      </c>
      <c r="H35" s="612">
        <f t="shared" si="5"/>
        <v>0</v>
      </c>
    </row>
    <row r="36" spans="1:9" s="120" customFormat="1" ht="13.5" x14ac:dyDescent="0.25">
      <c r="A36" s="222" t="s">
        <v>420</v>
      </c>
      <c r="B36" s="222" t="s">
        <v>421</v>
      </c>
      <c r="C36" s="221">
        <v>0.45450000000000002</v>
      </c>
      <c r="D36" s="225">
        <v>574</v>
      </c>
      <c r="E36" s="225">
        <f t="shared" si="4"/>
        <v>260.88299999999998</v>
      </c>
      <c r="F36" s="225">
        <v>574</v>
      </c>
      <c r="G36" s="225">
        <f t="shared" si="3"/>
        <v>260.88299999999998</v>
      </c>
      <c r="H36" s="612">
        <f t="shared" si="5"/>
        <v>0</v>
      </c>
    </row>
    <row r="37" spans="1:9" s="120" customFormat="1" ht="13.5" x14ac:dyDescent="0.25">
      <c r="A37" s="610" t="s">
        <v>160</v>
      </c>
      <c r="B37" s="610" t="s">
        <v>159</v>
      </c>
      <c r="C37" s="123">
        <v>1</v>
      </c>
      <c r="D37" s="123">
        <v>46</v>
      </c>
      <c r="E37" s="123">
        <f t="shared" si="4"/>
        <v>46</v>
      </c>
      <c r="F37" s="123">
        <v>46</v>
      </c>
      <c r="G37" s="123">
        <f t="shared" si="3"/>
        <v>46</v>
      </c>
      <c r="H37" s="612">
        <f t="shared" si="5"/>
        <v>0</v>
      </c>
    </row>
    <row r="38" spans="1:9" s="120" customFormat="1" ht="13.5" x14ac:dyDescent="0.25">
      <c r="A38" s="222" t="s">
        <v>435</v>
      </c>
      <c r="B38" s="222" t="s">
        <v>436</v>
      </c>
      <c r="C38" s="221">
        <v>0.03</v>
      </c>
      <c r="D38" s="225">
        <v>2510</v>
      </c>
      <c r="E38" s="225">
        <f t="shared" si="4"/>
        <v>75.3</v>
      </c>
      <c r="F38" s="225">
        <v>2510</v>
      </c>
      <c r="G38" s="225">
        <f t="shared" si="3"/>
        <v>75.3</v>
      </c>
      <c r="H38" s="612">
        <f t="shared" si="5"/>
        <v>0</v>
      </c>
      <c r="I38" s="445"/>
    </row>
    <row r="39" spans="1:9" s="120" customFormat="1" ht="13.5" x14ac:dyDescent="0.25">
      <c r="A39" s="222" t="s">
        <v>370</v>
      </c>
      <c r="B39" s="222" t="s">
        <v>601</v>
      </c>
      <c r="C39" s="221">
        <v>1.76</v>
      </c>
      <c r="D39" s="612">
        <v>186</v>
      </c>
      <c r="E39" s="225">
        <f t="shared" si="4"/>
        <v>327.36</v>
      </c>
      <c r="F39" s="225">
        <v>186</v>
      </c>
      <c r="G39" s="225">
        <f t="shared" si="3"/>
        <v>327.36</v>
      </c>
      <c r="H39" s="612">
        <f t="shared" si="5"/>
        <v>0</v>
      </c>
      <c r="I39" s="445"/>
    </row>
    <row r="40" spans="1:9" s="120" customFormat="1" ht="13.5" x14ac:dyDescent="0.25">
      <c r="A40" s="610" t="s">
        <v>208</v>
      </c>
      <c r="B40" s="610" t="s">
        <v>209</v>
      </c>
      <c r="C40" s="611">
        <v>0.14000000000000001</v>
      </c>
      <c r="D40" s="123">
        <v>1535</v>
      </c>
      <c r="E40" s="613">
        <f t="shared" si="4"/>
        <v>214.90000000000003</v>
      </c>
      <c r="F40" s="123">
        <v>1535</v>
      </c>
      <c r="G40" s="123">
        <f t="shared" si="3"/>
        <v>214.90000000000003</v>
      </c>
      <c r="H40" s="612">
        <f t="shared" si="5"/>
        <v>0</v>
      </c>
      <c r="I40" s="445"/>
    </row>
    <row r="41" spans="1:9" s="120" customFormat="1" ht="13.5" x14ac:dyDescent="0.25">
      <c r="A41" s="610" t="s">
        <v>202</v>
      </c>
      <c r="B41" s="610" t="s">
        <v>203</v>
      </c>
      <c r="C41" s="611">
        <v>0.14000000000000001</v>
      </c>
      <c r="D41" s="123">
        <v>1895</v>
      </c>
      <c r="E41" s="613">
        <f t="shared" si="4"/>
        <v>265.3</v>
      </c>
      <c r="F41" s="123">
        <v>1895</v>
      </c>
      <c r="G41" s="123">
        <f t="shared" si="3"/>
        <v>265.3</v>
      </c>
      <c r="H41" s="612">
        <f t="shared" si="5"/>
        <v>0</v>
      </c>
      <c r="I41" s="445"/>
    </row>
    <row r="42" spans="1:9" s="1" customFormat="1" ht="13.5" x14ac:dyDescent="0.25">
      <c r="A42" s="222" t="s">
        <v>425</v>
      </c>
      <c r="B42" s="222" t="s">
        <v>426</v>
      </c>
      <c r="C42" s="221">
        <v>1</v>
      </c>
      <c r="D42" s="225">
        <v>114</v>
      </c>
      <c r="E42" s="225">
        <f t="shared" si="4"/>
        <v>114</v>
      </c>
      <c r="F42" s="225">
        <v>114</v>
      </c>
      <c r="G42" s="225">
        <f t="shared" si="3"/>
        <v>114</v>
      </c>
      <c r="H42" s="612">
        <f t="shared" si="5"/>
        <v>0</v>
      </c>
      <c r="I42" s="446"/>
    </row>
    <row r="43" spans="1:9" s="1" customFormat="1" ht="13.5" x14ac:dyDescent="0.25">
      <c r="A43" s="222" t="s">
        <v>422</v>
      </c>
      <c r="B43" s="222" t="s">
        <v>423</v>
      </c>
      <c r="C43" s="221">
        <v>1</v>
      </c>
      <c r="D43" s="225">
        <v>114</v>
      </c>
      <c r="E43" s="225">
        <f t="shared" si="4"/>
        <v>114</v>
      </c>
      <c r="F43" s="225">
        <v>114</v>
      </c>
      <c r="G43" s="225">
        <f t="shared" si="3"/>
        <v>114</v>
      </c>
      <c r="H43" s="612">
        <f t="shared" si="5"/>
        <v>0</v>
      </c>
    </row>
    <row r="44" spans="1:9" s="1" customFormat="1" ht="13.5" x14ac:dyDescent="0.25">
      <c r="A44" s="222" t="s">
        <v>231</v>
      </c>
      <c r="B44" s="222" t="s">
        <v>232</v>
      </c>
      <c r="C44" s="221">
        <v>1</v>
      </c>
      <c r="D44" s="225">
        <v>437</v>
      </c>
      <c r="E44" s="225">
        <f t="shared" si="4"/>
        <v>437</v>
      </c>
      <c r="F44" s="225">
        <v>437</v>
      </c>
      <c r="G44" s="225">
        <f t="shared" si="3"/>
        <v>437</v>
      </c>
      <c r="H44" s="612">
        <f t="shared" si="5"/>
        <v>0</v>
      </c>
    </row>
    <row r="45" spans="1:9" s="1" customFormat="1" ht="13.5" x14ac:dyDescent="0.25">
      <c r="A45" s="222" t="s">
        <v>252</v>
      </c>
      <c r="B45" s="222" t="s">
        <v>253</v>
      </c>
      <c r="C45" s="225">
        <v>1</v>
      </c>
      <c r="D45" s="225">
        <v>577</v>
      </c>
      <c r="E45" s="225">
        <f t="shared" si="4"/>
        <v>577</v>
      </c>
      <c r="F45" s="225">
        <v>577</v>
      </c>
      <c r="G45" s="225">
        <f t="shared" si="3"/>
        <v>577</v>
      </c>
      <c r="H45" s="612">
        <f t="shared" si="5"/>
        <v>0</v>
      </c>
    </row>
    <row r="46" spans="1:9" s="120" customFormat="1" ht="13.5" x14ac:dyDescent="0.25">
      <c r="A46" s="222" t="s">
        <v>322</v>
      </c>
      <c r="B46" s="222" t="s">
        <v>323</v>
      </c>
      <c r="C46" s="221">
        <v>1</v>
      </c>
      <c r="D46" s="225">
        <v>437</v>
      </c>
      <c r="E46" s="225">
        <f t="shared" si="4"/>
        <v>437</v>
      </c>
      <c r="F46" s="225">
        <v>437</v>
      </c>
      <c r="G46" s="225">
        <f t="shared" si="3"/>
        <v>437</v>
      </c>
      <c r="H46" s="612">
        <f t="shared" si="5"/>
        <v>0</v>
      </c>
      <c r="I46" s="170"/>
    </row>
    <row r="47" spans="1:9" s="120" customFormat="1" ht="13.5" x14ac:dyDescent="0.25">
      <c r="A47" s="610" t="s">
        <v>170</v>
      </c>
      <c r="B47" s="610" t="s">
        <v>171</v>
      </c>
      <c r="C47" s="611">
        <v>0.14000000000000001</v>
      </c>
      <c r="D47" s="123">
        <v>823</v>
      </c>
      <c r="E47" s="123">
        <f t="shared" si="4"/>
        <v>115.22000000000001</v>
      </c>
      <c r="F47" s="123">
        <v>823</v>
      </c>
      <c r="G47" s="123">
        <f t="shared" si="3"/>
        <v>115.22000000000001</v>
      </c>
      <c r="H47" s="612">
        <f t="shared" si="5"/>
        <v>0</v>
      </c>
      <c r="I47" s="170"/>
    </row>
    <row r="48" spans="1:9" s="120" customFormat="1" ht="13.5" x14ac:dyDescent="0.25">
      <c r="A48" s="610" t="s">
        <v>176</v>
      </c>
      <c r="B48" s="610" t="s">
        <v>177</v>
      </c>
      <c r="C48" s="611">
        <v>0.14599999999999999</v>
      </c>
      <c r="D48" s="123">
        <v>918</v>
      </c>
      <c r="E48" s="123">
        <f t="shared" si="4"/>
        <v>134.02799999999999</v>
      </c>
      <c r="F48" s="123">
        <v>918</v>
      </c>
      <c r="G48" s="123">
        <f t="shared" si="3"/>
        <v>134.02799999999999</v>
      </c>
      <c r="H48" s="612">
        <f t="shared" si="5"/>
        <v>0</v>
      </c>
      <c r="I48" s="170" t="s">
        <v>85</v>
      </c>
    </row>
    <row r="49" spans="1:9" s="120" customFormat="1" ht="13.5" x14ac:dyDescent="0.25">
      <c r="A49" s="222" t="s">
        <v>316</v>
      </c>
      <c r="B49" s="222" t="s">
        <v>317</v>
      </c>
      <c r="C49" s="221">
        <v>1</v>
      </c>
      <c r="D49" s="225">
        <v>103</v>
      </c>
      <c r="E49" s="225">
        <f t="shared" si="4"/>
        <v>103</v>
      </c>
      <c r="F49" s="225">
        <v>103</v>
      </c>
      <c r="G49" s="225">
        <f t="shared" si="3"/>
        <v>103</v>
      </c>
      <c r="H49" s="612">
        <f t="shared" si="5"/>
        <v>0</v>
      </c>
      <c r="I49" s="170"/>
    </row>
    <row r="50" spans="1:9" s="1" customFormat="1" ht="13.5" x14ac:dyDescent="0.25">
      <c r="A50" s="222" t="s">
        <v>192</v>
      </c>
      <c r="B50" s="222" t="s">
        <v>193</v>
      </c>
      <c r="C50" s="221">
        <v>7.2999999999999995E-2</v>
      </c>
      <c r="D50" s="225">
        <v>1450</v>
      </c>
      <c r="E50" s="225">
        <f t="shared" si="4"/>
        <v>105.85</v>
      </c>
      <c r="F50" s="225">
        <v>1450</v>
      </c>
      <c r="G50" s="225">
        <f t="shared" si="3"/>
        <v>105.85</v>
      </c>
      <c r="H50" s="612">
        <f t="shared" si="5"/>
        <v>0</v>
      </c>
    </row>
    <row r="51" spans="1:9" s="1" customFormat="1" ht="13.5" x14ac:dyDescent="0.25">
      <c r="A51" s="222" t="s">
        <v>189</v>
      </c>
      <c r="B51" s="222" t="s">
        <v>190</v>
      </c>
      <c r="C51" s="221">
        <v>0.14499999999999999</v>
      </c>
      <c r="D51" s="225">
        <v>1411</v>
      </c>
      <c r="E51" s="225">
        <f t="shared" si="4"/>
        <v>204.595</v>
      </c>
      <c r="F51" s="225">
        <v>1411</v>
      </c>
      <c r="G51" s="225">
        <f t="shared" si="3"/>
        <v>204.595</v>
      </c>
      <c r="H51" s="612">
        <f t="shared" si="5"/>
        <v>0</v>
      </c>
    </row>
    <row r="52" spans="1:9" s="1" customFormat="1" ht="13.5" x14ac:dyDescent="0.25">
      <c r="A52" s="222" t="s">
        <v>382</v>
      </c>
      <c r="B52" s="222" t="s">
        <v>383</v>
      </c>
      <c r="C52" s="221">
        <v>4.5999999999999999E-2</v>
      </c>
      <c r="D52" s="612">
        <v>893</v>
      </c>
      <c r="E52" s="225">
        <f t="shared" si="4"/>
        <v>41.077999999999996</v>
      </c>
      <c r="F52" s="225">
        <v>893</v>
      </c>
      <c r="G52" s="225">
        <f t="shared" si="3"/>
        <v>41.077999999999996</v>
      </c>
      <c r="H52" s="612">
        <f t="shared" si="5"/>
        <v>0</v>
      </c>
    </row>
    <row r="53" spans="1:9" s="1" customFormat="1" ht="13.5" x14ac:dyDescent="0.25">
      <c r="A53" s="222" t="s">
        <v>384</v>
      </c>
      <c r="B53" s="222" t="s">
        <v>385</v>
      </c>
      <c r="C53" s="221">
        <v>4.5999999999999999E-2</v>
      </c>
      <c r="D53" s="612">
        <v>2046</v>
      </c>
      <c r="E53" s="225">
        <f t="shared" si="4"/>
        <v>94.116</v>
      </c>
      <c r="F53" s="225">
        <v>2046</v>
      </c>
      <c r="G53" s="225">
        <f t="shared" si="3"/>
        <v>94.116</v>
      </c>
      <c r="H53" s="612">
        <f t="shared" si="5"/>
        <v>0</v>
      </c>
    </row>
    <row r="54" spans="1:9" s="1" customFormat="1" ht="13.5" x14ac:dyDescent="0.25">
      <c r="A54" s="610" t="s">
        <v>281</v>
      </c>
      <c r="B54" s="610" t="s">
        <v>282</v>
      </c>
      <c r="C54" s="123">
        <v>7.2999999999999995E-2</v>
      </c>
      <c r="D54" s="123">
        <v>1496</v>
      </c>
      <c r="E54" s="617">
        <f t="shared" si="4"/>
        <v>109.208</v>
      </c>
      <c r="F54" s="617">
        <v>1496</v>
      </c>
      <c r="G54" s="617">
        <f t="shared" si="3"/>
        <v>109.208</v>
      </c>
      <c r="H54" s="612">
        <f t="shared" si="5"/>
        <v>0</v>
      </c>
    </row>
    <row r="55" spans="1:9" s="1" customFormat="1" ht="13.5" x14ac:dyDescent="0.25">
      <c r="A55" s="618" t="s">
        <v>392</v>
      </c>
      <c r="B55" s="619" t="s">
        <v>393</v>
      </c>
      <c r="C55" s="611">
        <v>0.14000000000000001</v>
      </c>
      <c r="D55" s="123">
        <v>1004</v>
      </c>
      <c r="E55" s="613">
        <f t="shared" si="4"/>
        <v>140.56</v>
      </c>
      <c r="F55" s="123">
        <v>1004</v>
      </c>
      <c r="G55" s="613">
        <f t="shared" si="3"/>
        <v>140.56</v>
      </c>
      <c r="H55" s="612">
        <f t="shared" si="5"/>
        <v>0</v>
      </c>
      <c r="I55" s="266"/>
    </row>
    <row r="56" spans="1:9" s="1" customFormat="1" ht="13.5" x14ac:dyDescent="0.25">
      <c r="A56" s="611" t="s">
        <v>413</v>
      </c>
      <c r="B56" s="611" t="s">
        <v>409</v>
      </c>
      <c r="C56" s="611">
        <v>1</v>
      </c>
      <c r="D56" s="123">
        <v>114</v>
      </c>
      <c r="E56" s="613">
        <f t="shared" si="4"/>
        <v>114</v>
      </c>
      <c r="F56" s="123">
        <v>114</v>
      </c>
      <c r="G56" s="613">
        <f t="shared" si="3"/>
        <v>114</v>
      </c>
      <c r="H56" s="612">
        <f t="shared" si="5"/>
        <v>0</v>
      </c>
    </row>
    <row r="57" spans="1:9" s="1" customFormat="1" ht="13.5" x14ac:dyDescent="0.25">
      <c r="A57" s="222" t="s">
        <v>236</v>
      </c>
      <c r="B57" s="222" t="s">
        <v>237</v>
      </c>
      <c r="C57" s="225">
        <v>1</v>
      </c>
      <c r="D57" s="225">
        <v>114</v>
      </c>
      <c r="E57" s="225">
        <f t="shared" si="4"/>
        <v>114</v>
      </c>
      <c r="F57" s="225">
        <v>114</v>
      </c>
      <c r="G57" s="225">
        <f t="shared" si="3"/>
        <v>114</v>
      </c>
      <c r="H57" s="612">
        <f t="shared" si="5"/>
        <v>0</v>
      </c>
      <c r="I57" s="475"/>
    </row>
    <row r="58" spans="1:9" s="1" customFormat="1" ht="13.5" x14ac:dyDescent="0.25">
      <c r="A58" s="610" t="s">
        <v>378</v>
      </c>
      <c r="B58" s="610" t="s">
        <v>377</v>
      </c>
      <c r="C58" s="611">
        <v>1.09E-2</v>
      </c>
      <c r="D58" s="123">
        <v>26300</v>
      </c>
      <c r="E58" s="613">
        <f t="shared" si="4"/>
        <v>286.67</v>
      </c>
      <c r="F58" s="123">
        <v>26300</v>
      </c>
      <c r="G58" s="613">
        <f t="shared" si="3"/>
        <v>286.67</v>
      </c>
      <c r="H58" s="612">
        <f t="shared" si="5"/>
        <v>0</v>
      </c>
      <c r="I58" s="475"/>
    </row>
    <row r="59" spans="1:9" s="1" customFormat="1" ht="13.5" x14ac:dyDescent="0.25">
      <c r="A59" s="618" t="s">
        <v>441</v>
      </c>
      <c r="B59" s="619" t="s">
        <v>442</v>
      </c>
      <c r="C59" s="611">
        <v>0.16</v>
      </c>
      <c r="D59" s="123">
        <v>1075</v>
      </c>
      <c r="E59" s="613">
        <f t="shared" si="4"/>
        <v>172</v>
      </c>
      <c r="F59" s="123">
        <v>1075</v>
      </c>
      <c r="G59" s="613">
        <f t="shared" si="3"/>
        <v>172</v>
      </c>
      <c r="H59" s="612">
        <f t="shared" si="5"/>
        <v>0</v>
      </c>
      <c r="I59" s="475"/>
    </row>
    <row r="60" spans="1:9" s="1" customFormat="1" ht="13.5" x14ac:dyDescent="0.25">
      <c r="A60" s="222" t="s">
        <v>314</v>
      </c>
      <c r="B60" s="222" t="s">
        <v>315</v>
      </c>
      <c r="C60" s="221">
        <v>0.04</v>
      </c>
      <c r="D60" s="225">
        <v>861</v>
      </c>
      <c r="E60" s="225">
        <f t="shared" si="4"/>
        <v>34.44</v>
      </c>
      <c r="F60" s="225">
        <v>861</v>
      </c>
      <c r="G60" s="225">
        <f t="shared" si="3"/>
        <v>34.44</v>
      </c>
      <c r="H60" s="612">
        <f t="shared" si="5"/>
        <v>0</v>
      </c>
      <c r="I60" s="475"/>
    </row>
    <row r="61" spans="1:9" s="120" customFormat="1" ht="13.5" x14ac:dyDescent="0.25">
      <c r="A61" s="610" t="s">
        <v>126</v>
      </c>
      <c r="B61" s="610" t="s">
        <v>127</v>
      </c>
      <c r="C61" s="611">
        <v>1</v>
      </c>
      <c r="D61" s="123">
        <v>990</v>
      </c>
      <c r="E61" s="123">
        <f t="shared" si="4"/>
        <v>990</v>
      </c>
      <c r="F61" s="123">
        <v>990</v>
      </c>
      <c r="G61" s="123">
        <f t="shared" si="3"/>
        <v>990</v>
      </c>
      <c r="H61" s="612">
        <f t="shared" si="5"/>
        <v>0</v>
      </c>
    </row>
    <row r="62" spans="1:9" s="120" customFormat="1" ht="13.5" x14ac:dyDescent="0.25">
      <c r="A62" s="222" t="s">
        <v>437</v>
      </c>
      <c r="B62" s="222" t="s">
        <v>438</v>
      </c>
      <c r="C62" s="221">
        <v>0.09</v>
      </c>
      <c r="D62" s="225">
        <v>954</v>
      </c>
      <c r="E62" s="225">
        <f t="shared" si="4"/>
        <v>85.86</v>
      </c>
      <c r="F62" s="225">
        <v>954</v>
      </c>
      <c r="G62" s="225">
        <f t="shared" si="3"/>
        <v>85.86</v>
      </c>
      <c r="H62" s="612">
        <f t="shared" si="5"/>
        <v>0</v>
      </c>
    </row>
    <row r="63" spans="1:9" s="120" customFormat="1" ht="13.5" x14ac:dyDescent="0.25">
      <c r="A63" s="222" t="s">
        <v>226</v>
      </c>
      <c r="B63" s="222" t="s">
        <v>227</v>
      </c>
      <c r="C63" s="221">
        <v>3</v>
      </c>
      <c r="D63" s="225">
        <v>58</v>
      </c>
      <c r="E63" s="225">
        <f t="shared" si="4"/>
        <v>174</v>
      </c>
      <c r="F63" s="225">
        <v>58</v>
      </c>
      <c r="G63" s="225">
        <f t="shared" si="3"/>
        <v>174</v>
      </c>
      <c r="H63" s="612">
        <f t="shared" si="5"/>
        <v>0</v>
      </c>
    </row>
    <row r="64" spans="1:9" s="1" customFormat="1" ht="13.5" x14ac:dyDescent="0.25">
      <c r="A64" s="222" t="s">
        <v>222</v>
      </c>
      <c r="B64" s="222" t="s">
        <v>223</v>
      </c>
      <c r="C64" s="221">
        <v>5</v>
      </c>
      <c r="D64" s="225">
        <v>19</v>
      </c>
      <c r="E64" s="225">
        <f t="shared" si="4"/>
        <v>95</v>
      </c>
      <c r="F64" s="225">
        <v>19</v>
      </c>
      <c r="G64" s="225">
        <f t="shared" si="3"/>
        <v>95</v>
      </c>
      <c r="H64" s="612">
        <f t="shared" si="5"/>
        <v>0</v>
      </c>
    </row>
    <row r="65" spans="1:9" s="1" customFormat="1" ht="13.5" x14ac:dyDescent="0.25">
      <c r="A65" s="222" t="s">
        <v>402</v>
      </c>
      <c r="B65" s="222" t="s">
        <v>401</v>
      </c>
      <c r="C65" s="221">
        <v>1</v>
      </c>
      <c r="D65" s="225">
        <v>103</v>
      </c>
      <c r="E65" s="225">
        <f t="shared" si="4"/>
        <v>103</v>
      </c>
      <c r="F65" s="225">
        <v>103</v>
      </c>
      <c r="G65" s="496">
        <f t="shared" si="3"/>
        <v>103</v>
      </c>
      <c r="H65" s="612">
        <f t="shared" si="5"/>
        <v>0</v>
      </c>
    </row>
    <row r="66" spans="1:9" s="1" customFormat="1" ht="13.5" x14ac:dyDescent="0.25">
      <c r="A66" s="618" t="s">
        <v>325</v>
      </c>
      <c r="B66" s="619" t="s">
        <v>326</v>
      </c>
      <c r="C66" s="225">
        <v>1</v>
      </c>
      <c r="D66" s="225">
        <v>65</v>
      </c>
      <c r="E66" s="225">
        <f t="shared" ref="E66:E71" si="6">D66*C66</f>
        <v>65</v>
      </c>
      <c r="F66" s="225">
        <v>65</v>
      </c>
      <c r="G66" s="225">
        <f t="shared" si="3"/>
        <v>65</v>
      </c>
      <c r="H66" s="612">
        <f t="shared" ref="H66:H71" si="7">((D66/F66)*100)-100</f>
        <v>0</v>
      </c>
    </row>
    <row r="67" spans="1:9" s="1" customFormat="1" ht="13.5" x14ac:dyDescent="0.25">
      <c r="A67" s="222" t="s">
        <v>224</v>
      </c>
      <c r="B67" s="222" t="s">
        <v>225</v>
      </c>
      <c r="C67" s="221">
        <v>1</v>
      </c>
      <c r="D67" s="225">
        <v>1022</v>
      </c>
      <c r="E67" s="225">
        <f t="shared" si="6"/>
        <v>1022</v>
      </c>
      <c r="F67" s="225">
        <v>1022</v>
      </c>
      <c r="G67" s="225">
        <f t="shared" si="3"/>
        <v>1022</v>
      </c>
      <c r="H67" s="612">
        <f t="shared" si="7"/>
        <v>0</v>
      </c>
      <c r="I67" s="139"/>
    </row>
    <row r="68" spans="1:9" s="1" customFormat="1" ht="13.5" x14ac:dyDescent="0.25">
      <c r="A68" s="610" t="s">
        <v>344</v>
      </c>
      <c r="B68" s="610" t="s">
        <v>345</v>
      </c>
      <c r="C68" s="123">
        <v>4.5999999999999999E-2</v>
      </c>
      <c r="D68" s="123">
        <v>1624</v>
      </c>
      <c r="E68" s="123">
        <f t="shared" si="6"/>
        <v>74.703999999999994</v>
      </c>
      <c r="F68" s="123">
        <v>1624</v>
      </c>
      <c r="G68" s="613">
        <v>74.703999999999994</v>
      </c>
      <c r="H68" s="612">
        <f t="shared" si="7"/>
        <v>0</v>
      </c>
      <c r="I68" s="139"/>
    </row>
    <row r="69" spans="1:9" s="1" customFormat="1" ht="13.5" x14ac:dyDescent="0.25">
      <c r="A69" s="618" t="s">
        <v>394</v>
      </c>
      <c r="B69" s="619" t="s">
        <v>395</v>
      </c>
      <c r="C69" s="611">
        <v>3.125E-2</v>
      </c>
      <c r="D69" s="123">
        <v>1624</v>
      </c>
      <c r="E69" s="613">
        <f t="shared" si="6"/>
        <v>50.75</v>
      </c>
      <c r="F69" s="123">
        <v>1624</v>
      </c>
      <c r="G69" s="613">
        <f>F69*C69</f>
        <v>50.75</v>
      </c>
      <c r="H69" s="612">
        <f t="shared" si="7"/>
        <v>0</v>
      </c>
      <c r="I69" s="139"/>
    </row>
    <row r="70" spans="1:9" s="1" customFormat="1" ht="13.5" x14ac:dyDescent="0.25">
      <c r="A70" s="610" t="s">
        <v>379</v>
      </c>
      <c r="B70" s="610" t="s">
        <v>380</v>
      </c>
      <c r="C70" s="611">
        <v>0.11</v>
      </c>
      <c r="D70" s="123">
        <v>1727</v>
      </c>
      <c r="E70" s="613">
        <f t="shared" si="6"/>
        <v>189.97</v>
      </c>
      <c r="F70" s="123">
        <v>1727</v>
      </c>
      <c r="G70" s="613">
        <f>F70*C70</f>
        <v>189.97</v>
      </c>
      <c r="H70" s="612">
        <f t="shared" si="7"/>
        <v>0</v>
      </c>
      <c r="I70" s="139"/>
    </row>
    <row r="71" spans="1:9" s="1" customFormat="1" ht="13.5" x14ac:dyDescent="0.25">
      <c r="A71" s="610" t="s">
        <v>311</v>
      </c>
      <c r="B71" s="610" t="s">
        <v>312</v>
      </c>
      <c r="C71" s="611">
        <v>1</v>
      </c>
      <c r="D71" s="123">
        <v>114</v>
      </c>
      <c r="E71" s="123">
        <f t="shared" si="6"/>
        <v>114</v>
      </c>
      <c r="F71" s="123">
        <v>114</v>
      </c>
      <c r="G71" s="123">
        <f>F71*C71</f>
        <v>114</v>
      </c>
      <c r="H71" s="612">
        <f t="shared" si="7"/>
        <v>0</v>
      </c>
      <c r="I71" s="139"/>
    </row>
  </sheetData>
  <autoFilter ref="A1:H1" xr:uid="{D3468987-74F3-43B5-8E48-90C6DD061494}">
    <sortState xmlns:xlrd2="http://schemas.microsoft.com/office/spreadsheetml/2017/richdata2" ref="A2:H71">
      <sortCondition descending="1" ref="H1"/>
    </sortState>
  </autoFilter>
  <conditionalFormatting sqref="B1:B1048576">
    <cfRule type="duplicateValues" dxfId="8" priority="1"/>
  </conditionalFormatting>
  <pageMargins left="0.7" right="0.7" top="0.75" bottom="0.75" header="0.3" footer="0.3"/>
  <pageSetup scale="37" orientation="portrait" r:id="rId1"/>
  <colBreaks count="1" manualBreakCount="1">
    <brk id="8" max="13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E56B-63DB-4DB7-BC3C-8F832F53F3AA}">
  <sheetPr codeName="Hoja9"/>
  <dimension ref="A1:K74"/>
  <sheetViews>
    <sheetView view="pageBreakPreview" zoomScale="70" zoomScaleNormal="80" zoomScaleSheetLayoutView="70" zoomScalePageLayoutView="70" workbookViewId="0">
      <selection activeCell="D69" sqref="D69"/>
    </sheetView>
  </sheetViews>
  <sheetFormatPr baseColWidth="10" defaultColWidth="11.5703125" defaultRowHeight="16.5" x14ac:dyDescent="0.25"/>
  <cols>
    <col min="1" max="1" width="11.5703125" style="680"/>
    <col min="2" max="2" width="27.5703125" style="680" bestFit="1" customWidth="1"/>
    <col min="3" max="3" width="16.28515625" style="678" bestFit="1" customWidth="1"/>
    <col min="4" max="4" width="63.28515625" style="679" customWidth="1"/>
    <col min="5" max="6" width="12.28515625" style="490" bestFit="1" customWidth="1"/>
    <col min="7" max="7" width="11.5703125" style="490"/>
    <col min="8" max="8" width="11.5703125" style="680"/>
    <col min="9" max="16384" width="11.5703125" style="678"/>
  </cols>
  <sheetData>
    <row r="1" spans="2:11" x14ac:dyDescent="0.25">
      <c r="C1" s="680"/>
      <c r="D1" s="681"/>
      <c r="E1" s="682"/>
      <c r="F1" s="682"/>
      <c r="G1" s="682"/>
    </row>
    <row r="2" spans="2:11" ht="25.5" x14ac:dyDescent="0.25">
      <c r="B2" s="1743" t="s">
        <v>647</v>
      </c>
      <c r="C2" s="1743"/>
      <c r="D2" s="1743"/>
      <c r="E2" s="1743"/>
      <c r="F2" s="1743"/>
      <c r="G2" s="1743"/>
      <c r="H2" s="89"/>
      <c r="I2" s="89"/>
      <c r="J2" s="89"/>
      <c r="K2" s="89"/>
    </row>
    <row r="3" spans="2:11" x14ac:dyDescent="0.25">
      <c r="C3" s="680"/>
      <c r="D3" s="681"/>
      <c r="E3" s="682"/>
      <c r="F3" s="682"/>
      <c r="G3" s="682"/>
    </row>
    <row r="4" spans="2:11" ht="25.5" x14ac:dyDescent="0.25">
      <c r="B4" s="707" t="s">
        <v>673</v>
      </c>
      <c r="C4" s="707" t="s">
        <v>0</v>
      </c>
      <c r="D4" s="707" t="s">
        <v>1</v>
      </c>
      <c r="E4" s="708" t="s">
        <v>632</v>
      </c>
      <c r="F4" s="708" t="s">
        <v>644</v>
      </c>
      <c r="G4" s="709" t="s">
        <v>3</v>
      </c>
    </row>
    <row r="5" spans="2:11" x14ac:dyDescent="0.25">
      <c r="B5" s="706" t="s">
        <v>663</v>
      </c>
      <c r="C5" s="683" t="s">
        <v>4</v>
      </c>
      <c r="D5" s="684" t="s">
        <v>53</v>
      </c>
      <c r="E5" s="685">
        <v>7</v>
      </c>
      <c r="F5" s="685">
        <v>7</v>
      </c>
      <c r="G5" s="687">
        <f>((E5/F5)*100)-100</f>
        <v>0</v>
      </c>
    </row>
    <row r="6" spans="2:11" x14ac:dyDescent="0.25">
      <c r="B6" s="706" t="s">
        <v>663</v>
      </c>
      <c r="C6" s="683" t="s">
        <v>97</v>
      </c>
      <c r="D6" s="684" t="s">
        <v>98</v>
      </c>
      <c r="E6" s="685">
        <v>310</v>
      </c>
      <c r="F6" s="685">
        <v>310</v>
      </c>
      <c r="G6" s="687">
        <f>((E6/F6)*100)-100</f>
        <v>0</v>
      </c>
    </row>
    <row r="7" spans="2:11" x14ac:dyDescent="0.25">
      <c r="B7" s="706" t="s">
        <v>652</v>
      </c>
      <c r="C7" s="683" t="s">
        <v>9</v>
      </c>
      <c r="D7" s="684" t="s">
        <v>10</v>
      </c>
      <c r="E7" s="685">
        <v>6316.85</v>
      </c>
      <c r="F7" s="685">
        <v>5975</v>
      </c>
      <c r="G7" s="686">
        <f>((F7/E7)*100)-100</f>
        <v>-5.4117162826408816</v>
      </c>
    </row>
    <row r="8" spans="2:11" x14ac:dyDescent="0.25">
      <c r="B8" s="706" t="s">
        <v>667</v>
      </c>
      <c r="C8" s="683" t="s">
        <v>33</v>
      </c>
      <c r="D8" s="684" t="s">
        <v>34</v>
      </c>
      <c r="E8" s="685">
        <v>26800</v>
      </c>
      <c r="F8" s="685">
        <v>26800</v>
      </c>
      <c r="G8" s="687">
        <f>((E8/F8)*100)-100</f>
        <v>0</v>
      </c>
    </row>
    <row r="9" spans="2:11" x14ac:dyDescent="0.25">
      <c r="B9" s="706" t="s">
        <v>651</v>
      </c>
      <c r="C9" s="683" t="s">
        <v>101</v>
      </c>
      <c r="D9" s="684" t="s">
        <v>102</v>
      </c>
      <c r="E9" s="685">
        <v>75475.710000000006</v>
      </c>
      <c r="F9" s="685">
        <v>70021</v>
      </c>
      <c r="G9" s="686">
        <f>((F9/E9)*100)-100</f>
        <v>-7.2271065750822459</v>
      </c>
    </row>
    <row r="10" spans="2:11" x14ac:dyDescent="0.25">
      <c r="B10" s="706" t="s">
        <v>651</v>
      </c>
      <c r="C10" s="683" t="s">
        <v>414</v>
      </c>
      <c r="D10" s="684" t="s">
        <v>415</v>
      </c>
      <c r="E10" s="685">
        <v>40125</v>
      </c>
      <c r="F10" s="685">
        <v>37500</v>
      </c>
      <c r="G10" s="686">
        <f>((F10/E10)*100)-100</f>
        <v>-6.5420560747663501</v>
      </c>
    </row>
    <row r="11" spans="2:11" x14ac:dyDescent="0.25">
      <c r="B11" s="706" t="s">
        <v>651</v>
      </c>
      <c r="C11" s="683" t="s">
        <v>105</v>
      </c>
      <c r="D11" s="684" t="s">
        <v>106</v>
      </c>
      <c r="E11" s="685">
        <v>65857</v>
      </c>
      <c r="F11" s="685">
        <v>65850</v>
      </c>
      <c r="G11" s="686">
        <f>((F11/E11)*100)-100</f>
        <v>-1.0629090301719657E-2</v>
      </c>
    </row>
    <row r="12" spans="2:11" x14ac:dyDescent="0.25">
      <c r="B12" s="706" t="s">
        <v>651</v>
      </c>
      <c r="C12" s="683" t="s">
        <v>213</v>
      </c>
      <c r="D12" s="684" t="s">
        <v>214</v>
      </c>
      <c r="E12" s="685">
        <v>11052</v>
      </c>
      <c r="F12" s="685">
        <v>11052</v>
      </c>
      <c r="G12" s="687">
        <f t="shared" ref="G12:G24" si="0">((E12/F12)*100)-100</f>
        <v>0</v>
      </c>
    </row>
    <row r="13" spans="2:11" x14ac:dyDescent="0.25">
      <c r="B13" s="706" t="s">
        <v>651</v>
      </c>
      <c r="C13" s="683" t="s">
        <v>75</v>
      </c>
      <c r="D13" s="684" t="s">
        <v>76</v>
      </c>
      <c r="E13" s="685">
        <v>35100</v>
      </c>
      <c r="F13" s="685">
        <v>35100</v>
      </c>
      <c r="G13" s="687">
        <f t="shared" si="0"/>
        <v>0</v>
      </c>
    </row>
    <row r="14" spans="2:11" x14ac:dyDescent="0.25">
      <c r="B14" s="706" t="s">
        <v>651</v>
      </c>
      <c r="C14" s="683" t="s">
        <v>261</v>
      </c>
      <c r="D14" s="684" t="s">
        <v>262</v>
      </c>
      <c r="E14" s="685">
        <v>29877</v>
      </c>
      <c r="F14" s="685">
        <v>29877</v>
      </c>
      <c r="G14" s="687">
        <f t="shared" si="0"/>
        <v>0</v>
      </c>
    </row>
    <row r="15" spans="2:11" x14ac:dyDescent="0.25">
      <c r="B15" s="706" t="s">
        <v>651</v>
      </c>
      <c r="C15" s="683" t="s">
        <v>19</v>
      </c>
      <c r="D15" s="684" t="s">
        <v>20</v>
      </c>
      <c r="E15" s="685">
        <v>27308</v>
      </c>
      <c r="F15" s="685">
        <v>27308</v>
      </c>
      <c r="G15" s="687">
        <f t="shared" si="0"/>
        <v>0</v>
      </c>
    </row>
    <row r="16" spans="2:11" x14ac:dyDescent="0.25">
      <c r="B16" s="706" t="s">
        <v>651</v>
      </c>
      <c r="C16" s="683" t="s">
        <v>337</v>
      </c>
      <c r="D16" s="684" t="s">
        <v>336</v>
      </c>
      <c r="E16" s="685">
        <v>32870</v>
      </c>
      <c r="F16" s="685">
        <v>32870</v>
      </c>
      <c r="G16" s="687">
        <f t="shared" si="0"/>
        <v>0</v>
      </c>
    </row>
    <row r="17" spans="2:7" x14ac:dyDescent="0.25">
      <c r="B17" s="706" t="s">
        <v>651</v>
      </c>
      <c r="C17" s="683" t="s">
        <v>147</v>
      </c>
      <c r="D17" s="684" t="s">
        <v>148</v>
      </c>
      <c r="E17" s="685">
        <v>15516</v>
      </c>
      <c r="F17" s="685">
        <v>15516</v>
      </c>
      <c r="G17" s="687">
        <f t="shared" si="0"/>
        <v>0</v>
      </c>
    </row>
    <row r="18" spans="2:7" x14ac:dyDescent="0.25">
      <c r="B18" s="706" t="s">
        <v>651</v>
      </c>
      <c r="C18" s="683" t="s">
        <v>361</v>
      </c>
      <c r="D18" s="684" t="s">
        <v>362</v>
      </c>
      <c r="E18" s="685">
        <v>16071</v>
      </c>
      <c r="F18" s="685">
        <v>16071</v>
      </c>
      <c r="G18" s="687">
        <f t="shared" si="0"/>
        <v>0</v>
      </c>
    </row>
    <row r="19" spans="2:7" x14ac:dyDescent="0.25">
      <c r="B19" s="706" t="s">
        <v>651</v>
      </c>
      <c r="C19" s="683" t="s">
        <v>180</v>
      </c>
      <c r="D19" s="684" t="s">
        <v>181</v>
      </c>
      <c r="E19" s="685">
        <v>36457</v>
      </c>
      <c r="F19" s="685">
        <v>36457</v>
      </c>
      <c r="G19" s="687">
        <f t="shared" si="0"/>
        <v>0</v>
      </c>
    </row>
    <row r="20" spans="2:7" x14ac:dyDescent="0.25">
      <c r="B20" s="706" t="s">
        <v>651</v>
      </c>
      <c r="C20" s="683" t="s">
        <v>406</v>
      </c>
      <c r="D20" s="684" t="s">
        <v>407</v>
      </c>
      <c r="E20" s="685">
        <v>8214</v>
      </c>
      <c r="F20" s="685">
        <v>8214</v>
      </c>
      <c r="G20" s="687">
        <f t="shared" si="0"/>
        <v>0</v>
      </c>
    </row>
    <row r="21" spans="2:7" x14ac:dyDescent="0.25">
      <c r="B21" s="706" t="s">
        <v>651</v>
      </c>
      <c r="C21" s="683" t="s">
        <v>99</v>
      </c>
      <c r="D21" s="684" t="s">
        <v>100</v>
      </c>
      <c r="E21" s="685">
        <v>21534</v>
      </c>
      <c r="F21" s="685">
        <v>21534</v>
      </c>
      <c r="G21" s="687">
        <f t="shared" si="0"/>
        <v>0</v>
      </c>
    </row>
    <row r="22" spans="2:7" x14ac:dyDescent="0.25">
      <c r="B22" s="706" t="s">
        <v>651</v>
      </c>
      <c r="C22" s="683" t="s">
        <v>417</v>
      </c>
      <c r="D22" s="684" t="s">
        <v>418</v>
      </c>
      <c r="E22" s="685">
        <v>72924</v>
      </c>
      <c r="F22" s="685">
        <v>72924</v>
      </c>
      <c r="G22" s="687">
        <f t="shared" si="0"/>
        <v>0</v>
      </c>
    </row>
    <row r="23" spans="2:7" x14ac:dyDescent="0.25">
      <c r="B23" s="706" t="s">
        <v>651</v>
      </c>
      <c r="C23" s="683" t="s">
        <v>278</v>
      </c>
      <c r="D23" s="684" t="s">
        <v>279</v>
      </c>
      <c r="E23" s="685">
        <v>64256</v>
      </c>
      <c r="F23" s="685">
        <v>64256</v>
      </c>
      <c r="G23" s="687">
        <f t="shared" si="0"/>
        <v>0</v>
      </c>
    </row>
    <row r="24" spans="2:7" x14ac:dyDescent="0.25">
      <c r="B24" s="706" t="s">
        <v>651</v>
      </c>
      <c r="C24" s="683" t="s">
        <v>63</v>
      </c>
      <c r="D24" s="684" t="s">
        <v>64</v>
      </c>
      <c r="E24" s="685">
        <v>46385</v>
      </c>
      <c r="F24" s="685">
        <v>46385</v>
      </c>
      <c r="G24" s="687">
        <f t="shared" si="0"/>
        <v>0</v>
      </c>
    </row>
    <row r="25" spans="2:7" x14ac:dyDescent="0.25">
      <c r="B25" s="706" t="s">
        <v>651</v>
      </c>
      <c r="C25" s="683" t="s">
        <v>59</v>
      </c>
      <c r="D25" s="684" t="s">
        <v>60</v>
      </c>
      <c r="E25" s="685">
        <v>62000</v>
      </c>
      <c r="F25" s="685">
        <v>65857</v>
      </c>
      <c r="G25" s="688">
        <f>((F25/E25)*100)-100</f>
        <v>6.2209677419354819</v>
      </c>
    </row>
    <row r="26" spans="2:7" x14ac:dyDescent="0.25">
      <c r="B26" s="706" t="s">
        <v>651</v>
      </c>
      <c r="C26" s="683" t="s">
        <v>433</v>
      </c>
      <c r="D26" s="684" t="s">
        <v>434</v>
      </c>
      <c r="E26" s="685">
        <v>16071</v>
      </c>
      <c r="F26" s="685">
        <v>21000</v>
      </c>
      <c r="G26" s="688">
        <f>((F26/E26)*100)-100</f>
        <v>30.670151204032123</v>
      </c>
    </row>
    <row r="27" spans="2:7" x14ac:dyDescent="0.25">
      <c r="B27" s="706" t="s">
        <v>665</v>
      </c>
      <c r="C27" s="683"/>
      <c r="D27" s="684" t="s">
        <v>246</v>
      </c>
      <c r="E27" s="685">
        <v>7900</v>
      </c>
      <c r="F27" s="685">
        <v>7900</v>
      </c>
      <c r="G27" s="687">
        <f>((E27/F27)*100)-100</f>
        <v>0</v>
      </c>
    </row>
    <row r="28" spans="2:7" x14ac:dyDescent="0.25">
      <c r="B28" s="706" t="s">
        <v>658</v>
      </c>
      <c r="C28" s="683" t="s">
        <v>93</v>
      </c>
      <c r="D28" s="684" t="s">
        <v>94</v>
      </c>
      <c r="E28" s="685">
        <v>17600</v>
      </c>
      <c r="F28" s="685">
        <v>17440</v>
      </c>
      <c r="G28" s="686">
        <f>((F28/E28)*100)-100</f>
        <v>-0.90909090909090651</v>
      </c>
    </row>
    <row r="29" spans="2:7" x14ac:dyDescent="0.25">
      <c r="B29" s="706" t="s">
        <v>658</v>
      </c>
      <c r="C29" s="683" t="s">
        <v>95</v>
      </c>
      <c r="D29" s="684" t="s">
        <v>96</v>
      </c>
      <c r="E29" s="685">
        <v>15045</v>
      </c>
      <c r="F29" s="685">
        <v>16500</v>
      </c>
      <c r="G29" s="688">
        <f>((F29/E29)*100)-100</f>
        <v>9.6709870388833679</v>
      </c>
    </row>
    <row r="30" spans="2:7" x14ac:dyDescent="0.25">
      <c r="B30" s="706" t="s">
        <v>659</v>
      </c>
      <c r="C30" s="683" t="s">
        <v>6</v>
      </c>
      <c r="D30" s="684" t="s">
        <v>645</v>
      </c>
      <c r="E30" s="685">
        <v>7012.5</v>
      </c>
      <c r="F30" s="685">
        <v>6993</v>
      </c>
      <c r="G30" s="686">
        <f>((F30/E30)*100)-100</f>
        <v>-0.27807486631016332</v>
      </c>
    </row>
    <row r="31" spans="2:7" x14ac:dyDescent="0.25">
      <c r="B31" s="706" t="s">
        <v>659</v>
      </c>
      <c r="C31" s="683" t="s">
        <v>509</v>
      </c>
      <c r="D31" s="684" t="s">
        <v>447</v>
      </c>
      <c r="E31" s="685">
        <v>6800</v>
      </c>
      <c r="F31" s="685">
        <v>6800</v>
      </c>
      <c r="G31" s="687">
        <f>((E31/F31)*100)-100</f>
        <v>0</v>
      </c>
    </row>
    <row r="32" spans="2:7" x14ac:dyDescent="0.25">
      <c r="B32" s="706" t="s">
        <v>659</v>
      </c>
      <c r="C32" s="683" t="s">
        <v>5</v>
      </c>
      <c r="D32" s="684" t="s">
        <v>503</v>
      </c>
      <c r="E32" s="685">
        <v>5420</v>
      </c>
      <c r="F32" s="685">
        <v>5484</v>
      </c>
      <c r="G32" s="688">
        <f>((F32/E32)*100)-100</f>
        <v>1.1808118081180936</v>
      </c>
    </row>
    <row r="33" spans="2:7" x14ac:dyDescent="0.25">
      <c r="B33" s="706" t="s">
        <v>655</v>
      </c>
      <c r="C33" s="683" t="s">
        <v>86</v>
      </c>
      <c r="D33" s="684" t="s">
        <v>87</v>
      </c>
      <c r="E33" s="685">
        <v>53429.29</v>
      </c>
      <c r="F33" s="685">
        <v>51477</v>
      </c>
      <c r="G33" s="686">
        <f>((F33/E33)*100)-100</f>
        <v>-3.653969573617772</v>
      </c>
    </row>
    <row r="34" spans="2:7" x14ac:dyDescent="0.25">
      <c r="B34" s="706" t="s">
        <v>655</v>
      </c>
      <c r="C34" s="683" t="s">
        <v>217</v>
      </c>
      <c r="D34" s="684" t="s">
        <v>218</v>
      </c>
      <c r="E34" s="685">
        <v>4561</v>
      </c>
      <c r="F34" s="685">
        <v>4561</v>
      </c>
      <c r="G34" s="687">
        <f t="shared" ref="G34:G42" si="1">((E34/F34)*100)-100</f>
        <v>0</v>
      </c>
    </row>
    <row r="35" spans="2:7" x14ac:dyDescent="0.25">
      <c r="B35" s="706" t="s">
        <v>655</v>
      </c>
      <c r="C35" s="683" t="s">
        <v>182</v>
      </c>
      <c r="D35" s="684" t="s">
        <v>183</v>
      </c>
      <c r="E35" s="685">
        <v>39122</v>
      </c>
      <c r="F35" s="685">
        <v>39122</v>
      </c>
      <c r="G35" s="687">
        <f t="shared" si="1"/>
        <v>0</v>
      </c>
    </row>
    <row r="36" spans="2:7" x14ac:dyDescent="0.25">
      <c r="B36" s="706" t="s">
        <v>655</v>
      </c>
      <c r="C36" s="683" t="s">
        <v>35</v>
      </c>
      <c r="D36" s="684" t="s">
        <v>36</v>
      </c>
      <c r="E36" s="685">
        <v>169210</v>
      </c>
      <c r="F36" s="685">
        <v>169210</v>
      </c>
      <c r="G36" s="687">
        <f t="shared" si="1"/>
        <v>0</v>
      </c>
    </row>
    <row r="37" spans="2:7" x14ac:dyDescent="0.25">
      <c r="B37" s="706" t="s">
        <v>655</v>
      </c>
      <c r="C37" s="683" t="s">
        <v>184</v>
      </c>
      <c r="D37" s="684" t="s">
        <v>185</v>
      </c>
      <c r="E37" s="685">
        <v>53618</v>
      </c>
      <c r="F37" s="685">
        <v>53618</v>
      </c>
      <c r="G37" s="687">
        <f t="shared" si="1"/>
        <v>0</v>
      </c>
    </row>
    <row r="38" spans="2:7" x14ac:dyDescent="0.25">
      <c r="B38" s="706" t="s">
        <v>655</v>
      </c>
      <c r="C38" s="683" t="s">
        <v>31</v>
      </c>
      <c r="D38" s="684" t="s">
        <v>32</v>
      </c>
      <c r="E38" s="685">
        <v>121899</v>
      </c>
      <c r="F38" s="685">
        <v>121899</v>
      </c>
      <c r="G38" s="687">
        <f t="shared" si="1"/>
        <v>0</v>
      </c>
    </row>
    <row r="39" spans="2:7" x14ac:dyDescent="0.25">
      <c r="B39" s="706" t="s">
        <v>664</v>
      </c>
      <c r="C39" s="683" t="s">
        <v>61</v>
      </c>
      <c r="D39" s="684" t="s">
        <v>62</v>
      </c>
      <c r="E39" s="685">
        <v>30713</v>
      </c>
      <c r="F39" s="685">
        <v>30713</v>
      </c>
      <c r="G39" s="687">
        <f t="shared" si="1"/>
        <v>0</v>
      </c>
    </row>
    <row r="40" spans="2:7" x14ac:dyDescent="0.25">
      <c r="B40" s="706" t="s">
        <v>664</v>
      </c>
      <c r="C40" s="683" t="s">
        <v>65</v>
      </c>
      <c r="D40" s="684" t="s">
        <v>150</v>
      </c>
      <c r="E40" s="685">
        <v>24619</v>
      </c>
      <c r="F40" s="685">
        <v>24619</v>
      </c>
      <c r="G40" s="687">
        <f t="shared" si="1"/>
        <v>0</v>
      </c>
    </row>
    <row r="41" spans="2:7" x14ac:dyDescent="0.25">
      <c r="B41" s="706" t="s">
        <v>664</v>
      </c>
      <c r="C41" s="683" t="s">
        <v>67</v>
      </c>
      <c r="D41" s="684" t="s">
        <v>68</v>
      </c>
      <c r="E41" s="685">
        <v>69401</v>
      </c>
      <c r="F41" s="685">
        <v>69401</v>
      </c>
      <c r="G41" s="687">
        <f t="shared" si="1"/>
        <v>0</v>
      </c>
    </row>
    <row r="42" spans="2:7" x14ac:dyDescent="0.25">
      <c r="B42" s="706" t="s">
        <v>664</v>
      </c>
      <c r="C42" s="683" t="s">
        <v>121</v>
      </c>
      <c r="D42" s="684" t="s">
        <v>122</v>
      </c>
      <c r="E42" s="685">
        <v>43120</v>
      </c>
      <c r="F42" s="685">
        <v>43120</v>
      </c>
      <c r="G42" s="687">
        <f t="shared" si="1"/>
        <v>0</v>
      </c>
    </row>
    <row r="43" spans="2:7" x14ac:dyDescent="0.25">
      <c r="B43" s="706" t="s">
        <v>664</v>
      </c>
      <c r="C43" s="683" t="s">
        <v>219</v>
      </c>
      <c r="D43" s="684" t="s">
        <v>220</v>
      </c>
      <c r="E43" s="685">
        <v>28330</v>
      </c>
      <c r="F43" s="685">
        <v>32511</v>
      </c>
      <c r="G43" s="688">
        <f>((F43/E43)*100)-100</f>
        <v>14.758206847864457</v>
      </c>
    </row>
    <row r="44" spans="2:7" x14ac:dyDescent="0.25">
      <c r="B44" s="706" t="s">
        <v>656</v>
      </c>
      <c r="C44" s="683" t="s">
        <v>25</v>
      </c>
      <c r="D44" s="684" t="s">
        <v>26</v>
      </c>
      <c r="E44" s="685">
        <v>61143.15</v>
      </c>
      <c r="F44" s="685">
        <v>59418</v>
      </c>
      <c r="G44" s="686">
        <f>((F44/E44)*100)-100</f>
        <v>-2.8214934951830202</v>
      </c>
    </row>
    <row r="45" spans="2:7" x14ac:dyDescent="0.25">
      <c r="B45" s="706" t="s">
        <v>660</v>
      </c>
      <c r="C45" s="683" t="s">
        <v>404</v>
      </c>
      <c r="D45" s="684" t="s">
        <v>405</v>
      </c>
      <c r="E45" s="685">
        <v>4915.32</v>
      </c>
      <c r="F45" s="685">
        <v>4915</v>
      </c>
      <c r="G45" s="686">
        <f>((F45/E45)*100)-100</f>
        <v>-6.510257724826829E-3</v>
      </c>
    </row>
    <row r="46" spans="2:7" x14ac:dyDescent="0.25">
      <c r="B46" s="706" t="s">
        <v>660</v>
      </c>
      <c r="C46" s="683" t="s">
        <v>103</v>
      </c>
      <c r="D46" s="684" t="s">
        <v>104</v>
      </c>
      <c r="E46" s="685">
        <v>10972</v>
      </c>
      <c r="F46" s="685">
        <v>10972</v>
      </c>
      <c r="G46" s="687">
        <f t="shared" ref="G46:G53" si="2">((E46/F46)*100)-100</f>
        <v>0</v>
      </c>
    </row>
    <row r="47" spans="2:7" x14ac:dyDescent="0.25">
      <c r="B47" s="706" t="s">
        <v>668</v>
      </c>
      <c r="C47" s="683" t="s">
        <v>243</v>
      </c>
      <c r="D47" s="684" t="s">
        <v>244</v>
      </c>
      <c r="E47" s="685">
        <v>50633</v>
      </c>
      <c r="F47" s="685">
        <v>50633</v>
      </c>
      <c r="G47" s="687">
        <f t="shared" si="2"/>
        <v>0</v>
      </c>
    </row>
    <row r="48" spans="2:7" x14ac:dyDescent="0.25">
      <c r="B48" s="706" t="s">
        <v>672</v>
      </c>
      <c r="C48" s="683" t="s">
        <v>119</v>
      </c>
      <c r="D48" s="684" t="s">
        <v>120</v>
      </c>
      <c r="E48" s="685">
        <v>153185</v>
      </c>
      <c r="F48" s="685">
        <v>153185</v>
      </c>
      <c r="G48" s="687">
        <f t="shared" si="2"/>
        <v>0</v>
      </c>
    </row>
    <row r="49" spans="2:7" x14ac:dyDescent="0.25">
      <c r="B49" s="706" t="s">
        <v>662</v>
      </c>
      <c r="C49" s="683" t="s">
        <v>525</v>
      </c>
      <c r="D49" s="684" t="s">
        <v>524</v>
      </c>
      <c r="E49" s="685">
        <v>34163</v>
      </c>
      <c r="F49" s="685">
        <v>34163</v>
      </c>
      <c r="G49" s="687">
        <f t="shared" si="2"/>
        <v>0</v>
      </c>
    </row>
    <row r="50" spans="2:7" x14ac:dyDescent="0.25">
      <c r="B50" s="706" t="s">
        <v>661</v>
      </c>
      <c r="C50" s="683" t="s">
        <v>29</v>
      </c>
      <c r="D50" s="684" t="s">
        <v>30</v>
      </c>
      <c r="E50" s="685">
        <v>2500</v>
      </c>
      <c r="F50" s="685">
        <v>2500</v>
      </c>
      <c r="G50" s="687">
        <f t="shared" si="2"/>
        <v>0</v>
      </c>
    </row>
    <row r="51" spans="2:7" x14ac:dyDescent="0.25">
      <c r="B51" s="706" t="s">
        <v>666</v>
      </c>
      <c r="C51" s="683" t="s">
        <v>78</v>
      </c>
      <c r="D51" s="684" t="s">
        <v>79</v>
      </c>
      <c r="E51" s="685">
        <v>62980</v>
      </c>
      <c r="F51" s="685">
        <v>62980</v>
      </c>
      <c r="G51" s="687">
        <f t="shared" si="2"/>
        <v>0</v>
      </c>
    </row>
    <row r="52" spans="2:7" x14ac:dyDescent="0.25">
      <c r="B52" s="706" t="s">
        <v>669</v>
      </c>
      <c r="C52" s="683" t="s">
        <v>130</v>
      </c>
      <c r="D52" s="684" t="s">
        <v>131</v>
      </c>
      <c r="E52" s="685">
        <v>4000</v>
      </c>
      <c r="F52" s="685">
        <v>4000</v>
      </c>
      <c r="G52" s="687">
        <f t="shared" si="2"/>
        <v>0</v>
      </c>
    </row>
    <row r="53" spans="2:7" x14ac:dyDescent="0.25">
      <c r="B53" s="706" t="s">
        <v>669</v>
      </c>
      <c r="C53" s="683" t="s">
        <v>145</v>
      </c>
      <c r="D53" s="684" t="s">
        <v>146</v>
      </c>
      <c r="E53" s="685">
        <v>12000</v>
      </c>
      <c r="F53" s="685">
        <v>12000</v>
      </c>
      <c r="G53" s="687">
        <f t="shared" si="2"/>
        <v>0</v>
      </c>
    </row>
    <row r="54" spans="2:7" x14ac:dyDescent="0.25">
      <c r="B54" s="706" t="s">
        <v>669</v>
      </c>
      <c r="C54" s="683" t="s">
        <v>133</v>
      </c>
      <c r="D54" s="684" t="s">
        <v>646</v>
      </c>
      <c r="E54" s="685">
        <v>7022.73</v>
      </c>
      <c r="F54" s="685">
        <v>7029</v>
      </c>
      <c r="G54" s="688">
        <f>((F54/E54)*100)-100</f>
        <v>8.9281518725627507E-2</v>
      </c>
    </row>
    <row r="55" spans="2:7" x14ac:dyDescent="0.25">
      <c r="B55" s="706" t="s">
        <v>670</v>
      </c>
      <c r="C55" s="683" t="s">
        <v>498</v>
      </c>
      <c r="D55" s="684" t="s">
        <v>499</v>
      </c>
      <c r="E55" s="685">
        <v>3160</v>
      </c>
      <c r="F55" s="685">
        <v>3160</v>
      </c>
      <c r="G55" s="687">
        <f>((E55/F55)*100)-100</f>
        <v>0</v>
      </c>
    </row>
    <row r="56" spans="2:7" x14ac:dyDescent="0.25">
      <c r="B56" s="706" t="s">
        <v>654</v>
      </c>
      <c r="C56" s="683" t="s">
        <v>88</v>
      </c>
      <c r="D56" s="684" t="s">
        <v>89</v>
      </c>
      <c r="E56" s="685">
        <v>42232.959999999999</v>
      </c>
      <c r="F56" s="685">
        <v>40689</v>
      </c>
      <c r="G56" s="686">
        <f>((F56/E56)*100)-100</f>
        <v>-3.6558176362727011</v>
      </c>
    </row>
    <row r="57" spans="2:7" x14ac:dyDescent="0.25">
      <c r="B57" s="706" t="s">
        <v>654</v>
      </c>
      <c r="C57" s="683" t="s">
        <v>107</v>
      </c>
      <c r="D57" s="684" t="s">
        <v>108</v>
      </c>
      <c r="E57" s="685">
        <v>65000</v>
      </c>
      <c r="F57" s="685">
        <v>65000</v>
      </c>
      <c r="G57" s="687">
        <f>((E57/F57)*100)-100</f>
        <v>0</v>
      </c>
    </row>
    <row r="58" spans="2:7" x14ac:dyDescent="0.25">
      <c r="B58" s="706" t="s">
        <v>654</v>
      </c>
      <c r="C58" s="683" t="s">
        <v>149</v>
      </c>
      <c r="D58" s="684" t="s">
        <v>416</v>
      </c>
      <c r="E58" s="685">
        <v>41100</v>
      </c>
      <c r="F58" s="685">
        <v>41100</v>
      </c>
      <c r="G58" s="687">
        <f>((E58/F58)*100)-100</f>
        <v>0</v>
      </c>
    </row>
    <row r="59" spans="2:7" x14ac:dyDescent="0.25">
      <c r="B59" s="706" t="s">
        <v>653</v>
      </c>
      <c r="C59" s="683" t="s">
        <v>27</v>
      </c>
      <c r="D59" s="684" t="s">
        <v>28</v>
      </c>
      <c r="E59" s="685">
        <v>17733</v>
      </c>
      <c r="F59" s="685">
        <v>16795</v>
      </c>
      <c r="G59" s="686">
        <f>((F59/E59)*100)-100</f>
        <v>-5.2895731122765426</v>
      </c>
    </row>
    <row r="60" spans="2:7" x14ac:dyDescent="0.25">
      <c r="B60" s="706" t="s">
        <v>653</v>
      </c>
      <c r="C60" s="683" t="s">
        <v>80</v>
      </c>
      <c r="D60" s="684" t="s">
        <v>81</v>
      </c>
      <c r="E60" s="685">
        <v>21400</v>
      </c>
      <c r="F60" s="685">
        <v>21400</v>
      </c>
      <c r="G60" s="687">
        <f>((E60/F60)*100)-100</f>
        <v>0</v>
      </c>
    </row>
    <row r="61" spans="2:7" x14ac:dyDescent="0.25">
      <c r="B61" s="706" t="s">
        <v>657</v>
      </c>
      <c r="C61" s="683" t="s">
        <v>141</v>
      </c>
      <c r="D61" s="684" t="s">
        <v>142</v>
      </c>
      <c r="E61" s="685">
        <v>6345</v>
      </c>
      <c r="F61" s="685">
        <v>6260</v>
      </c>
      <c r="G61" s="686">
        <f>((F61/E61)*100)-100</f>
        <v>-1.3396375098502773</v>
      </c>
    </row>
    <row r="62" spans="2:7" x14ac:dyDescent="0.25">
      <c r="B62" s="706" t="s">
        <v>657</v>
      </c>
      <c r="C62" s="683" t="s">
        <v>8</v>
      </c>
      <c r="D62" s="684" t="s">
        <v>449</v>
      </c>
      <c r="E62" s="685">
        <v>1500</v>
      </c>
      <c r="F62" s="685">
        <v>1500</v>
      </c>
      <c r="G62" s="687">
        <f>((E62/F62)*100)-100</f>
        <v>0</v>
      </c>
    </row>
    <row r="63" spans="2:7" x14ac:dyDescent="0.25">
      <c r="B63" s="706" t="s">
        <v>657</v>
      </c>
      <c r="C63" s="683"/>
      <c r="D63" s="684" t="s">
        <v>247</v>
      </c>
      <c r="E63" s="685">
        <v>1778</v>
      </c>
      <c r="F63" s="685">
        <v>1778</v>
      </c>
      <c r="G63" s="687">
        <f>((E63/F63)*100)-100</f>
        <v>0</v>
      </c>
    </row>
    <row r="64" spans="2:7" x14ac:dyDescent="0.25">
      <c r="B64" s="706" t="s">
        <v>657</v>
      </c>
      <c r="C64" s="683" t="s">
        <v>116</v>
      </c>
      <c r="D64" s="684" t="s">
        <v>117</v>
      </c>
      <c r="E64" s="685">
        <v>1600</v>
      </c>
      <c r="F64" s="685">
        <v>1600</v>
      </c>
      <c r="G64" s="687">
        <f>((E64/F64)*100)-100</f>
        <v>0</v>
      </c>
    </row>
    <row r="65" spans="2:7" x14ac:dyDescent="0.25">
      <c r="B65" s="706" t="s">
        <v>649</v>
      </c>
      <c r="C65" s="683" t="s">
        <v>23</v>
      </c>
      <c r="D65" s="684" t="s">
        <v>24</v>
      </c>
      <c r="E65" s="685">
        <v>22615.13</v>
      </c>
      <c r="F65" s="685">
        <v>19616</v>
      </c>
      <c r="G65" s="686">
        <f>((F65/E65)*100)-100</f>
        <v>-13.261608489537764</v>
      </c>
    </row>
    <row r="66" spans="2:7" x14ac:dyDescent="0.25">
      <c r="B66" s="706" t="s">
        <v>649</v>
      </c>
      <c r="C66" s="683" t="s">
        <v>13</v>
      </c>
      <c r="D66" s="684" t="s">
        <v>14</v>
      </c>
      <c r="E66" s="685">
        <v>34415.230000000003</v>
      </c>
      <c r="F66" s="685">
        <v>33158</v>
      </c>
      <c r="G66" s="686">
        <f>((F66/E66)*100)-100</f>
        <v>-3.6531210164802133</v>
      </c>
    </row>
    <row r="67" spans="2:7" x14ac:dyDescent="0.25">
      <c r="B67" s="706" t="s">
        <v>649</v>
      </c>
      <c r="C67" s="683" t="s">
        <v>15</v>
      </c>
      <c r="D67" s="684" t="s">
        <v>16</v>
      </c>
      <c r="E67" s="685">
        <v>29262</v>
      </c>
      <c r="F67" s="685">
        <v>28967</v>
      </c>
      <c r="G67" s="686">
        <f>((F67/E67)*100)-100</f>
        <v>-1.0081334153509687</v>
      </c>
    </row>
    <row r="68" spans="2:7" x14ac:dyDescent="0.25">
      <c r="B68" s="706" t="s">
        <v>650</v>
      </c>
      <c r="C68" s="683" t="s">
        <v>359</v>
      </c>
      <c r="D68" s="684" t="s">
        <v>360</v>
      </c>
      <c r="E68" s="685">
        <v>16779.61</v>
      </c>
      <c r="F68" s="685">
        <v>15214</v>
      </c>
      <c r="G68" s="686">
        <f>((F68/E68)*100)-100</f>
        <v>-9.3304313985843663</v>
      </c>
    </row>
    <row r="69" spans="2:7" x14ac:dyDescent="0.25">
      <c r="B69" s="706" t="s">
        <v>650</v>
      </c>
      <c r="C69" s="683" t="s">
        <v>215</v>
      </c>
      <c r="D69" s="684" t="s">
        <v>216</v>
      </c>
      <c r="E69" s="685">
        <v>16768.689999999999</v>
      </c>
      <c r="F69" s="685">
        <v>16680</v>
      </c>
      <c r="G69" s="686">
        <f>((F69/E69)*100)-100</f>
        <v>-0.5289023769894925</v>
      </c>
    </row>
    <row r="70" spans="2:7" x14ac:dyDescent="0.25">
      <c r="B70" s="706" t="s">
        <v>650</v>
      </c>
      <c r="C70" s="683" t="s">
        <v>529</v>
      </c>
      <c r="D70" s="684" t="s">
        <v>530</v>
      </c>
      <c r="E70" s="685">
        <v>14450</v>
      </c>
      <c r="F70" s="685">
        <v>14450</v>
      </c>
      <c r="G70" s="687">
        <f>((E70/F70)*100)-100</f>
        <v>0</v>
      </c>
    </row>
    <row r="71" spans="2:7" x14ac:dyDescent="0.25">
      <c r="B71" s="706" t="s">
        <v>671</v>
      </c>
      <c r="C71" s="683" t="s">
        <v>21</v>
      </c>
      <c r="D71" s="684" t="s">
        <v>22</v>
      </c>
      <c r="E71" s="685">
        <v>10412</v>
      </c>
      <c r="F71" s="685">
        <v>10412</v>
      </c>
      <c r="G71" s="687">
        <f>((E71/F71)*100)-100</f>
        <v>0</v>
      </c>
    </row>
    <row r="72" spans="2:7" x14ac:dyDescent="0.25">
      <c r="B72" s="706" t="s">
        <v>671</v>
      </c>
      <c r="C72" s="683" t="s">
        <v>455</v>
      </c>
      <c r="D72" s="684" t="s">
        <v>456</v>
      </c>
      <c r="E72" s="685">
        <v>5990</v>
      </c>
      <c r="F72" s="685">
        <v>5990</v>
      </c>
      <c r="G72" s="687">
        <f>((E72/F72)*100)-100</f>
        <v>0</v>
      </c>
    </row>
    <row r="73" spans="2:7" x14ac:dyDescent="0.25">
      <c r="B73" s="706" t="s">
        <v>671</v>
      </c>
      <c r="C73" s="683" t="s">
        <v>17</v>
      </c>
      <c r="D73" s="684" t="s">
        <v>18</v>
      </c>
      <c r="E73" s="685">
        <v>878</v>
      </c>
      <c r="F73" s="685">
        <v>878</v>
      </c>
      <c r="G73" s="687">
        <f>((E73/F73)*100)-100</f>
        <v>0</v>
      </c>
    </row>
    <row r="74" spans="2:7" s="680" customFormat="1" x14ac:dyDescent="0.25">
      <c r="D74" s="681"/>
      <c r="E74" s="682"/>
      <c r="F74" s="682"/>
      <c r="G74" s="682"/>
    </row>
  </sheetData>
  <autoFilter ref="B4:G73" xr:uid="{6A3BE56B-63DB-4DB7-BC3C-8F832F53F3AA}">
    <sortState xmlns:xlrd2="http://schemas.microsoft.com/office/spreadsheetml/2017/richdata2" ref="B5:G73">
      <sortCondition ref="B4"/>
    </sortState>
  </autoFilter>
  <mergeCells count="1">
    <mergeCell ref="B2:G2"/>
  </mergeCells>
  <pageMargins left="0.7" right="0.7" top="0.75" bottom="0.75" header="0.3" footer="0.3"/>
  <ignoredErrors>
    <ignoredError sqref="G27 G31 G7:G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B875-A9AE-4326-A45F-19F6F4813956}">
  <sheetPr codeName="Hoja10"/>
  <dimension ref="A1:J72"/>
  <sheetViews>
    <sheetView view="pageBreakPreview" topLeftCell="A3" zoomScale="70" zoomScaleNormal="100" zoomScaleSheetLayoutView="70" workbookViewId="0">
      <selection activeCell="I5" sqref="I5"/>
    </sheetView>
  </sheetViews>
  <sheetFormatPr baseColWidth="10" defaultColWidth="11.5703125" defaultRowHeight="16.5" x14ac:dyDescent="0.3"/>
  <cols>
    <col min="1" max="1" width="11.5703125" style="422"/>
    <col min="2" max="2" width="27.5703125" style="680" bestFit="1" customWidth="1"/>
    <col min="3" max="3" width="11.5703125" style="422"/>
    <col min="4" max="4" width="60.28515625" style="422" bestFit="1" customWidth="1"/>
    <col min="5" max="6" width="12.28515625" style="422" customWidth="1"/>
    <col min="7" max="7" width="12.28515625" style="423" customWidth="1"/>
    <col min="8" max="16384" width="11.5703125" style="422"/>
  </cols>
  <sheetData>
    <row r="1" spans="1:10" s="689" customFormat="1" x14ac:dyDescent="0.3">
      <c r="B1" s="680"/>
      <c r="G1" s="714"/>
    </row>
    <row r="2" spans="1:10" s="678" customFormat="1" ht="25.5" x14ac:dyDescent="0.25">
      <c r="A2" s="680"/>
      <c r="B2" s="1744" t="s">
        <v>648</v>
      </c>
      <c r="C2" s="1744"/>
      <c r="D2" s="1744"/>
      <c r="E2" s="1744"/>
      <c r="F2" s="1744"/>
      <c r="G2" s="1744"/>
      <c r="H2" s="89"/>
      <c r="I2" s="89"/>
      <c r="J2" s="89"/>
    </row>
    <row r="3" spans="1:10" s="689" customFormat="1" x14ac:dyDescent="0.3">
      <c r="B3" s="680"/>
      <c r="G3" s="714"/>
    </row>
    <row r="4" spans="1:10" s="180" customFormat="1" ht="42.75" x14ac:dyDescent="0.25">
      <c r="B4" s="707" t="s">
        <v>673</v>
      </c>
      <c r="C4" s="710" t="s">
        <v>0</v>
      </c>
      <c r="D4" s="710" t="s">
        <v>1</v>
      </c>
      <c r="E4" s="711" t="s">
        <v>629</v>
      </c>
      <c r="F4" s="712" t="s">
        <v>633</v>
      </c>
      <c r="G4" s="713" t="s">
        <v>3</v>
      </c>
      <c r="H4" s="690"/>
    </row>
    <row r="5" spans="1:10" s="527" customFormat="1" x14ac:dyDescent="0.3">
      <c r="B5" s="706" t="s">
        <v>683</v>
      </c>
      <c r="C5" s="694" t="s">
        <v>252</v>
      </c>
      <c r="D5" s="694" t="s">
        <v>253</v>
      </c>
      <c r="E5" s="677">
        <v>577</v>
      </c>
      <c r="F5" s="677">
        <v>577</v>
      </c>
      <c r="G5" s="715">
        <f t="shared" ref="G5:G36" si="0">((F5/E5)*100)-100</f>
        <v>0</v>
      </c>
      <c r="H5" s="691"/>
    </row>
    <row r="6" spans="1:10" s="527" customFormat="1" x14ac:dyDescent="0.3">
      <c r="B6" s="706" t="s">
        <v>683</v>
      </c>
      <c r="C6" s="694" t="s">
        <v>322</v>
      </c>
      <c r="D6" s="694" t="s">
        <v>323</v>
      </c>
      <c r="E6" s="677">
        <v>437</v>
      </c>
      <c r="F6" s="677">
        <v>437</v>
      </c>
      <c r="G6" s="715">
        <f t="shared" si="0"/>
        <v>0</v>
      </c>
      <c r="H6" s="691"/>
    </row>
    <row r="7" spans="1:10" s="527" customFormat="1" x14ac:dyDescent="0.3">
      <c r="B7" s="706" t="s">
        <v>684</v>
      </c>
      <c r="C7" s="694" t="s">
        <v>226</v>
      </c>
      <c r="D7" s="694" t="s">
        <v>227</v>
      </c>
      <c r="E7" s="677">
        <v>58</v>
      </c>
      <c r="F7" s="677">
        <v>58</v>
      </c>
      <c r="G7" s="715">
        <f t="shared" si="0"/>
        <v>0</v>
      </c>
    </row>
    <row r="8" spans="1:10" s="527" customFormat="1" x14ac:dyDescent="0.3">
      <c r="B8" s="706" t="s">
        <v>682</v>
      </c>
      <c r="C8" s="700" t="s">
        <v>274</v>
      </c>
      <c r="D8" s="700" t="s">
        <v>275</v>
      </c>
      <c r="E8" s="692">
        <v>28</v>
      </c>
      <c r="F8" s="692">
        <v>27</v>
      </c>
      <c r="G8" s="716">
        <f t="shared" si="0"/>
        <v>-3.5714285714285694</v>
      </c>
      <c r="H8" s="693"/>
    </row>
    <row r="9" spans="1:10" s="527" customFormat="1" x14ac:dyDescent="0.3">
      <c r="B9" s="706" t="s">
        <v>682</v>
      </c>
      <c r="C9" s="700" t="s">
        <v>200</v>
      </c>
      <c r="D9" s="700" t="s">
        <v>201</v>
      </c>
      <c r="E9" s="692">
        <v>28</v>
      </c>
      <c r="F9" s="692">
        <v>52</v>
      </c>
      <c r="G9" s="717">
        <f t="shared" si="0"/>
        <v>85.714285714285722</v>
      </c>
    </row>
    <row r="10" spans="1:10" s="42" customFormat="1" x14ac:dyDescent="0.3">
      <c r="B10" s="706" t="s">
        <v>688</v>
      </c>
      <c r="C10" s="694" t="s">
        <v>265</v>
      </c>
      <c r="D10" s="694" t="s">
        <v>266</v>
      </c>
      <c r="E10" s="677">
        <v>115</v>
      </c>
      <c r="F10" s="677">
        <v>115</v>
      </c>
      <c r="G10" s="715">
        <f t="shared" si="0"/>
        <v>0</v>
      </c>
      <c r="H10" s="345"/>
      <c r="I10" s="488"/>
    </row>
    <row r="11" spans="1:10" s="42" customFormat="1" x14ac:dyDescent="0.3">
      <c r="B11" s="706" t="s">
        <v>686</v>
      </c>
      <c r="C11" s="694" t="s">
        <v>224</v>
      </c>
      <c r="D11" s="694" t="s">
        <v>225</v>
      </c>
      <c r="E11" s="677">
        <v>1022</v>
      </c>
      <c r="F11" s="677">
        <v>1022</v>
      </c>
      <c r="G11" s="715">
        <f t="shared" si="0"/>
        <v>0</v>
      </c>
    </row>
    <row r="12" spans="1:10" s="42" customFormat="1" x14ac:dyDescent="0.3">
      <c r="B12" s="706" t="s">
        <v>686</v>
      </c>
      <c r="C12" s="700" t="s">
        <v>344</v>
      </c>
      <c r="D12" s="700" t="s">
        <v>345</v>
      </c>
      <c r="E12" s="692">
        <v>1624</v>
      </c>
      <c r="F12" s="692">
        <v>1624</v>
      </c>
      <c r="G12" s="715">
        <f t="shared" si="0"/>
        <v>0</v>
      </c>
    </row>
    <row r="13" spans="1:10" s="42" customFormat="1" x14ac:dyDescent="0.3">
      <c r="B13" s="706" t="s">
        <v>686</v>
      </c>
      <c r="C13" s="702" t="s">
        <v>394</v>
      </c>
      <c r="D13" s="703" t="s">
        <v>395</v>
      </c>
      <c r="E13" s="692">
        <v>1624</v>
      </c>
      <c r="F13" s="692">
        <v>1624</v>
      </c>
      <c r="G13" s="715">
        <f t="shared" si="0"/>
        <v>0</v>
      </c>
    </row>
    <row r="14" spans="1:10" s="42" customFormat="1" x14ac:dyDescent="0.3">
      <c r="B14" s="706" t="s">
        <v>686</v>
      </c>
      <c r="C14" s="700" t="s">
        <v>352</v>
      </c>
      <c r="D14" s="700" t="s">
        <v>353</v>
      </c>
      <c r="E14" s="692">
        <v>1624</v>
      </c>
      <c r="F14" s="692">
        <v>1624</v>
      </c>
      <c r="G14" s="715">
        <f t="shared" si="0"/>
        <v>0</v>
      </c>
    </row>
    <row r="15" spans="1:10" s="42" customFormat="1" x14ac:dyDescent="0.3">
      <c r="B15" s="706" t="s">
        <v>686</v>
      </c>
      <c r="C15" s="700" t="s">
        <v>379</v>
      </c>
      <c r="D15" s="700" t="s">
        <v>380</v>
      </c>
      <c r="E15" s="692">
        <v>1727</v>
      </c>
      <c r="F15" s="692">
        <v>1727</v>
      </c>
      <c r="G15" s="715">
        <f t="shared" si="0"/>
        <v>0</v>
      </c>
    </row>
    <row r="16" spans="1:10" s="42" customFormat="1" x14ac:dyDescent="0.3">
      <c r="B16" s="706" t="s">
        <v>686</v>
      </c>
      <c r="C16" s="694" t="s">
        <v>386</v>
      </c>
      <c r="D16" s="694" t="s">
        <v>387</v>
      </c>
      <c r="E16" s="705">
        <v>1816</v>
      </c>
      <c r="F16" s="677">
        <v>1816</v>
      </c>
      <c r="G16" s="715">
        <f t="shared" si="0"/>
        <v>0</v>
      </c>
    </row>
    <row r="17" spans="2:9" s="42" customFormat="1" x14ac:dyDescent="0.3">
      <c r="B17" s="706" t="s">
        <v>674</v>
      </c>
      <c r="C17" s="694" t="s">
        <v>425</v>
      </c>
      <c r="D17" s="694" t="s">
        <v>426</v>
      </c>
      <c r="E17" s="677">
        <v>250</v>
      </c>
      <c r="F17" s="677">
        <v>114</v>
      </c>
      <c r="G17" s="716">
        <f t="shared" si="0"/>
        <v>-54.4</v>
      </c>
    </row>
    <row r="18" spans="2:9" s="42" customFormat="1" x14ac:dyDescent="0.3">
      <c r="B18" s="706" t="s">
        <v>674</v>
      </c>
      <c r="C18" s="694" t="s">
        <v>422</v>
      </c>
      <c r="D18" s="694" t="s">
        <v>423</v>
      </c>
      <c r="E18" s="677">
        <v>114</v>
      </c>
      <c r="F18" s="677">
        <v>114</v>
      </c>
      <c r="G18" s="715">
        <f t="shared" si="0"/>
        <v>0</v>
      </c>
    </row>
    <row r="19" spans="2:9" s="42" customFormat="1" x14ac:dyDescent="0.3">
      <c r="B19" s="706" t="s">
        <v>674</v>
      </c>
      <c r="C19" s="694" t="s">
        <v>316</v>
      </c>
      <c r="D19" s="694" t="s">
        <v>317</v>
      </c>
      <c r="E19" s="677">
        <v>103</v>
      </c>
      <c r="F19" s="677">
        <v>103</v>
      </c>
      <c r="G19" s="715">
        <f t="shared" si="0"/>
        <v>0</v>
      </c>
    </row>
    <row r="20" spans="2:9" s="42" customFormat="1" x14ac:dyDescent="0.3">
      <c r="B20" s="706" t="s">
        <v>674</v>
      </c>
      <c r="C20" s="701" t="s">
        <v>413</v>
      </c>
      <c r="D20" s="701" t="s">
        <v>409</v>
      </c>
      <c r="E20" s="692">
        <v>114</v>
      </c>
      <c r="F20" s="692">
        <v>114</v>
      </c>
      <c r="G20" s="715">
        <f t="shared" si="0"/>
        <v>0</v>
      </c>
      <c r="I20" s="191"/>
    </row>
    <row r="21" spans="2:9" s="42" customFormat="1" x14ac:dyDescent="0.3">
      <c r="B21" s="706" t="s">
        <v>674</v>
      </c>
      <c r="C21" s="694" t="s">
        <v>236</v>
      </c>
      <c r="D21" s="694" t="s">
        <v>237</v>
      </c>
      <c r="E21" s="677">
        <v>114</v>
      </c>
      <c r="F21" s="677">
        <v>114</v>
      </c>
      <c r="G21" s="715">
        <f t="shared" si="0"/>
        <v>0</v>
      </c>
      <c r="I21" s="191"/>
    </row>
    <row r="22" spans="2:9" s="42" customFormat="1" x14ac:dyDescent="0.3">
      <c r="B22" s="706" t="s">
        <v>674</v>
      </c>
      <c r="C22" s="694" t="s">
        <v>402</v>
      </c>
      <c r="D22" s="694" t="s">
        <v>401</v>
      </c>
      <c r="E22" s="677">
        <v>103</v>
      </c>
      <c r="F22" s="677">
        <v>103</v>
      </c>
      <c r="G22" s="715">
        <f t="shared" si="0"/>
        <v>0</v>
      </c>
    </row>
    <row r="23" spans="2:9" s="42" customFormat="1" x14ac:dyDescent="0.3">
      <c r="B23" s="706" t="s">
        <v>674</v>
      </c>
      <c r="C23" s="702" t="s">
        <v>325</v>
      </c>
      <c r="D23" s="703" t="s">
        <v>326</v>
      </c>
      <c r="E23" s="677">
        <v>65</v>
      </c>
      <c r="F23" s="677">
        <v>65</v>
      </c>
      <c r="G23" s="715">
        <f t="shared" si="0"/>
        <v>0</v>
      </c>
    </row>
    <row r="24" spans="2:9" s="42" customFormat="1" x14ac:dyDescent="0.3">
      <c r="B24" s="706" t="s">
        <v>674</v>
      </c>
      <c r="C24" s="700" t="s">
        <v>311</v>
      </c>
      <c r="D24" s="700" t="s">
        <v>312</v>
      </c>
      <c r="E24" s="692">
        <v>114</v>
      </c>
      <c r="F24" s="692">
        <v>114</v>
      </c>
      <c r="G24" s="715">
        <f t="shared" si="0"/>
        <v>0</v>
      </c>
    </row>
    <row r="25" spans="2:9" s="42" customFormat="1" x14ac:dyDescent="0.3">
      <c r="B25" s="706" t="s">
        <v>677</v>
      </c>
      <c r="C25" s="700" t="s">
        <v>198</v>
      </c>
      <c r="D25" s="700" t="s">
        <v>199</v>
      </c>
      <c r="E25" s="692">
        <v>4688.88</v>
      </c>
      <c r="F25" s="692">
        <v>4053</v>
      </c>
      <c r="G25" s="716">
        <f t="shared" si="0"/>
        <v>-13.561447509853096</v>
      </c>
    </row>
    <row r="26" spans="2:9" s="42" customFormat="1" x14ac:dyDescent="0.3">
      <c r="B26" s="706" t="s">
        <v>677</v>
      </c>
      <c r="C26" s="700" t="s">
        <v>520</v>
      </c>
      <c r="D26" s="700" t="s">
        <v>559</v>
      </c>
      <c r="E26" s="692">
        <v>4271.1400000000003</v>
      </c>
      <c r="F26" s="704">
        <v>3800</v>
      </c>
      <c r="G26" s="716">
        <f t="shared" si="0"/>
        <v>-11.030778667990276</v>
      </c>
    </row>
    <row r="27" spans="2:9" s="42" customFormat="1" x14ac:dyDescent="0.3">
      <c r="B27" s="706" t="s">
        <v>677</v>
      </c>
      <c r="C27" s="694" t="s">
        <v>435</v>
      </c>
      <c r="D27" s="694" t="s">
        <v>436</v>
      </c>
      <c r="E27" s="677">
        <v>2381</v>
      </c>
      <c r="F27" s="677">
        <v>2510</v>
      </c>
      <c r="G27" s="717">
        <f t="shared" si="0"/>
        <v>5.4178916421671488</v>
      </c>
    </row>
    <row r="28" spans="2:9" s="42" customFormat="1" x14ac:dyDescent="0.3">
      <c r="B28" s="706" t="s">
        <v>679</v>
      </c>
      <c r="C28" s="700" t="s">
        <v>350</v>
      </c>
      <c r="D28" s="700" t="s">
        <v>351</v>
      </c>
      <c r="E28" s="692">
        <v>556.86</v>
      </c>
      <c r="F28" s="692">
        <v>522</v>
      </c>
      <c r="G28" s="716">
        <f t="shared" si="0"/>
        <v>-6.2601012821894244</v>
      </c>
    </row>
    <row r="29" spans="2:9" s="42" customFormat="1" x14ac:dyDescent="0.3">
      <c r="B29" s="706" t="s">
        <v>680</v>
      </c>
      <c r="C29" s="700" t="s">
        <v>168</v>
      </c>
      <c r="D29" s="700" t="s">
        <v>169</v>
      </c>
      <c r="E29" s="692">
        <v>204</v>
      </c>
      <c r="F29" s="692">
        <v>192</v>
      </c>
      <c r="G29" s="716">
        <f t="shared" si="0"/>
        <v>-5.8823529411764781</v>
      </c>
    </row>
    <row r="30" spans="2:9" s="42" customFormat="1" x14ac:dyDescent="0.3">
      <c r="B30" s="706" t="s">
        <v>680</v>
      </c>
      <c r="C30" s="700" t="s">
        <v>234</v>
      </c>
      <c r="D30" s="700" t="s">
        <v>235</v>
      </c>
      <c r="E30" s="692">
        <v>252.42</v>
      </c>
      <c r="F30" s="692">
        <v>243</v>
      </c>
      <c r="G30" s="716">
        <f t="shared" si="0"/>
        <v>-3.731875445685759</v>
      </c>
    </row>
    <row r="31" spans="2:9" s="42" customFormat="1" x14ac:dyDescent="0.3">
      <c r="B31" s="706" t="s">
        <v>680</v>
      </c>
      <c r="C31" s="694" t="s">
        <v>370</v>
      </c>
      <c r="D31" s="694" t="s">
        <v>369</v>
      </c>
      <c r="E31" s="705">
        <v>186</v>
      </c>
      <c r="F31" s="677">
        <v>186</v>
      </c>
      <c r="G31" s="715">
        <f t="shared" si="0"/>
        <v>0</v>
      </c>
    </row>
    <row r="32" spans="2:9" s="42" customFormat="1" x14ac:dyDescent="0.3">
      <c r="B32" s="706" t="s">
        <v>680</v>
      </c>
      <c r="C32" s="700" t="s">
        <v>125</v>
      </c>
      <c r="D32" s="700" t="s">
        <v>175</v>
      </c>
      <c r="E32" s="692">
        <v>208.17</v>
      </c>
      <c r="F32" s="692">
        <v>222</v>
      </c>
      <c r="G32" s="717">
        <f t="shared" si="0"/>
        <v>6.6436085891338905</v>
      </c>
      <c r="H32" s="191"/>
    </row>
    <row r="33" spans="2:9" s="42" customFormat="1" x14ac:dyDescent="0.3">
      <c r="B33" s="706" t="s">
        <v>678</v>
      </c>
      <c r="C33" s="694" t="s">
        <v>187</v>
      </c>
      <c r="D33" s="694" t="s">
        <v>188</v>
      </c>
      <c r="E33" s="677">
        <v>624.61</v>
      </c>
      <c r="F33" s="677">
        <v>598</v>
      </c>
      <c r="G33" s="716">
        <f t="shared" si="0"/>
        <v>-4.2602584012423819</v>
      </c>
      <c r="H33" s="191"/>
    </row>
    <row r="34" spans="2:9" s="42" customFormat="1" x14ac:dyDescent="0.3">
      <c r="B34" s="706" t="s">
        <v>678</v>
      </c>
      <c r="C34" s="694" t="s">
        <v>420</v>
      </c>
      <c r="D34" s="694" t="s">
        <v>421</v>
      </c>
      <c r="E34" s="677">
        <v>613.08000000000004</v>
      </c>
      <c r="F34" s="677">
        <v>574</v>
      </c>
      <c r="G34" s="716">
        <f t="shared" si="0"/>
        <v>-6.3743720232269965</v>
      </c>
      <c r="H34" s="191"/>
    </row>
    <row r="35" spans="2:9" s="42" customFormat="1" x14ac:dyDescent="0.3">
      <c r="B35" s="706" t="s">
        <v>675</v>
      </c>
      <c r="C35" s="694" t="s">
        <v>250</v>
      </c>
      <c r="D35" s="694" t="s">
        <v>251</v>
      </c>
      <c r="E35" s="677">
        <v>1299.33</v>
      </c>
      <c r="F35" s="677">
        <v>795</v>
      </c>
      <c r="G35" s="716">
        <f t="shared" si="0"/>
        <v>-38.814619842534228</v>
      </c>
      <c r="H35" s="191"/>
    </row>
    <row r="36" spans="2:9" s="527" customFormat="1" x14ac:dyDescent="0.3">
      <c r="B36" s="706" t="s">
        <v>675</v>
      </c>
      <c r="C36" s="700" t="s">
        <v>165</v>
      </c>
      <c r="D36" s="700" t="s">
        <v>164</v>
      </c>
      <c r="E36" s="692">
        <v>629</v>
      </c>
      <c r="F36" s="692">
        <v>589</v>
      </c>
      <c r="G36" s="716">
        <f t="shared" si="0"/>
        <v>-6.3593004769475385</v>
      </c>
      <c r="H36" s="693"/>
    </row>
    <row r="37" spans="2:9" s="527" customFormat="1" x14ac:dyDescent="0.3">
      <c r="B37" s="706" t="s">
        <v>675</v>
      </c>
      <c r="C37" s="694" t="s">
        <v>263</v>
      </c>
      <c r="D37" s="694" t="s">
        <v>264</v>
      </c>
      <c r="E37" s="677">
        <v>264.82</v>
      </c>
      <c r="F37" s="677">
        <v>255</v>
      </c>
      <c r="G37" s="716">
        <f t="shared" ref="G37:G68" si="1">((F37/E37)*100)-100</f>
        <v>-3.708179140548296</v>
      </c>
      <c r="H37" s="693"/>
    </row>
    <row r="38" spans="2:9" s="42" customFormat="1" x14ac:dyDescent="0.3">
      <c r="B38" s="706" t="s">
        <v>675</v>
      </c>
      <c r="C38" s="700" t="s">
        <v>269</v>
      </c>
      <c r="D38" s="700" t="s">
        <v>270</v>
      </c>
      <c r="E38" s="692">
        <v>603.26</v>
      </c>
      <c r="F38" s="692">
        <v>581</v>
      </c>
      <c r="G38" s="716">
        <f t="shared" si="1"/>
        <v>-3.6899512647946153</v>
      </c>
    </row>
    <row r="39" spans="2:9" s="42" customFormat="1" x14ac:dyDescent="0.3">
      <c r="B39" s="706" t="s">
        <v>675</v>
      </c>
      <c r="C39" s="700" t="s">
        <v>330</v>
      </c>
      <c r="D39" s="700" t="s">
        <v>331</v>
      </c>
      <c r="E39" s="692">
        <v>629.04</v>
      </c>
      <c r="F39" s="692">
        <v>606</v>
      </c>
      <c r="G39" s="716">
        <f t="shared" si="1"/>
        <v>-3.6627241510873745</v>
      </c>
    </row>
    <row r="40" spans="2:9" s="527" customFormat="1" x14ac:dyDescent="0.3">
      <c r="B40" s="706" t="s">
        <v>675</v>
      </c>
      <c r="C40" s="700" t="s">
        <v>157</v>
      </c>
      <c r="D40" s="700" t="s">
        <v>158</v>
      </c>
      <c r="E40" s="692">
        <v>629</v>
      </c>
      <c r="F40" s="692">
        <v>606</v>
      </c>
      <c r="G40" s="716">
        <f t="shared" si="1"/>
        <v>-3.6565977742448297</v>
      </c>
      <c r="I40" s="695"/>
    </row>
    <row r="41" spans="2:9" s="527" customFormat="1" x14ac:dyDescent="0.3">
      <c r="B41" s="706" t="s">
        <v>675</v>
      </c>
      <c r="C41" s="700" t="s">
        <v>411</v>
      </c>
      <c r="D41" s="700" t="s">
        <v>412</v>
      </c>
      <c r="E41" s="692">
        <v>491.73</v>
      </c>
      <c r="F41" s="692">
        <v>474</v>
      </c>
      <c r="G41" s="716">
        <f t="shared" si="1"/>
        <v>-3.6056372399487486</v>
      </c>
      <c r="I41" s="695"/>
    </row>
    <row r="42" spans="2:9" s="527" customFormat="1" x14ac:dyDescent="0.3">
      <c r="B42" s="706" t="s">
        <v>675</v>
      </c>
      <c r="C42" s="700" t="s">
        <v>153</v>
      </c>
      <c r="D42" s="700" t="s">
        <v>154</v>
      </c>
      <c r="E42" s="692">
        <v>711.54</v>
      </c>
      <c r="F42" s="692">
        <v>686</v>
      </c>
      <c r="G42" s="716">
        <f t="shared" si="1"/>
        <v>-3.5893976445456275</v>
      </c>
      <c r="I42" s="695"/>
    </row>
    <row r="43" spans="2:9" s="527" customFormat="1" x14ac:dyDescent="0.3">
      <c r="B43" s="706" t="s">
        <v>675</v>
      </c>
      <c r="C43" s="700" t="s">
        <v>341</v>
      </c>
      <c r="D43" s="700" t="s">
        <v>340</v>
      </c>
      <c r="E43" s="692">
        <v>531</v>
      </c>
      <c r="F43" s="692">
        <v>512</v>
      </c>
      <c r="G43" s="716">
        <f t="shared" si="1"/>
        <v>-3.5781544256120554</v>
      </c>
    </row>
    <row r="44" spans="2:9" s="527" customFormat="1" x14ac:dyDescent="0.3">
      <c r="B44" s="706" t="s">
        <v>675</v>
      </c>
      <c r="C44" s="694" t="s">
        <v>70</v>
      </c>
      <c r="D44" s="694" t="s">
        <v>71</v>
      </c>
      <c r="E44" s="677">
        <v>28</v>
      </c>
      <c r="F44" s="677">
        <v>27</v>
      </c>
      <c r="G44" s="716">
        <f t="shared" si="1"/>
        <v>-3.5714285714285694</v>
      </c>
    </row>
    <row r="45" spans="2:9" s="42" customFormat="1" x14ac:dyDescent="0.3">
      <c r="B45" s="706" t="s">
        <v>675</v>
      </c>
      <c r="C45" s="700" t="s">
        <v>346</v>
      </c>
      <c r="D45" s="700" t="s">
        <v>347</v>
      </c>
      <c r="E45" s="692">
        <v>515.6</v>
      </c>
      <c r="F45" s="692">
        <v>505</v>
      </c>
      <c r="G45" s="716">
        <f t="shared" si="1"/>
        <v>-2.0558572536850335</v>
      </c>
    </row>
    <row r="46" spans="2:9" s="42" customFormat="1" x14ac:dyDescent="0.3">
      <c r="B46" s="706" t="s">
        <v>675</v>
      </c>
      <c r="C46" s="694" t="s">
        <v>276</v>
      </c>
      <c r="D46" s="694" t="s">
        <v>277</v>
      </c>
      <c r="E46" s="677">
        <v>581</v>
      </c>
      <c r="F46" s="677">
        <v>581</v>
      </c>
      <c r="G46" s="715">
        <f t="shared" si="1"/>
        <v>0</v>
      </c>
      <c r="I46" s="696"/>
    </row>
    <row r="47" spans="2:9" s="42" customFormat="1" x14ac:dyDescent="0.3">
      <c r="B47" s="706" t="s">
        <v>685</v>
      </c>
      <c r="C47" s="694" t="s">
        <v>222</v>
      </c>
      <c r="D47" s="694" t="s">
        <v>223</v>
      </c>
      <c r="E47" s="677">
        <v>19</v>
      </c>
      <c r="F47" s="677">
        <v>19</v>
      </c>
      <c r="G47" s="715">
        <f t="shared" si="1"/>
        <v>0</v>
      </c>
      <c r="I47" s="696" t="s">
        <v>85</v>
      </c>
    </row>
    <row r="48" spans="2:9" s="42" customFormat="1" x14ac:dyDescent="0.3">
      <c r="B48" s="706" t="s">
        <v>687</v>
      </c>
      <c r="C48" s="700" t="s">
        <v>160</v>
      </c>
      <c r="D48" s="700" t="s">
        <v>159</v>
      </c>
      <c r="E48" s="692">
        <v>45.66</v>
      </c>
      <c r="F48" s="692">
        <v>46</v>
      </c>
      <c r="G48" s="717">
        <f t="shared" si="1"/>
        <v>0.74463425317566134</v>
      </c>
      <c r="I48" s="696"/>
    </row>
    <row r="49" spans="2:9" s="527" customFormat="1" x14ac:dyDescent="0.3">
      <c r="B49" s="706" t="s">
        <v>681</v>
      </c>
      <c r="C49" s="700" t="s">
        <v>51</v>
      </c>
      <c r="D49" s="700" t="s">
        <v>52</v>
      </c>
      <c r="E49" s="692">
        <v>1700.46</v>
      </c>
      <c r="F49" s="704">
        <v>1464</v>
      </c>
      <c r="G49" s="716">
        <f t="shared" si="1"/>
        <v>-13.905649059666217</v>
      </c>
    </row>
    <row r="50" spans="2:9" s="527" customFormat="1" x14ac:dyDescent="0.3">
      <c r="B50" s="706" t="s">
        <v>681</v>
      </c>
      <c r="C50" s="700" t="s">
        <v>205</v>
      </c>
      <c r="D50" s="700" t="s">
        <v>204</v>
      </c>
      <c r="E50" s="692">
        <v>2478</v>
      </c>
      <c r="F50" s="692">
        <v>2388</v>
      </c>
      <c r="G50" s="716">
        <f t="shared" si="1"/>
        <v>-3.6319612590799011</v>
      </c>
    </row>
    <row r="51" spans="2:9" s="527" customFormat="1" x14ac:dyDescent="0.3">
      <c r="B51" s="706" t="s">
        <v>681</v>
      </c>
      <c r="C51" s="694" t="s">
        <v>128</v>
      </c>
      <c r="D51" s="694" t="s">
        <v>129</v>
      </c>
      <c r="E51" s="677">
        <v>1399.05</v>
      </c>
      <c r="F51" s="677">
        <v>1350</v>
      </c>
      <c r="G51" s="716">
        <f t="shared" si="1"/>
        <v>-3.5059504663879011</v>
      </c>
    </row>
    <row r="52" spans="2:9" s="527" customFormat="1" x14ac:dyDescent="0.3">
      <c r="B52" s="706" t="s">
        <v>681</v>
      </c>
      <c r="C52" s="700" t="s">
        <v>172</v>
      </c>
      <c r="D52" s="700" t="s">
        <v>91</v>
      </c>
      <c r="E52" s="692">
        <v>2283</v>
      </c>
      <c r="F52" s="692">
        <v>2219</v>
      </c>
      <c r="G52" s="716">
        <f t="shared" si="1"/>
        <v>-2.8033289531318388</v>
      </c>
      <c r="H52" s="693"/>
    </row>
    <row r="53" spans="2:9" s="527" customFormat="1" x14ac:dyDescent="0.3">
      <c r="B53" s="706" t="s">
        <v>681</v>
      </c>
      <c r="C53" s="694" t="s">
        <v>384</v>
      </c>
      <c r="D53" s="694" t="s">
        <v>385</v>
      </c>
      <c r="E53" s="705">
        <v>2046</v>
      </c>
      <c r="F53" s="677">
        <v>2046</v>
      </c>
      <c r="G53" s="715">
        <f t="shared" si="1"/>
        <v>0</v>
      </c>
      <c r="H53" s="693"/>
    </row>
    <row r="54" spans="2:9" s="527" customFormat="1" x14ac:dyDescent="0.3">
      <c r="B54" s="706" t="s">
        <v>676</v>
      </c>
      <c r="C54" s="700" t="s">
        <v>356</v>
      </c>
      <c r="D54" s="700" t="s">
        <v>355</v>
      </c>
      <c r="E54" s="692">
        <v>1069</v>
      </c>
      <c r="F54" s="692">
        <v>908</v>
      </c>
      <c r="G54" s="716">
        <f t="shared" si="1"/>
        <v>-15.06080449017773</v>
      </c>
      <c r="H54" s="693"/>
      <c r="I54" s="697"/>
    </row>
    <row r="55" spans="2:9" s="527" customFormat="1" x14ac:dyDescent="0.3">
      <c r="B55" s="706" t="s">
        <v>676</v>
      </c>
      <c r="C55" s="694" t="s">
        <v>367</v>
      </c>
      <c r="D55" s="694" t="s">
        <v>368</v>
      </c>
      <c r="E55" s="677">
        <v>1015.75</v>
      </c>
      <c r="F55" s="677">
        <v>908</v>
      </c>
      <c r="G55" s="716">
        <f t="shared" si="1"/>
        <v>-10.607925178439586</v>
      </c>
      <c r="H55" s="693"/>
      <c r="I55" s="697"/>
    </row>
    <row r="56" spans="2:9" s="527" customFormat="1" x14ac:dyDescent="0.3">
      <c r="B56" s="706" t="s">
        <v>676</v>
      </c>
      <c r="C56" s="702" t="s">
        <v>392</v>
      </c>
      <c r="D56" s="703" t="s">
        <v>393</v>
      </c>
      <c r="E56" s="692">
        <v>1069</v>
      </c>
      <c r="F56" s="692">
        <v>1004</v>
      </c>
      <c r="G56" s="716">
        <f t="shared" si="1"/>
        <v>-6.080449017773617</v>
      </c>
    </row>
    <row r="57" spans="2:9" s="527" customFormat="1" x14ac:dyDescent="0.3">
      <c r="B57" s="706" t="s">
        <v>676</v>
      </c>
      <c r="C57" s="700" t="s">
        <v>208</v>
      </c>
      <c r="D57" s="700" t="s">
        <v>209</v>
      </c>
      <c r="E57" s="692">
        <v>1535</v>
      </c>
      <c r="F57" s="692">
        <v>1535</v>
      </c>
      <c r="G57" s="715">
        <f t="shared" si="1"/>
        <v>0</v>
      </c>
      <c r="I57" s="698"/>
    </row>
    <row r="58" spans="2:9" s="527" customFormat="1" x14ac:dyDescent="0.3">
      <c r="B58" s="706" t="s">
        <v>676</v>
      </c>
      <c r="C58" s="700" t="s">
        <v>202</v>
      </c>
      <c r="D58" s="700" t="s">
        <v>203</v>
      </c>
      <c r="E58" s="692">
        <v>1895</v>
      </c>
      <c r="F58" s="692">
        <v>1895</v>
      </c>
      <c r="G58" s="715">
        <f t="shared" si="1"/>
        <v>0</v>
      </c>
      <c r="I58" s="698"/>
    </row>
    <row r="59" spans="2:9" s="527" customFormat="1" x14ac:dyDescent="0.3">
      <c r="B59" s="706" t="s">
        <v>676</v>
      </c>
      <c r="C59" s="700" t="s">
        <v>170</v>
      </c>
      <c r="D59" s="700" t="s">
        <v>171</v>
      </c>
      <c r="E59" s="692">
        <v>823</v>
      </c>
      <c r="F59" s="692">
        <v>823</v>
      </c>
      <c r="G59" s="715">
        <f t="shared" si="1"/>
        <v>0</v>
      </c>
      <c r="I59" s="698"/>
    </row>
    <row r="60" spans="2:9" s="42" customFormat="1" x14ac:dyDescent="0.3">
      <c r="B60" s="706" t="s">
        <v>676</v>
      </c>
      <c r="C60" s="700" t="s">
        <v>176</v>
      </c>
      <c r="D60" s="700" t="s">
        <v>177</v>
      </c>
      <c r="E60" s="692">
        <v>918</v>
      </c>
      <c r="F60" s="692">
        <v>918</v>
      </c>
      <c r="G60" s="715">
        <f t="shared" si="1"/>
        <v>0</v>
      </c>
      <c r="H60" s="345"/>
    </row>
    <row r="61" spans="2:9" s="42" customFormat="1" x14ac:dyDescent="0.3">
      <c r="B61" s="706" t="s">
        <v>676</v>
      </c>
      <c r="C61" s="694" t="s">
        <v>192</v>
      </c>
      <c r="D61" s="694" t="s">
        <v>193</v>
      </c>
      <c r="E61" s="677">
        <v>1450</v>
      </c>
      <c r="F61" s="677">
        <v>1450</v>
      </c>
      <c r="G61" s="715">
        <f t="shared" si="1"/>
        <v>0</v>
      </c>
      <c r="H61" s="345"/>
    </row>
    <row r="62" spans="2:9" s="42" customFormat="1" x14ac:dyDescent="0.3">
      <c r="B62" s="706" t="s">
        <v>676</v>
      </c>
      <c r="C62" s="694" t="s">
        <v>189</v>
      </c>
      <c r="D62" s="694" t="s">
        <v>190</v>
      </c>
      <c r="E62" s="677">
        <v>1411</v>
      </c>
      <c r="F62" s="677">
        <v>1411</v>
      </c>
      <c r="G62" s="715">
        <f t="shared" si="1"/>
        <v>0</v>
      </c>
      <c r="H62" s="345"/>
    </row>
    <row r="63" spans="2:9" s="42" customFormat="1" x14ac:dyDescent="0.3">
      <c r="B63" s="706" t="s">
        <v>676</v>
      </c>
      <c r="C63" s="694" t="s">
        <v>382</v>
      </c>
      <c r="D63" s="694" t="s">
        <v>383</v>
      </c>
      <c r="E63" s="705">
        <v>893</v>
      </c>
      <c r="F63" s="677">
        <v>893</v>
      </c>
      <c r="G63" s="715">
        <f t="shared" si="1"/>
        <v>0</v>
      </c>
      <c r="H63" s="345"/>
    </row>
    <row r="64" spans="2:9" s="527" customFormat="1" x14ac:dyDescent="0.3">
      <c r="B64" s="706" t="s">
        <v>676</v>
      </c>
      <c r="C64" s="700" t="s">
        <v>281</v>
      </c>
      <c r="D64" s="700" t="s">
        <v>282</v>
      </c>
      <c r="E64" s="692">
        <v>1496</v>
      </c>
      <c r="F64" s="704">
        <v>1496</v>
      </c>
      <c r="G64" s="715">
        <f t="shared" si="1"/>
        <v>0</v>
      </c>
    </row>
    <row r="65" spans="2:9" s="527" customFormat="1" x14ac:dyDescent="0.3">
      <c r="B65" s="706" t="s">
        <v>676</v>
      </c>
      <c r="C65" s="694" t="s">
        <v>285</v>
      </c>
      <c r="D65" s="694" t="s">
        <v>286</v>
      </c>
      <c r="E65" s="677">
        <v>1519</v>
      </c>
      <c r="F65" s="677">
        <v>1519</v>
      </c>
      <c r="G65" s="715">
        <f t="shared" si="1"/>
        <v>0</v>
      </c>
    </row>
    <row r="66" spans="2:9" s="527" customFormat="1" x14ac:dyDescent="0.3">
      <c r="B66" s="706" t="s">
        <v>676</v>
      </c>
      <c r="C66" s="700" t="s">
        <v>378</v>
      </c>
      <c r="D66" s="700" t="s">
        <v>377</v>
      </c>
      <c r="E66" s="692">
        <v>26300</v>
      </c>
      <c r="F66" s="692">
        <v>26300</v>
      </c>
      <c r="G66" s="715">
        <f t="shared" si="1"/>
        <v>0</v>
      </c>
    </row>
    <row r="67" spans="2:9" s="527" customFormat="1" x14ac:dyDescent="0.3">
      <c r="B67" s="706" t="s">
        <v>676</v>
      </c>
      <c r="C67" s="702" t="s">
        <v>441</v>
      </c>
      <c r="D67" s="703" t="s">
        <v>442</v>
      </c>
      <c r="E67" s="692">
        <v>1075</v>
      </c>
      <c r="F67" s="692">
        <v>1075</v>
      </c>
      <c r="G67" s="715">
        <f t="shared" si="1"/>
        <v>0</v>
      </c>
      <c r="I67" s="699"/>
    </row>
    <row r="68" spans="2:9" s="527" customFormat="1" x14ac:dyDescent="0.3">
      <c r="B68" s="706" t="s">
        <v>676</v>
      </c>
      <c r="C68" s="700" t="s">
        <v>296</v>
      </c>
      <c r="D68" s="700" t="s">
        <v>297</v>
      </c>
      <c r="E68" s="692">
        <v>26300</v>
      </c>
      <c r="F68" s="692">
        <v>26300</v>
      </c>
      <c r="G68" s="715">
        <f t="shared" si="1"/>
        <v>0</v>
      </c>
      <c r="I68" s="699"/>
    </row>
    <row r="69" spans="2:9" s="527" customFormat="1" x14ac:dyDescent="0.3">
      <c r="B69" s="706" t="s">
        <v>676</v>
      </c>
      <c r="C69" s="694" t="s">
        <v>314</v>
      </c>
      <c r="D69" s="694" t="s">
        <v>315</v>
      </c>
      <c r="E69" s="677">
        <v>861</v>
      </c>
      <c r="F69" s="677">
        <v>861</v>
      </c>
      <c r="G69" s="715">
        <f>((F69/E69)*100)-100</f>
        <v>0</v>
      </c>
      <c r="I69" s="699"/>
    </row>
    <row r="70" spans="2:9" s="527" customFormat="1" x14ac:dyDescent="0.3">
      <c r="B70" s="706" t="s">
        <v>676</v>
      </c>
      <c r="C70" s="700" t="s">
        <v>126</v>
      </c>
      <c r="D70" s="700" t="s">
        <v>127</v>
      </c>
      <c r="E70" s="692">
        <v>990</v>
      </c>
      <c r="F70" s="692">
        <v>990</v>
      </c>
      <c r="G70" s="715">
        <f>((F70/E70)*100)-100</f>
        <v>0</v>
      </c>
      <c r="I70" s="699"/>
    </row>
    <row r="71" spans="2:9" s="527" customFormat="1" x14ac:dyDescent="0.3">
      <c r="B71" s="706" t="s">
        <v>676</v>
      </c>
      <c r="C71" s="694" t="s">
        <v>437</v>
      </c>
      <c r="D71" s="694" t="s">
        <v>438</v>
      </c>
      <c r="E71" s="677">
        <v>954</v>
      </c>
      <c r="F71" s="677">
        <v>954</v>
      </c>
      <c r="G71" s="715">
        <f>((F71/E71)*100)-100</f>
        <v>0</v>
      </c>
      <c r="I71" s="699"/>
    </row>
    <row r="72" spans="2:9" x14ac:dyDescent="0.3">
      <c r="C72" s="689"/>
      <c r="D72" s="689"/>
      <c r="E72" s="689"/>
      <c r="F72" s="689"/>
      <c r="G72" s="714"/>
      <c r="H72" s="689"/>
    </row>
  </sheetData>
  <autoFilter ref="B4:G71" xr:uid="{AA02B875-A9AE-4326-A45F-19F6F4813956}">
    <sortState xmlns:xlrd2="http://schemas.microsoft.com/office/spreadsheetml/2017/richdata2" ref="B5:G71">
      <sortCondition ref="B4"/>
    </sortState>
  </autoFilter>
  <mergeCells count="1">
    <mergeCell ref="B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59E5-3A26-42C3-9A7D-B312F41910B7}">
  <sheetPr codeName="Hoja11"/>
  <dimension ref="A1:F70"/>
  <sheetViews>
    <sheetView view="pageBreakPreview" zoomScale="85" zoomScaleNormal="100" zoomScaleSheetLayoutView="85" workbookViewId="0">
      <selection activeCell="B53" sqref="B53"/>
    </sheetView>
  </sheetViews>
  <sheetFormatPr baseColWidth="10" defaultColWidth="11.5703125" defaultRowHeight="16.5" x14ac:dyDescent="0.3"/>
  <cols>
    <col min="1" max="1" width="80.7109375" style="422" customWidth="1"/>
    <col min="2" max="2" width="13.85546875" style="744" bestFit="1" customWidth="1"/>
    <col min="3" max="3" width="12.28515625" style="744" bestFit="1" customWidth="1"/>
    <col min="4" max="4" width="18.140625" style="747" bestFit="1" customWidth="1"/>
    <col min="5" max="5" width="16.7109375" style="422" customWidth="1"/>
    <col min="6" max="16384" width="11.5703125" style="422"/>
  </cols>
  <sheetData>
    <row r="1" spans="1:6" s="742" customFormat="1" ht="42.75" x14ac:dyDescent="0.25">
      <c r="A1" s="739" t="s">
        <v>693</v>
      </c>
      <c r="B1" s="740" t="s">
        <v>736</v>
      </c>
      <c r="C1" s="740" t="s">
        <v>629</v>
      </c>
      <c r="D1" s="741" t="s">
        <v>737</v>
      </c>
      <c r="E1" s="748" t="s">
        <v>738</v>
      </c>
    </row>
    <row r="2" spans="1:6" x14ac:dyDescent="0.3">
      <c r="A2" s="422" t="s">
        <v>52</v>
      </c>
      <c r="B2" s="743">
        <v>59942.199000000001</v>
      </c>
      <c r="C2" s="743">
        <v>9901.3499999999985</v>
      </c>
      <c r="D2" s="744">
        <f t="shared" ref="D2:D33" si="0">C2*B2</f>
        <v>593508692.06864989</v>
      </c>
    </row>
    <row r="3" spans="1:6" x14ac:dyDescent="0.3">
      <c r="A3" s="422" t="s">
        <v>71</v>
      </c>
      <c r="B3" s="743">
        <v>2326841.7999999998</v>
      </c>
      <c r="C3" s="743">
        <v>224</v>
      </c>
      <c r="D3" s="744">
        <f t="shared" si="0"/>
        <v>521212563.19999993</v>
      </c>
    </row>
    <row r="4" spans="1:6" x14ac:dyDescent="0.3">
      <c r="A4" s="422" t="s">
        <v>91</v>
      </c>
      <c r="B4" s="743">
        <v>9692.6479999999992</v>
      </c>
      <c r="C4" s="743">
        <v>20291</v>
      </c>
      <c r="D4" s="744">
        <f t="shared" si="0"/>
        <v>196673520.56799999</v>
      </c>
    </row>
    <row r="5" spans="1:6" x14ac:dyDescent="0.3">
      <c r="A5" s="422" t="s">
        <v>199</v>
      </c>
      <c r="B5" s="743">
        <v>6582.51</v>
      </c>
      <c r="C5" s="743">
        <v>24870.520000000004</v>
      </c>
      <c r="D5" s="744">
        <f t="shared" si="0"/>
        <v>163710446.60520002</v>
      </c>
    </row>
    <row r="6" spans="1:6" x14ac:dyDescent="0.3">
      <c r="A6" s="422" t="s">
        <v>223</v>
      </c>
      <c r="B6" s="743">
        <v>1084064.2</v>
      </c>
      <c r="C6" s="743">
        <v>114</v>
      </c>
      <c r="D6" s="744">
        <f t="shared" si="0"/>
        <v>123583318.8</v>
      </c>
    </row>
    <row r="7" spans="1:6" x14ac:dyDescent="0.3">
      <c r="A7" s="422" t="s">
        <v>559</v>
      </c>
      <c r="B7" s="743">
        <v>13268.699999999999</v>
      </c>
      <c r="C7" s="743">
        <v>8542.2800000000007</v>
      </c>
      <c r="D7" s="744">
        <f t="shared" si="0"/>
        <v>113344950.63599999</v>
      </c>
    </row>
    <row r="8" spans="1:6" x14ac:dyDescent="0.3">
      <c r="A8" s="422" t="s">
        <v>377</v>
      </c>
      <c r="B8" s="743">
        <v>3815</v>
      </c>
      <c r="C8" s="743">
        <v>26300</v>
      </c>
      <c r="D8" s="744">
        <f t="shared" si="0"/>
        <v>100334500</v>
      </c>
    </row>
    <row r="9" spans="1:6" x14ac:dyDescent="0.3">
      <c r="A9" s="422" t="s">
        <v>412</v>
      </c>
      <c r="B9" s="743">
        <v>154000</v>
      </c>
      <c r="C9" s="743">
        <v>491.73</v>
      </c>
      <c r="D9" s="744">
        <f t="shared" si="0"/>
        <v>75726420</v>
      </c>
    </row>
    <row r="10" spans="1:6" x14ac:dyDescent="0.3">
      <c r="A10" s="422" t="s">
        <v>175</v>
      </c>
      <c r="B10" s="743">
        <v>110144.598</v>
      </c>
      <c r="C10" s="743">
        <v>624.51</v>
      </c>
      <c r="D10" s="744">
        <f t="shared" si="0"/>
        <v>68786402.896980003</v>
      </c>
    </row>
    <row r="11" spans="1:6" x14ac:dyDescent="0.3">
      <c r="A11" s="422" t="s">
        <v>369</v>
      </c>
      <c r="B11" s="743">
        <v>308000</v>
      </c>
      <c r="C11" s="743">
        <v>216.66</v>
      </c>
      <c r="D11" s="744">
        <f t="shared" si="0"/>
        <v>66731280</v>
      </c>
    </row>
    <row r="12" spans="1:6" x14ac:dyDescent="0.3">
      <c r="A12" s="422" t="s">
        <v>380</v>
      </c>
      <c r="B12" s="743">
        <v>38500</v>
      </c>
      <c r="C12" s="743">
        <v>1727</v>
      </c>
      <c r="D12" s="744">
        <f t="shared" si="0"/>
        <v>66489500</v>
      </c>
    </row>
    <row r="13" spans="1:6" x14ac:dyDescent="0.3">
      <c r="A13" s="422" t="s">
        <v>188</v>
      </c>
      <c r="B13" s="743">
        <v>25153.653400000003</v>
      </c>
      <c r="C13" s="743">
        <v>1873.83</v>
      </c>
      <c r="D13" s="744">
        <f t="shared" si="0"/>
        <v>47133670.350522004</v>
      </c>
    </row>
    <row r="14" spans="1:6" x14ac:dyDescent="0.3">
      <c r="A14" s="422" t="s">
        <v>351</v>
      </c>
      <c r="B14" s="743">
        <v>80000</v>
      </c>
      <c r="C14" s="743">
        <v>556.86</v>
      </c>
      <c r="D14" s="744">
        <f t="shared" si="0"/>
        <v>44548800</v>
      </c>
    </row>
    <row r="15" spans="1:6" x14ac:dyDescent="0.3">
      <c r="A15" s="422" t="s">
        <v>340</v>
      </c>
      <c r="B15" s="743">
        <v>77000</v>
      </c>
      <c r="C15" s="743">
        <v>531</v>
      </c>
      <c r="D15" s="744">
        <f t="shared" si="0"/>
        <v>40887000</v>
      </c>
      <c r="F15" s="722"/>
    </row>
    <row r="16" spans="1:6" x14ac:dyDescent="0.3">
      <c r="A16" s="422" t="s">
        <v>347</v>
      </c>
      <c r="B16" s="743">
        <v>72000</v>
      </c>
      <c r="C16" s="743">
        <v>515.6</v>
      </c>
      <c r="D16" s="744">
        <f t="shared" si="0"/>
        <v>37123200</v>
      </c>
    </row>
    <row r="17" spans="1:4" x14ac:dyDescent="0.3">
      <c r="A17" s="422" t="s">
        <v>396</v>
      </c>
      <c r="B17" s="743">
        <v>21000.000000000004</v>
      </c>
      <c r="C17" s="743">
        <v>1700.46</v>
      </c>
      <c r="D17" s="744">
        <f t="shared" si="0"/>
        <v>35709660.000000007</v>
      </c>
    </row>
    <row r="18" spans="1:4" x14ac:dyDescent="0.3">
      <c r="A18" s="422" t="s">
        <v>355</v>
      </c>
      <c r="B18" s="743">
        <v>25550</v>
      </c>
      <c r="C18" s="743">
        <v>1069</v>
      </c>
      <c r="D18" s="744">
        <f t="shared" si="0"/>
        <v>27312950</v>
      </c>
    </row>
    <row r="19" spans="1:4" x14ac:dyDescent="0.3">
      <c r="A19" s="422" t="s">
        <v>368</v>
      </c>
      <c r="B19" s="743">
        <v>25550</v>
      </c>
      <c r="C19" s="743">
        <v>1015.75</v>
      </c>
      <c r="D19" s="744">
        <f t="shared" si="0"/>
        <v>25952412.5</v>
      </c>
    </row>
    <row r="20" spans="1:4" x14ac:dyDescent="0.3">
      <c r="A20" s="422" t="s">
        <v>169</v>
      </c>
      <c r="B20" s="743">
        <v>121536</v>
      </c>
      <c r="C20" s="743">
        <v>204</v>
      </c>
      <c r="D20" s="744">
        <f t="shared" si="0"/>
        <v>24793344</v>
      </c>
    </row>
    <row r="21" spans="1:4" x14ac:dyDescent="0.3">
      <c r="A21" s="422" t="s">
        <v>353</v>
      </c>
      <c r="B21" s="743">
        <v>9200</v>
      </c>
      <c r="C21" s="743">
        <v>2561</v>
      </c>
      <c r="D21" s="744">
        <f t="shared" si="0"/>
        <v>23561200</v>
      </c>
    </row>
    <row r="22" spans="1:4" x14ac:dyDescent="0.3">
      <c r="A22" s="422" t="s">
        <v>225</v>
      </c>
      <c r="B22" s="743">
        <v>22706.639999999999</v>
      </c>
      <c r="C22" s="743">
        <v>1022</v>
      </c>
      <c r="D22" s="744">
        <f t="shared" si="0"/>
        <v>23206186.079999998</v>
      </c>
    </row>
    <row r="23" spans="1:4" x14ac:dyDescent="0.3">
      <c r="A23" s="422" t="s">
        <v>393</v>
      </c>
      <c r="B23" s="743">
        <v>21000.000000000004</v>
      </c>
      <c r="C23" s="743">
        <v>1069</v>
      </c>
      <c r="D23" s="744">
        <f t="shared" si="0"/>
        <v>22449000.000000004</v>
      </c>
    </row>
    <row r="24" spans="1:4" x14ac:dyDescent="0.3">
      <c r="A24" s="422" t="s">
        <v>315</v>
      </c>
      <c r="B24" s="743">
        <v>3570.5789999999997</v>
      </c>
      <c r="C24" s="743">
        <v>5166</v>
      </c>
      <c r="D24" s="744">
        <f t="shared" si="0"/>
        <v>18445611.114</v>
      </c>
    </row>
    <row r="25" spans="1:4" x14ac:dyDescent="0.3">
      <c r="A25" s="422" t="s">
        <v>154</v>
      </c>
      <c r="B25" s="743">
        <v>24184.799999999999</v>
      </c>
      <c r="C25" s="743">
        <v>711.54</v>
      </c>
      <c r="D25" s="744">
        <f t="shared" si="0"/>
        <v>17208452.592</v>
      </c>
    </row>
    <row r="26" spans="1:4" x14ac:dyDescent="0.3">
      <c r="A26" s="422" t="s">
        <v>253</v>
      </c>
      <c r="B26" s="743">
        <v>14688</v>
      </c>
      <c r="C26" s="743">
        <v>1154</v>
      </c>
      <c r="D26" s="744">
        <f t="shared" si="0"/>
        <v>16949952</v>
      </c>
    </row>
    <row r="27" spans="1:4" x14ac:dyDescent="0.3">
      <c r="A27" s="422" t="s">
        <v>201</v>
      </c>
      <c r="B27" s="743">
        <v>52017.518600000003</v>
      </c>
      <c r="C27" s="743">
        <v>280.10000000000002</v>
      </c>
      <c r="D27" s="744">
        <f t="shared" si="0"/>
        <v>14570106.959860003</v>
      </c>
    </row>
    <row r="28" spans="1:4" x14ac:dyDescent="0.3">
      <c r="A28" s="422" t="s">
        <v>232</v>
      </c>
      <c r="B28" s="743">
        <v>16663</v>
      </c>
      <c r="C28" s="743">
        <v>874</v>
      </c>
      <c r="D28" s="744">
        <f t="shared" si="0"/>
        <v>14563462</v>
      </c>
    </row>
    <row r="29" spans="1:4" x14ac:dyDescent="0.3">
      <c r="A29" s="422" t="s">
        <v>129</v>
      </c>
      <c r="B29" s="743">
        <v>2075.7979999999998</v>
      </c>
      <c r="C29" s="743">
        <v>6995.25</v>
      </c>
      <c r="D29" s="744">
        <f t="shared" si="0"/>
        <v>14520725.959499998</v>
      </c>
    </row>
    <row r="30" spans="1:4" x14ac:dyDescent="0.3">
      <c r="A30" s="422" t="s">
        <v>345</v>
      </c>
      <c r="B30" s="743">
        <v>8280</v>
      </c>
      <c r="C30" s="743">
        <v>1624</v>
      </c>
      <c r="D30" s="744">
        <f t="shared" si="0"/>
        <v>13446720</v>
      </c>
    </row>
    <row r="31" spans="1:4" x14ac:dyDescent="0.3">
      <c r="A31" s="422" t="s">
        <v>164</v>
      </c>
      <c r="B31" s="743">
        <v>17661</v>
      </c>
      <c r="C31" s="743">
        <v>629</v>
      </c>
      <c r="D31" s="744">
        <f t="shared" si="0"/>
        <v>11108769</v>
      </c>
    </row>
    <row r="32" spans="1:4" x14ac:dyDescent="0.3">
      <c r="A32" s="422" t="s">
        <v>282</v>
      </c>
      <c r="B32" s="743">
        <v>3647.5179999999996</v>
      </c>
      <c r="C32" s="743">
        <v>2992</v>
      </c>
      <c r="D32" s="744">
        <f t="shared" si="0"/>
        <v>10913373.855999999</v>
      </c>
    </row>
    <row r="33" spans="1:4" x14ac:dyDescent="0.3">
      <c r="A33" s="422" t="s">
        <v>264</v>
      </c>
      <c r="B33" s="743">
        <v>36204</v>
      </c>
      <c r="C33" s="743">
        <v>264.82</v>
      </c>
      <c r="D33" s="744">
        <f t="shared" si="0"/>
        <v>9587543.2799999993</v>
      </c>
    </row>
    <row r="34" spans="1:4" x14ac:dyDescent="0.3">
      <c r="A34" s="422" t="s">
        <v>297</v>
      </c>
      <c r="B34" s="743">
        <v>342.1619</v>
      </c>
      <c r="C34" s="743">
        <v>26300</v>
      </c>
      <c r="D34" s="744">
        <f t="shared" ref="D34:D65" si="1">C34*B34</f>
        <v>8998857.9700000007</v>
      </c>
    </row>
    <row r="35" spans="1:4" x14ac:dyDescent="0.3">
      <c r="A35" s="422" t="s">
        <v>235</v>
      </c>
      <c r="B35" s="743">
        <v>16918.559999999998</v>
      </c>
      <c r="C35" s="743">
        <v>504.84</v>
      </c>
      <c r="D35" s="744">
        <f t="shared" si="1"/>
        <v>8541165.8303999975</v>
      </c>
    </row>
    <row r="36" spans="1:4" x14ac:dyDescent="0.3">
      <c r="A36" s="422" t="s">
        <v>421</v>
      </c>
      <c r="B36" s="743">
        <v>6799.32</v>
      </c>
      <c r="C36" s="743">
        <v>1226.1600000000001</v>
      </c>
      <c r="D36" s="744">
        <f t="shared" si="1"/>
        <v>8337054.2111999998</v>
      </c>
    </row>
    <row r="37" spans="1:4" x14ac:dyDescent="0.3">
      <c r="A37" s="422" t="s">
        <v>395</v>
      </c>
      <c r="B37" s="743">
        <v>4687.5</v>
      </c>
      <c r="C37" s="743">
        <v>1624</v>
      </c>
      <c r="D37" s="744">
        <f t="shared" si="1"/>
        <v>7612500</v>
      </c>
    </row>
    <row r="38" spans="1:4" x14ac:dyDescent="0.3">
      <c r="A38" s="422" t="s">
        <v>251</v>
      </c>
      <c r="B38" s="743">
        <v>2203.1999999999998</v>
      </c>
      <c r="C38" s="743">
        <v>2598.66</v>
      </c>
      <c r="D38" s="744">
        <f t="shared" si="1"/>
        <v>5725367.7119999994</v>
      </c>
    </row>
    <row r="39" spans="1:4" x14ac:dyDescent="0.3">
      <c r="A39" s="422" t="s">
        <v>286</v>
      </c>
      <c r="B39" s="743">
        <v>3384.0609999999997</v>
      </c>
      <c r="C39" s="743">
        <v>1519</v>
      </c>
      <c r="D39" s="744">
        <f t="shared" si="1"/>
        <v>5140388.659</v>
      </c>
    </row>
    <row r="40" spans="1:4" x14ac:dyDescent="0.3">
      <c r="A40" s="422" t="s">
        <v>84</v>
      </c>
      <c r="B40" s="743">
        <v>1130.076</v>
      </c>
      <c r="C40" s="743">
        <v>4271.1400000000003</v>
      </c>
      <c r="D40" s="744">
        <f t="shared" si="1"/>
        <v>4826712.8066400001</v>
      </c>
    </row>
    <row r="41" spans="1:4" x14ac:dyDescent="0.3">
      <c r="A41" s="422" t="s">
        <v>277</v>
      </c>
      <c r="B41" s="743">
        <v>6906.02</v>
      </c>
      <c r="C41" s="743">
        <v>581</v>
      </c>
      <c r="D41" s="744">
        <f t="shared" si="1"/>
        <v>4012397.62</v>
      </c>
    </row>
    <row r="42" spans="1:4" x14ac:dyDescent="0.3">
      <c r="A42" s="422" t="s">
        <v>275</v>
      </c>
      <c r="B42" s="743">
        <v>70860</v>
      </c>
      <c r="C42" s="743">
        <v>56</v>
      </c>
      <c r="D42" s="744">
        <f t="shared" si="1"/>
        <v>3968160</v>
      </c>
    </row>
    <row r="43" spans="1:4" x14ac:dyDescent="0.3">
      <c r="A43" s="422" t="s">
        <v>159</v>
      </c>
      <c r="B43" s="743">
        <v>42709</v>
      </c>
      <c r="C43" s="743">
        <v>91.32</v>
      </c>
      <c r="D43" s="744">
        <f t="shared" si="1"/>
        <v>3900185.88</v>
      </c>
    </row>
    <row r="44" spans="1:4" x14ac:dyDescent="0.3">
      <c r="A44" s="422" t="s">
        <v>158</v>
      </c>
      <c r="B44" s="743">
        <v>6117.65</v>
      </c>
      <c r="C44" s="743">
        <v>629</v>
      </c>
      <c r="D44" s="744">
        <f t="shared" si="1"/>
        <v>3848001.8499999996</v>
      </c>
    </row>
    <row r="45" spans="1:4" x14ac:dyDescent="0.3">
      <c r="A45" s="422" t="s">
        <v>204</v>
      </c>
      <c r="B45" s="743">
        <v>1278.2</v>
      </c>
      <c r="C45" s="743">
        <v>2478</v>
      </c>
      <c r="D45" s="744">
        <f t="shared" si="1"/>
        <v>3167379.6</v>
      </c>
    </row>
    <row r="46" spans="1:4" x14ac:dyDescent="0.3">
      <c r="A46" s="422" t="s">
        <v>127</v>
      </c>
      <c r="B46" s="743">
        <v>1519.624</v>
      </c>
      <c r="C46" s="743">
        <v>1851</v>
      </c>
      <c r="D46" s="744">
        <f t="shared" si="1"/>
        <v>2812824.0240000002</v>
      </c>
    </row>
    <row r="47" spans="1:4" x14ac:dyDescent="0.3">
      <c r="A47" s="422" t="s">
        <v>209</v>
      </c>
      <c r="B47" s="743">
        <v>1810.6200000000001</v>
      </c>
      <c r="C47" s="743">
        <v>1535</v>
      </c>
      <c r="D47" s="744">
        <f t="shared" si="1"/>
        <v>2779301.7</v>
      </c>
    </row>
    <row r="48" spans="1:4" x14ac:dyDescent="0.3">
      <c r="A48" s="422" t="s">
        <v>266</v>
      </c>
      <c r="B48" s="743">
        <v>21550</v>
      </c>
      <c r="C48" s="743">
        <v>115</v>
      </c>
      <c r="D48" s="744">
        <f t="shared" si="1"/>
        <v>2478250</v>
      </c>
    </row>
    <row r="49" spans="1:4" x14ac:dyDescent="0.3">
      <c r="A49" s="422" t="s">
        <v>203</v>
      </c>
      <c r="B49" s="743">
        <v>1278.2</v>
      </c>
      <c r="C49" s="743">
        <v>1895</v>
      </c>
      <c r="D49" s="744">
        <f t="shared" si="1"/>
        <v>2422189</v>
      </c>
    </row>
    <row r="50" spans="1:4" x14ac:dyDescent="0.3">
      <c r="A50" s="422" t="s">
        <v>442</v>
      </c>
      <c r="B50" s="743">
        <v>1804.32</v>
      </c>
      <c r="C50" s="743">
        <v>1075</v>
      </c>
      <c r="D50" s="744">
        <f t="shared" si="1"/>
        <v>1939644</v>
      </c>
    </row>
    <row r="51" spans="1:4" x14ac:dyDescent="0.3">
      <c r="A51" s="422" t="s">
        <v>190</v>
      </c>
      <c r="B51" s="743">
        <v>1218.145</v>
      </c>
      <c r="C51" s="743">
        <v>1411</v>
      </c>
      <c r="D51" s="744">
        <f t="shared" si="1"/>
        <v>1718802.595</v>
      </c>
    </row>
    <row r="52" spans="1:4" x14ac:dyDescent="0.3">
      <c r="A52" s="422" t="s">
        <v>177</v>
      </c>
      <c r="B52" s="743">
        <v>1757.2559999999999</v>
      </c>
      <c r="C52" s="743">
        <v>918</v>
      </c>
      <c r="D52" s="744">
        <f t="shared" si="1"/>
        <v>1613161.0079999999</v>
      </c>
    </row>
    <row r="53" spans="1:4" x14ac:dyDescent="0.3">
      <c r="A53" s="422" t="s">
        <v>171</v>
      </c>
      <c r="B53" s="743">
        <v>1890.5600000000002</v>
      </c>
      <c r="C53" s="743">
        <v>823</v>
      </c>
      <c r="D53" s="744">
        <f t="shared" si="1"/>
        <v>1555930.8800000001</v>
      </c>
    </row>
    <row r="54" spans="1:4" x14ac:dyDescent="0.3">
      <c r="A54" s="422" t="s">
        <v>323</v>
      </c>
      <c r="B54" s="743">
        <v>3183</v>
      </c>
      <c r="C54" s="743">
        <v>437</v>
      </c>
      <c r="D54" s="744">
        <f t="shared" si="1"/>
        <v>1390971</v>
      </c>
    </row>
    <row r="55" spans="1:4" x14ac:dyDescent="0.3">
      <c r="A55" s="422" t="s">
        <v>227</v>
      </c>
      <c r="B55" s="743">
        <v>22706.639999999999</v>
      </c>
      <c r="C55" s="743">
        <v>58</v>
      </c>
      <c r="D55" s="744">
        <f t="shared" si="1"/>
        <v>1316985.1199999999</v>
      </c>
    </row>
    <row r="56" spans="1:4" x14ac:dyDescent="0.3">
      <c r="A56" s="422" t="s">
        <v>331</v>
      </c>
      <c r="B56" s="743">
        <v>2019.5</v>
      </c>
      <c r="C56" s="743">
        <v>629.04</v>
      </c>
      <c r="D56" s="744">
        <f t="shared" si="1"/>
        <v>1270346.28</v>
      </c>
    </row>
    <row r="57" spans="1:4" x14ac:dyDescent="0.3">
      <c r="A57" s="422" t="s">
        <v>436</v>
      </c>
      <c r="B57" s="743">
        <v>477.45</v>
      </c>
      <c r="C57" s="743">
        <v>2381</v>
      </c>
      <c r="D57" s="744">
        <f t="shared" si="1"/>
        <v>1136808.45</v>
      </c>
    </row>
    <row r="58" spans="1:4" x14ac:dyDescent="0.3">
      <c r="A58" s="422" t="s">
        <v>317</v>
      </c>
      <c r="B58" s="743">
        <v>10313</v>
      </c>
      <c r="C58" s="743">
        <v>103</v>
      </c>
      <c r="D58" s="744">
        <f t="shared" si="1"/>
        <v>1062239</v>
      </c>
    </row>
    <row r="59" spans="1:4" x14ac:dyDescent="0.3">
      <c r="A59" s="422" t="s">
        <v>237</v>
      </c>
      <c r="B59" s="743">
        <v>8424</v>
      </c>
      <c r="C59" s="743">
        <v>114</v>
      </c>
      <c r="D59" s="744">
        <f t="shared" si="1"/>
        <v>960336</v>
      </c>
    </row>
    <row r="60" spans="1:4" x14ac:dyDescent="0.3">
      <c r="A60" s="422" t="s">
        <v>193</v>
      </c>
      <c r="B60" s="743">
        <v>627.87299999999993</v>
      </c>
      <c r="C60" s="743">
        <v>1450</v>
      </c>
      <c r="D60" s="744">
        <f t="shared" si="1"/>
        <v>910415.84999999986</v>
      </c>
    </row>
    <row r="61" spans="1:4" x14ac:dyDescent="0.3">
      <c r="A61" s="422" t="s">
        <v>426</v>
      </c>
      <c r="B61" s="743">
        <v>3258</v>
      </c>
      <c r="C61" s="743">
        <v>250</v>
      </c>
      <c r="D61" s="744">
        <f t="shared" si="1"/>
        <v>814500</v>
      </c>
    </row>
    <row r="62" spans="1:4" x14ac:dyDescent="0.3">
      <c r="A62" s="422" t="s">
        <v>409</v>
      </c>
      <c r="B62" s="743">
        <v>6008</v>
      </c>
      <c r="C62" s="743">
        <v>114</v>
      </c>
      <c r="D62" s="744">
        <f t="shared" si="1"/>
        <v>684912</v>
      </c>
    </row>
    <row r="63" spans="1:4" x14ac:dyDescent="0.3">
      <c r="A63" s="422" t="s">
        <v>423</v>
      </c>
      <c r="B63" s="743">
        <v>5851</v>
      </c>
      <c r="C63" s="743">
        <v>114</v>
      </c>
      <c r="D63" s="744">
        <f t="shared" si="1"/>
        <v>667014</v>
      </c>
    </row>
    <row r="64" spans="1:4" x14ac:dyDescent="0.3">
      <c r="A64" s="422" t="s">
        <v>401</v>
      </c>
      <c r="B64" s="743">
        <v>5552</v>
      </c>
      <c r="C64" s="743">
        <v>103</v>
      </c>
      <c r="D64" s="744">
        <f t="shared" si="1"/>
        <v>571856</v>
      </c>
    </row>
    <row r="65" spans="1:4" x14ac:dyDescent="0.3">
      <c r="A65" s="422" t="s">
        <v>312</v>
      </c>
      <c r="B65" s="743">
        <v>1453</v>
      </c>
      <c r="C65" s="743">
        <v>114</v>
      </c>
      <c r="D65" s="744">
        <f t="shared" si="1"/>
        <v>165642</v>
      </c>
    </row>
    <row r="66" spans="1:4" x14ac:dyDescent="0.3">
      <c r="A66" s="422" t="s">
        <v>731</v>
      </c>
      <c r="B66" s="743">
        <v>510.78399999999999</v>
      </c>
      <c r="C66" s="743">
        <v>208.17</v>
      </c>
      <c r="D66" s="744">
        <f>C66*B66</f>
        <v>106329.90527999999</v>
      </c>
    </row>
    <row r="67" spans="1:4" x14ac:dyDescent="0.3">
      <c r="A67" s="422" t="s">
        <v>438</v>
      </c>
      <c r="B67" s="743">
        <v>72.701999999999998</v>
      </c>
      <c r="C67" s="743">
        <v>954</v>
      </c>
      <c r="D67" s="744">
        <f>C67*B67</f>
        <v>69357.707999999999</v>
      </c>
    </row>
    <row r="68" spans="1:4" x14ac:dyDescent="0.3">
      <c r="A68" s="422" t="s">
        <v>326</v>
      </c>
      <c r="B68" s="743">
        <v>888.32</v>
      </c>
      <c r="C68" s="743">
        <v>65</v>
      </c>
      <c r="D68" s="744">
        <f>C68*B68</f>
        <v>57740.800000000003</v>
      </c>
    </row>
    <row r="69" spans="1:4" hidden="1" x14ac:dyDescent="0.3">
      <c r="B69" s="743"/>
      <c r="C69" s="743"/>
      <c r="D69" s="744"/>
    </row>
    <row r="70" spans="1:4" x14ac:dyDescent="0.3">
      <c r="A70" s="723" t="s">
        <v>694</v>
      </c>
      <c r="B70" s="745">
        <v>5062049.9049000004</v>
      </c>
      <c r="C70" s="745">
        <v>184708.59000000005</v>
      </c>
      <c r="D70" s="746">
        <f>SUM(D2:D68)</f>
        <v>2680677463.9262314</v>
      </c>
    </row>
  </sheetData>
  <autoFilter ref="A1:E68" xr:uid="{F76359E5-3A26-42C3-9A7D-B312F41910B7}">
    <sortState xmlns:xlrd2="http://schemas.microsoft.com/office/spreadsheetml/2017/richdata2" ref="A2:E68">
      <sortCondition descending="1" ref="D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64BA-B372-43DD-98F5-0F0941E4B58A}">
  <sheetPr codeName="Hoja1">
    <tabColor rgb="FFFFFF00"/>
  </sheetPr>
  <dimension ref="A1:R165"/>
  <sheetViews>
    <sheetView view="pageBreakPreview" topLeftCell="A33" zoomScaleNormal="100" zoomScaleSheetLayoutView="100" workbookViewId="0">
      <selection activeCell="C19" sqref="C19"/>
    </sheetView>
  </sheetViews>
  <sheetFormatPr baseColWidth="10" defaultColWidth="11.42578125" defaultRowHeight="19.5" customHeight="1" x14ac:dyDescent="0.25"/>
  <cols>
    <col min="1" max="1" width="11.7109375" style="957" customWidth="1"/>
    <col min="2" max="2" width="67.28515625" style="956" bestFit="1" customWidth="1"/>
    <col min="3" max="3" width="21.5703125" style="958" customWidth="1"/>
    <col min="4" max="5" width="11.42578125" style="956"/>
    <col min="6" max="6" width="10.42578125" style="951" customWidth="1"/>
    <col min="7" max="18" width="11.42578125" style="951"/>
    <col min="19" max="19" width="11" style="951" bestFit="1" customWidth="1"/>
    <col min="20" max="16384" width="11.42578125" style="951"/>
  </cols>
  <sheetData>
    <row r="1" spans="1:5" ht="24.75" customHeight="1" x14ac:dyDescent="0.25">
      <c r="A1" s="1745" t="s">
        <v>634</v>
      </c>
      <c r="B1" s="1746"/>
      <c r="C1" s="1746"/>
    </row>
    <row r="2" spans="1:5" s="952" customFormat="1" ht="24.75" customHeight="1" x14ac:dyDescent="0.25">
      <c r="A2" s="1566" t="s">
        <v>635</v>
      </c>
      <c r="B2" s="1566" t="s">
        <v>636</v>
      </c>
      <c r="C2" s="1567" t="str">
        <f>'CIF Y PV'!F6</f>
        <v>MB-JUN</v>
      </c>
      <c r="D2" s="1568"/>
      <c r="E2" s="1568"/>
    </row>
    <row r="3" spans="1:5" ht="19.5" customHeight="1" x14ac:dyDescent="0.25">
      <c r="A3" s="1569" t="s">
        <v>828</v>
      </c>
      <c r="B3" s="1572" t="s">
        <v>886</v>
      </c>
      <c r="C3" s="1571">
        <f>VLOOKUP(B3,'MB FEB'!B3:D86,3,FALSE)</f>
        <v>0.38889370510815585</v>
      </c>
    </row>
    <row r="4" spans="1:5" ht="19.5" customHeight="1" x14ac:dyDescent="0.25">
      <c r="A4" s="1569" t="s">
        <v>828</v>
      </c>
      <c r="B4" s="1572" t="s">
        <v>889</v>
      </c>
      <c r="C4" s="1571">
        <f>VLOOKUP(B4,'MB FEB'!B4:D87,3,FALSE)</f>
        <v>0.39099100755353217</v>
      </c>
    </row>
    <row r="5" spans="1:5" ht="19.5" customHeight="1" x14ac:dyDescent="0.25">
      <c r="A5" s="1573"/>
      <c r="B5" s="1574" t="s">
        <v>1246</v>
      </c>
      <c r="C5" s="1575">
        <f>AVERAGE(C3:C4)</f>
        <v>0.38994235633084401</v>
      </c>
    </row>
    <row r="6" spans="1:5" ht="19.5" customHeight="1" x14ac:dyDescent="0.25">
      <c r="A6" s="1566" t="s">
        <v>635</v>
      </c>
      <c r="B6" s="1566" t="s">
        <v>637</v>
      </c>
      <c r="C6" s="1567" t="str">
        <f>'CIF Y PV'!F6</f>
        <v>MB-JUN</v>
      </c>
    </row>
    <row r="7" spans="1:5" ht="19.5" customHeight="1" x14ac:dyDescent="0.25">
      <c r="A7" s="1569" t="s">
        <v>828</v>
      </c>
      <c r="B7" s="1572" t="s">
        <v>993</v>
      </c>
      <c r="C7" s="1571">
        <f>VLOOKUP(B7,'MB FEB'!B7:D90,3,FALSE)</f>
        <v>0.35182806099688591</v>
      </c>
    </row>
    <row r="8" spans="1:5" ht="19.5" customHeight="1" x14ac:dyDescent="0.25">
      <c r="A8" s="1569" t="s">
        <v>828</v>
      </c>
      <c r="B8" s="1572" t="s">
        <v>925</v>
      </c>
      <c r="C8" s="1571">
        <f>VLOOKUP(B8,'MB FEB'!B8:D91,3,FALSE)</f>
        <v>0.32120561857338653</v>
      </c>
    </row>
    <row r="9" spans="1:5" ht="19.5" customHeight="1" x14ac:dyDescent="0.25">
      <c r="A9" s="1569" t="s">
        <v>828</v>
      </c>
      <c r="B9" s="1572" t="s">
        <v>1260</v>
      </c>
      <c r="C9" s="1593">
        <f>'MB FEB'!D41</f>
        <v>0.31001681703960221</v>
      </c>
    </row>
    <row r="10" spans="1:5" ht="19.5" customHeight="1" x14ac:dyDescent="0.25">
      <c r="A10" s="1573"/>
      <c r="B10" s="1574" t="s">
        <v>1247</v>
      </c>
      <c r="C10" s="1575">
        <f>AVERAGE(C7:C8)</f>
        <v>0.33651683978513625</v>
      </c>
    </row>
    <row r="11" spans="1:5" s="952" customFormat="1" ht="19.5" customHeight="1" x14ac:dyDescent="0.25">
      <c r="A11" s="1566" t="s">
        <v>635</v>
      </c>
      <c r="B11" s="1566" t="s">
        <v>638</v>
      </c>
      <c r="C11" s="1567" t="str">
        <f>'CIF Y PV'!F6</f>
        <v>MB-JUN</v>
      </c>
      <c r="D11" s="1568"/>
      <c r="E11" s="1568"/>
    </row>
    <row r="12" spans="1:5" ht="19.5" customHeight="1" x14ac:dyDescent="0.25">
      <c r="A12" s="1569" t="s">
        <v>828</v>
      </c>
      <c r="B12" s="1572" t="s">
        <v>576</v>
      </c>
      <c r="C12" s="1576">
        <f>VLOOKUP(B12,'MB FEB'!B11:D94,3,FALSE)</f>
        <v>0.39602174529069423</v>
      </c>
    </row>
    <row r="13" spans="1:5" s="952" customFormat="1" ht="19.5" customHeight="1" x14ac:dyDescent="0.25">
      <c r="A13" s="1569" t="s">
        <v>828</v>
      </c>
      <c r="B13" s="1572" t="s">
        <v>575</v>
      </c>
      <c r="C13" s="1576">
        <f>VLOOKUP(B13,'MB FEB'!B12:D95,3,FALSE)</f>
        <v>0.39872018910477897</v>
      </c>
      <c r="D13" s="1568"/>
      <c r="E13" s="1568"/>
    </row>
    <row r="14" spans="1:5" s="952" customFormat="1" ht="19.5" customHeight="1" x14ac:dyDescent="0.25">
      <c r="A14" s="1569" t="s">
        <v>828</v>
      </c>
      <c r="B14" s="1572" t="s">
        <v>1277</v>
      </c>
      <c r="C14" s="1576">
        <f>'MB FEB'!D51</f>
        <v>0.29202327989693333</v>
      </c>
      <c r="D14" s="1568"/>
      <c r="E14" s="1568"/>
    </row>
    <row r="15" spans="1:5" s="952" customFormat="1" ht="19.5" customHeight="1" x14ac:dyDescent="0.25">
      <c r="A15" s="1573"/>
      <c r="B15" s="1574" t="s">
        <v>1254</v>
      </c>
      <c r="C15" s="1575">
        <f>AVERAGE(C12:C13)</f>
        <v>0.39737096719773657</v>
      </c>
      <c r="D15" s="1568"/>
      <c r="E15" s="1568"/>
    </row>
    <row r="16" spans="1:5" ht="19.5" customHeight="1" x14ac:dyDescent="0.25">
      <c r="A16" s="1566" t="s">
        <v>635</v>
      </c>
      <c r="B16" s="1566" t="s">
        <v>639</v>
      </c>
      <c r="C16" s="1567" t="str">
        <f>'CIF Y PV'!F6</f>
        <v>MB-JUN</v>
      </c>
    </row>
    <row r="17" spans="1:5" ht="19.5" customHeight="1" x14ac:dyDescent="0.25">
      <c r="A17" s="1569" t="s">
        <v>828</v>
      </c>
      <c r="B17" s="1572" t="s">
        <v>583</v>
      </c>
      <c r="C17" s="1571">
        <f>VLOOKUP(B17,'MB FEB'!B14:D98,3,FALSE)</f>
        <v>0.36652172367927632</v>
      </c>
    </row>
    <row r="18" spans="1:5" ht="19.5" customHeight="1" x14ac:dyDescent="0.25">
      <c r="A18" s="1569" t="s">
        <v>828</v>
      </c>
      <c r="B18" s="1572" t="s">
        <v>1326</v>
      </c>
      <c r="C18" s="1571">
        <f>'MB FEB'!D55</f>
        <v>0.29387153002311073</v>
      </c>
    </row>
    <row r="19" spans="1:5" ht="19.5" customHeight="1" x14ac:dyDescent="0.25">
      <c r="A19" s="1573"/>
      <c r="B19" s="1574" t="s">
        <v>1255</v>
      </c>
      <c r="C19" s="1575">
        <f>AVERAGE(C17)</f>
        <v>0.36652172367927632</v>
      </c>
    </row>
    <row r="20" spans="1:5" ht="19.5" customHeight="1" x14ac:dyDescent="0.25">
      <c r="A20" s="1566" t="s">
        <v>635</v>
      </c>
      <c r="B20" s="1566" t="s">
        <v>642</v>
      </c>
      <c r="C20" s="1567" t="str">
        <f>'CIF Y PV'!F6</f>
        <v>MB-JUN</v>
      </c>
    </row>
    <row r="21" spans="1:5" ht="19.5" customHeight="1" x14ac:dyDescent="0.25">
      <c r="A21" s="1569" t="s">
        <v>828</v>
      </c>
      <c r="B21" s="1570" t="s">
        <v>584</v>
      </c>
      <c r="C21" s="1576">
        <f>VLOOKUP(B21,'MB FEB'!B16:D101,3,FALSE)</f>
        <v>0.33424603760030297</v>
      </c>
    </row>
    <row r="22" spans="1:5" ht="19.5" customHeight="1" x14ac:dyDescent="0.25">
      <c r="A22" s="1573"/>
      <c r="B22" s="1574" t="s">
        <v>1251</v>
      </c>
      <c r="C22" s="1575">
        <f>AVERAGE(C21)</f>
        <v>0.33424603760030297</v>
      </c>
    </row>
    <row r="23" spans="1:5" ht="19.5" customHeight="1" x14ac:dyDescent="0.25">
      <c r="A23" s="1566" t="s">
        <v>635</v>
      </c>
      <c r="B23" s="1566" t="s">
        <v>960</v>
      </c>
      <c r="C23" s="1567" t="str">
        <f>'CIF Y PV'!F6</f>
        <v>MB-JUN</v>
      </c>
    </row>
    <row r="26" spans="1:5" s="1582" customFormat="1" ht="19.5" customHeight="1" x14ac:dyDescent="0.25">
      <c r="A26" s="957"/>
      <c r="B26" s="1578" t="s">
        <v>1253</v>
      </c>
      <c r="C26" s="1579" t="str">
        <f>'CIF Y PV'!F6</f>
        <v>MB-JUN</v>
      </c>
      <c r="D26" s="1578" t="s">
        <v>602</v>
      </c>
      <c r="E26" s="957"/>
    </row>
    <row r="27" spans="1:5" ht="19.5" customHeight="1" x14ac:dyDescent="0.25">
      <c r="B27" s="1570" t="s">
        <v>1246</v>
      </c>
      <c r="C27" s="1580">
        <f>VLOOKUP(B27,B3:C22,2,FALSE)</f>
        <v>0.38994235633084401</v>
      </c>
      <c r="D27" s="1581">
        <v>0.25</v>
      </c>
    </row>
    <row r="28" spans="1:5" ht="19.5" customHeight="1" x14ac:dyDescent="0.25">
      <c r="B28" s="1570" t="s">
        <v>1247</v>
      </c>
      <c r="C28" s="1580">
        <f>VLOOKUP(B28,B4:C23,2,FALSE)</f>
        <v>0.33651683978513625</v>
      </c>
      <c r="D28" s="1581">
        <v>0.25</v>
      </c>
    </row>
    <row r="29" spans="1:5" ht="19.5" customHeight="1" x14ac:dyDescent="0.25">
      <c r="B29" s="1570" t="s">
        <v>1254</v>
      </c>
      <c r="C29" s="1580">
        <f>VLOOKUP(B29,B5:C24,2,FALSE)</f>
        <v>0.39737096719773657</v>
      </c>
      <c r="D29" s="1581">
        <v>0.25</v>
      </c>
    </row>
    <row r="30" spans="1:5" ht="19.5" customHeight="1" x14ac:dyDescent="0.25">
      <c r="B30" s="1570" t="s">
        <v>1255</v>
      </c>
      <c r="C30" s="1580">
        <f>VLOOKUP(B30,B6:C25,2,FALSE)</f>
        <v>0.36652172367927632</v>
      </c>
      <c r="D30" s="1581">
        <v>0.25</v>
      </c>
    </row>
    <row r="31" spans="1:5" ht="19.5" customHeight="1" x14ac:dyDescent="0.25">
      <c r="B31" s="1570" t="s">
        <v>1251</v>
      </c>
      <c r="C31" s="1580">
        <f>VLOOKUP(B31,B7:C26,2,FALSE)</f>
        <v>0.33424603760030297</v>
      </c>
      <c r="D31" s="1581">
        <v>0.25</v>
      </c>
    </row>
    <row r="93" spans="1:18" s="959" customFormat="1" ht="19.5" customHeight="1" x14ac:dyDescent="0.25">
      <c r="A93" s="957"/>
      <c r="B93" s="956"/>
      <c r="C93" s="958"/>
      <c r="D93" s="956"/>
      <c r="E93" s="956"/>
      <c r="F93" s="951"/>
      <c r="G93" s="951"/>
      <c r="H93" s="951"/>
      <c r="I93" s="951"/>
      <c r="J93" s="951"/>
      <c r="K93" s="951"/>
      <c r="L93" s="951"/>
      <c r="M93" s="951"/>
      <c r="N93" s="951"/>
      <c r="O93" s="951"/>
      <c r="P93" s="951"/>
      <c r="Q93" s="951"/>
      <c r="R93" s="951"/>
    </row>
    <row r="94" spans="1:18" s="959" customFormat="1" ht="19.5" customHeight="1" x14ac:dyDescent="0.25">
      <c r="A94" s="957"/>
      <c r="B94" s="956"/>
      <c r="C94" s="958"/>
      <c r="D94" s="956"/>
      <c r="E94" s="956"/>
      <c r="F94" s="951"/>
      <c r="G94" s="951"/>
      <c r="H94" s="951"/>
      <c r="I94" s="951"/>
      <c r="J94" s="951"/>
      <c r="K94" s="951"/>
      <c r="L94" s="951"/>
      <c r="M94" s="951"/>
      <c r="N94" s="951"/>
      <c r="O94" s="951"/>
      <c r="P94" s="951"/>
      <c r="Q94" s="951"/>
      <c r="R94" s="951"/>
    </row>
    <row r="95" spans="1:18" s="959" customFormat="1" ht="19.5" customHeight="1" x14ac:dyDescent="0.25">
      <c r="A95" s="957"/>
      <c r="B95" s="956"/>
      <c r="C95" s="958"/>
      <c r="D95" s="956"/>
      <c r="E95" s="956"/>
      <c r="F95" s="951"/>
      <c r="G95" s="951"/>
      <c r="H95" s="951"/>
      <c r="I95" s="951"/>
      <c r="J95" s="951"/>
      <c r="K95" s="951"/>
      <c r="L95" s="951"/>
      <c r="M95" s="951"/>
      <c r="N95" s="951"/>
      <c r="O95" s="951"/>
      <c r="P95" s="951"/>
      <c r="Q95" s="951"/>
      <c r="R95" s="951"/>
    </row>
    <row r="96" spans="1:18" s="959" customFormat="1" ht="19.5" customHeight="1" x14ac:dyDescent="0.25">
      <c r="A96" s="957"/>
      <c r="B96" s="956"/>
      <c r="C96" s="958"/>
      <c r="D96" s="956"/>
      <c r="E96" s="956"/>
      <c r="F96" s="951"/>
      <c r="G96" s="951"/>
      <c r="H96" s="951"/>
      <c r="I96" s="951"/>
      <c r="J96" s="951"/>
      <c r="K96" s="951"/>
      <c r="L96" s="951"/>
      <c r="M96" s="951"/>
      <c r="N96" s="951"/>
      <c r="O96" s="951"/>
      <c r="P96" s="951"/>
      <c r="Q96" s="951"/>
      <c r="R96" s="951"/>
    </row>
    <row r="97" spans="1:18" s="959" customFormat="1" ht="19.5" customHeight="1" x14ac:dyDescent="0.25">
      <c r="A97" s="957"/>
      <c r="B97" s="956"/>
      <c r="C97" s="958"/>
      <c r="D97" s="956"/>
      <c r="E97" s="956"/>
      <c r="F97" s="951"/>
      <c r="G97" s="951"/>
      <c r="H97" s="951"/>
      <c r="I97" s="951"/>
      <c r="J97" s="951"/>
      <c r="K97" s="951"/>
      <c r="L97" s="951"/>
      <c r="M97" s="951"/>
      <c r="N97" s="951"/>
      <c r="O97" s="951"/>
      <c r="P97" s="951"/>
      <c r="Q97" s="951"/>
      <c r="R97" s="951"/>
    </row>
    <row r="98" spans="1:18" s="959" customFormat="1" ht="19.5" customHeight="1" x14ac:dyDescent="0.25">
      <c r="A98" s="957"/>
      <c r="B98" s="956"/>
      <c r="C98" s="958"/>
      <c r="D98" s="956"/>
      <c r="E98" s="956"/>
      <c r="F98" s="951"/>
      <c r="G98" s="951"/>
      <c r="H98" s="951"/>
      <c r="I98" s="951"/>
      <c r="J98" s="951"/>
      <c r="K98" s="951"/>
      <c r="L98" s="951"/>
      <c r="M98" s="951"/>
      <c r="N98" s="951"/>
      <c r="O98" s="951"/>
      <c r="P98" s="951"/>
      <c r="Q98" s="951"/>
      <c r="R98" s="951"/>
    </row>
    <row r="99" spans="1:18" s="959" customFormat="1" ht="19.5" customHeight="1" x14ac:dyDescent="0.25">
      <c r="A99" s="957"/>
      <c r="B99" s="956"/>
      <c r="C99" s="958"/>
      <c r="D99" s="956"/>
      <c r="E99" s="956"/>
      <c r="F99" s="951"/>
      <c r="G99" s="951"/>
      <c r="H99" s="951"/>
      <c r="I99" s="951"/>
      <c r="J99" s="951"/>
      <c r="K99" s="951"/>
      <c r="L99" s="951"/>
      <c r="M99" s="951"/>
      <c r="N99" s="951"/>
      <c r="O99" s="951"/>
      <c r="P99" s="951"/>
      <c r="Q99" s="951"/>
      <c r="R99" s="951"/>
    </row>
    <row r="100" spans="1:18" s="959" customFormat="1" ht="19.5" customHeight="1" x14ac:dyDescent="0.25">
      <c r="A100" s="957"/>
      <c r="B100" s="956"/>
      <c r="C100" s="958"/>
      <c r="D100" s="956"/>
      <c r="E100" s="956"/>
      <c r="F100" s="951"/>
      <c r="G100" s="951"/>
      <c r="H100" s="951"/>
      <c r="I100" s="951"/>
      <c r="J100" s="951"/>
      <c r="K100" s="951"/>
      <c r="L100" s="951"/>
      <c r="M100" s="951"/>
      <c r="N100" s="951"/>
      <c r="O100" s="951"/>
      <c r="P100" s="951"/>
      <c r="Q100" s="951"/>
      <c r="R100" s="951"/>
    </row>
    <row r="101" spans="1:18" s="959" customFormat="1" ht="19.5" customHeight="1" x14ac:dyDescent="0.25">
      <c r="A101" s="957"/>
      <c r="B101" s="956"/>
      <c r="C101" s="958"/>
      <c r="D101" s="956"/>
      <c r="E101" s="956"/>
      <c r="F101" s="951"/>
      <c r="G101" s="951"/>
      <c r="H101" s="951"/>
      <c r="I101" s="951"/>
      <c r="J101" s="951"/>
      <c r="K101" s="951"/>
      <c r="L101" s="951"/>
      <c r="M101" s="951"/>
      <c r="N101" s="951"/>
      <c r="O101" s="951"/>
      <c r="P101" s="951"/>
      <c r="Q101" s="951"/>
      <c r="R101" s="951"/>
    </row>
    <row r="102" spans="1:18" s="959" customFormat="1" ht="19.5" customHeight="1" x14ac:dyDescent="0.25">
      <c r="A102" s="957"/>
      <c r="B102" s="956"/>
      <c r="C102" s="958"/>
      <c r="D102" s="956"/>
      <c r="E102" s="956"/>
      <c r="F102" s="951"/>
      <c r="G102" s="951"/>
      <c r="H102" s="951"/>
      <c r="I102" s="951"/>
      <c r="J102" s="951"/>
      <c r="K102" s="951"/>
      <c r="L102" s="951"/>
      <c r="M102" s="951"/>
      <c r="N102" s="951"/>
      <c r="O102" s="951"/>
      <c r="P102" s="951"/>
      <c r="Q102" s="951"/>
      <c r="R102" s="951"/>
    </row>
    <row r="103" spans="1:18" s="959" customFormat="1" ht="19.5" customHeight="1" x14ac:dyDescent="0.25">
      <c r="A103" s="957"/>
      <c r="B103" s="956"/>
      <c r="C103" s="958"/>
      <c r="D103" s="956"/>
      <c r="E103" s="956"/>
      <c r="F103" s="951"/>
      <c r="G103" s="951"/>
      <c r="H103" s="951"/>
      <c r="I103" s="951"/>
      <c r="J103" s="951"/>
      <c r="K103" s="951"/>
      <c r="L103" s="951"/>
      <c r="M103" s="951"/>
      <c r="N103" s="951"/>
      <c r="O103" s="951"/>
      <c r="P103" s="951"/>
      <c r="Q103" s="951"/>
      <c r="R103" s="951"/>
    </row>
    <row r="104" spans="1:18" s="959" customFormat="1" ht="19.5" customHeight="1" x14ac:dyDescent="0.25">
      <c r="A104" s="960"/>
      <c r="B104" s="956"/>
      <c r="C104" s="958"/>
      <c r="D104" s="956"/>
      <c r="E104" s="956"/>
      <c r="F104" s="951"/>
      <c r="G104" s="951"/>
      <c r="H104" s="951"/>
      <c r="I104" s="951"/>
      <c r="J104" s="951"/>
      <c r="K104" s="951"/>
      <c r="L104" s="951"/>
      <c r="M104" s="951"/>
      <c r="N104" s="951"/>
      <c r="O104" s="951"/>
      <c r="P104" s="951"/>
      <c r="Q104" s="951"/>
      <c r="R104" s="951"/>
    </row>
    <row r="105" spans="1:18" s="959" customFormat="1" ht="19.5" customHeight="1" x14ac:dyDescent="0.25">
      <c r="A105" s="960"/>
      <c r="B105" s="956"/>
      <c r="C105" s="958"/>
      <c r="D105" s="956"/>
      <c r="E105" s="956"/>
      <c r="F105" s="951"/>
      <c r="G105" s="951"/>
      <c r="H105" s="951"/>
      <c r="I105" s="951"/>
      <c r="J105" s="951"/>
      <c r="K105" s="951"/>
      <c r="L105" s="951"/>
      <c r="M105" s="951"/>
      <c r="N105" s="951"/>
      <c r="O105" s="951"/>
      <c r="P105" s="951"/>
      <c r="Q105" s="951"/>
      <c r="R105" s="951"/>
    </row>
    <row r="106" spans="1:18" s="959" customFormat="1" ht="19.5" customHeight="1" x14ac:dyDescent="0.25">
      <c r="A106" s="960"/>
      <c r="B106" s="956"/>
      <c r="C106" s="958"/>
      <c r="D106" s="956"/>
      <c r="E106" s="956"/>
      <c r="F106" s="951"/>
      <c r="G106" s="951"/>
      <c r="H106" s="951"/>
      <c r="I106" s="951"/>
      <c r="J106" s="951"/>
      <c r="K106" s="951"/>
      <c r="L106" s="951"/>
      <c r="M106" s="951"/>
      <c r="N106" s="951"/>
      <c r="O106" s="951"/>
      <c r="P106" s="951"/>
      <c r="Q106" s="951"/>
      <c r="R106" s="951"/>
    </row>
    <row r="107" spans="1:18" s="959" customFormat="1" ht="19.5" customHeight="1" x14ac:dyDescent="0.25">
      <c r="A107" s="960"/>
      <c r="B107" s="956"/>
      <c r="C107" s="958"/>
      <c r="D107" s="956"/>
      <c r="E107" s="956"/>
      <c r="F107" s="951"/>
      <c r="G107" s="951"/>
      <c r="H107" s="951"/>
      <c r="I107" s="951"/>
      <c r="J107" s="951"/>
      <c r="K107" s="951"/>
      <c r="L107" s="951"/>
      <c r="M107" s="951"/>
      <c r="N107" s="951"/>
      <c r="O107" s="951"/>
      <c r="P107" s="951"/>
      <c r="Q107" s="951"/>
      <c r="R107" s="951"/>
    </row>
    <row r="108" spans="1:18" s="959" customFormat="1" ht="19.5" customHeight="1" x14ac:dyDescent="0.25">
      <c r="A108" s="960"/>
      <c r="B108" s="956"/>
      <c r="C108" s="958"/>
      <c r="D108" s="956"/>
      <c r="E108" s="956"/>
      <c r="F108" s="951"/>
      <c r="G108" s="951"/>
      <c r="H108" s="951"/>
      <c r="I108" s="951"/>
      <c r="J108" s="951"/>
      <c r="K108" s="951"/>
      <c r="L108" s="951"/>
      <c r="M108" s="951"/>
      <c r="N108" s="951"/>
      <c r="O108" s="951"/>
      <c r="P108" s="951"/>
      <c r="Q108" s="951"/>
      <c r="R108" s="951"/>
    </row>
    <row r="109" spans="1:18" s="959" customFormat="1" ht="19.5" customHeight="1" x14ac:dyDescent="0.25">
      <c r="A109" s="960"/>
      <c r="B109" s="956"/>
      <c r="C109" s="958"/>
      <c r="D109" s="956"/>
      <c r="E109" s="956"/>
      <c r="F109" s="951"/>
      <c r="G109" s="951"/>
      <c r="H109" s="951"/>
      <c r="I109" s="951"/>
      <c r="J109" s="951"/>
      <c r="K109" s="951"/>
      <c r="L109" s="951"/>
      <c r="M109" s="951"/>
      <c r="N109" s="951"/>
      <c r="O109" s="951"/>
      <c r="P109" s="951"/>
      <c r="Q109" s="951"/>
      <c r="R109" s="951"/>
    </row>
    <row r="110" spans="1:18" s="959" customFormat="1" ht="19.5" customHeight="1" x14ac:dyDescent="0.25">
      <c r="A110" s="960"/>
      <c r="B110" s="956"/>
      <c r="C110" s="958"/>
      <c r="D110" s="956"/>
      <c r="E110" s="956"/>
      <c r="F110" s="951"/>
      <c r="G110" s="951"/>
      <c r="H110" s="951"/>
      <c r="I110" s="951"/>
      <c r="J110" s="951"/>
      <c r="K110" s="951"/>
      <c r="L110" s="951"/>
      <c r="M110" s="951"/>
      <c r="N110" s="951"/>
      <c r="O110" s="951"/>
      <c r="P110" s="951"/>
      <c r="Q110" s="951"/>
      <c r="R110" s="951"/>
    </row>
    <row r="111" spans="1:18" s="959" customFormat="1" ht="19.5" customHeight="1" x14ac:dyDescent="0.25">
      <c r="A111" s="960"/>
      <c r="B111" s="956"/>
      <c r="C111" s="958"/>
      <c r="D111" s="956"/>
      <c r="E111" s="956"/>
      <c r="F111" s="951"/>
      <c r="G111" s="951"/>
      <c r="H111" s="951"/>
      <c r="I111" s="951"/>
      <c r="J111" s="951"/>
      <c r="K111" s="951"/>
      <c r="L111" s="951"/>
      <c r="M111" s="951"/>
      <c r="N111" s="951"/>
      <c r="O111" s="951"/>
      <c r="P111" s="951"/>
      <c r="Q111" s="951"/>
      <c r="R111" s="951"/>
    </row>
    <row r="112" spans="1:18" s="959" customFormat="1" ht="19.5" customHeight="1" x14ac:dyDescent="0.25">
      <c r="A112" s="960"/>
      <c r="B112" s="956"/>
      <c r="C112" s="958"/>
      <c r="D112" s="956"/>
      <c r="E112" s="956"/>
      <c r="F112" s="951"/>
      <c r="G112" s="951"/>
      <c r="H112" s="951"/>
      <c r="I112" s="951"/>
      <c r="J112" s="951"/>
      <c r="K112" s="951"/>
      <c r="L112" s="951"/>
      <c r="M112" s="951"/>
      <c r="N112" s="951"/>
      <c r="O112" s="951"/>
      <c r="P112" s="951"/>
      <c r="Q112" s="951"/>
      <c r="R112" s="951"/>
    </row>
    <row r="113" spans="1:18" s="959" customFormat="1" ht="19.5" customHeight="1" x14ac:dyDescent="0.25">
      <c r="A113" s="960"/>
      <c r="B113" s="956"/>
      <c r="C113" s="958"/>
      <c r="D113" s="956"/>
      <c r="E113" s="956"/>
      <c r="F113" s="951"/>
      <c r="G113" s="951"/>
      <c r="H113" s="951"/>
      <c r="I113" s="951"/>
      <c r="J113" s="951"/>
      <c r="K113" s="951"/>
      <c r="L113" s="951"/>
      <c r="M113" s="951"/>
      <c r="N113" s="951"/>
      <c r="O113" s="951"/>
      <c r="P113" s="951"/>
      <c r="Q113" s="951"/>
      <c r="R113" s="951"/>
    </row>
    <row r="114" spans="1:18" s="959" customFormat="1" ht="19.5" customHeight="1" x14ac:dyDescent="0.25">
      <c r="A114" s="960"/>
      <c r="B114" s="956"/>
      <c r="C114" s="958"/>
      <c r="D114" s="956"/>
      <c r="E114" s="956"/>
      <c r="F114" s="951"/>
      <c r="G114" s="951"/>
      <c r="H114" s="951"/>
      <c r="I114" s="951"/>
      <c r="J114" s="951"/>
      <c r="K114" s="951"/>
      <c r="L114" s="951"/>
      <c r="M114" s="951"/>
      <c r="N114" s="951"/>
      <c r="O114" s="951"/>
      <c r="P114" s="951"/>
      <c r="Q114" s="951"/>
      <c r="R114" s="951"/>
    </row>
    <row r="115" spans="1:18" s="959" customFormat="1" ht="19.5" customHeight="1" x14ac:dyDescent="0.25">
      <c r="A115" s="960"/>
      <c r="B115" s="956"/>
      <c r="C115" s="958"/>
      <c r="D115" s="956"/>
      <c r="E115" s="956"/>
      <c r="F115" s="951"/>
      <c r="G115" s="951"/>
      <c r="H115" s="951"/>
      <c r="I115" s="951"/>
      <c r="J115" s="951"/>
      <c r="K115" s="951"/>
      <c r="L115" s="951"/>
      <c r="M115" s="951"/>
      <c r="N115" s="951"/>
      <c r="O115" s="951"/>
      <c r="P115" s="951"/>
      <c r="Q115" s="951"/>
      <c r="R115" s="951"/>
    </row>
    <row r="116" spans="1:18" s="959" customFormat="1" ht="19.5" customHeight="1" x14ac:dyDescent="0.25">
      <c r="A116" s="960"/>
      <c r="B116" s="956"/>
      <c r="C116" s="958"/>
      <c r="D116" s="956"/>
      <c r="E116" s="956"/>
      <c r="F116" s="951"/>
      <c r="G116" s="951"/>
      <c r="H116" s="951"/>
      <c r="I116" s="951"/>
      <c r="J116" s="951"/>
      <c r="K116" s="951"/>
      <c r="L116" s="951"/>
      <c r="M116" s="951"/>
      <c r="N116" s="951"/>
      <c r="O116" s="951"/>
      <c r="P116" s="951"/>
      <c r="Q116" s="951"/>
      <c r="R116" s="951"/>
    </row>
    <row r="117" spans="1:18" s="959" customFormat="1" ht="19.5" customHeight="1" x14ac:dyDescent="0.25">
      <c r="A117" s="960"/>
      <c r="B117" s="956"/>
      <c r="C117" s="958"/>
      <c r="D117" s="956"/>
      <c r="E117" s="956"/>
      <c r="F117" s="951"/>
      <c r="G117" s="951"/>
      <c r="H117" s="951"/>
      <c r="I117" s="951"/>
      <c r="J117" s="951"/>
      <c r="K117" s="951"/>
      <c r="L117" s="951"/>
      <c r="M117" s="951"/>
      <c r="N117" s="951"/>
      <c r="O117" s="951"/>
      <c r="P117" s="951"/>
      <c r="Q117" s="951"/>
      <c r="R117" s="951"/>
    </row>
    <row r="118" spans="1:18" s="959" customFormat="1" ht="19.5" customHeight="1" x14ac:dyDescent="0.25">
      <c r="A118" s="960"/>
      <c r="B118" s="956"/>
      <c r="C118" s="958"/>
      <c r="D118" s="956"/>
      <c r="E118" s="956"/>
      <c r="F118" s="951"/>
      <c r="G118" s="951"/>
      <c r="H118" s="951"/>
      <c r="I118" s="951"/>
      <c r="J118" s="951"/>
      <c r="K118" s="951"/>
      <c r="L118" s="951"/>
      <c r="M118" s="951"/>
      <c r="N118" s="951"/>
      <c r="O118" s="951"/>
      <c r="P118" s="951"/>
      <c r="Q118" s="951"/>
      <c r="R118" s="951"/>
    </row>
    <row r="119" spans="1:18" s="959" customFormat="1" ht="19.5" customHeight="1" x14ac:dyDescent="0.25">
      <c r="A119" s="960"/>
      <c r="B119" s="956"/>
      <c r="C119" s="958"/>
      <c r="D119" s="956"/>
      <c r="E119" s="956"/>
      <c r="F119" s="951"/>
      <c r="G119" s="951"/>
      <c r="H119" s="951"/>
      <c r="I119" s="951"/>
      <c r="J119" s="951"/>
      <c r="K119" s="951"/>
      <c r="L119" s="951"/>
      <c r="M119" s="951"/>
      <c r="N119" s="951"/>
      <c r="O119" s="951"/>
      <c r="P119" s="951"/>
      <c r="Q119" s="951"/>
      <c r="R119" s="951"/>
    </row>
    <row r="120" spans="1:18" s="959" customFormat="1" ht="19.5" customHeight="1" x14ac:dyDescent="0.25">
      <c r="A120" s="960"/>
      <c r="B120" s="956"/>
      <c r="C120" s="958"/>
      <c r="D120" s="956"/>
      <c r="E120" s="956"/>
      <c r="F120" s="951"/>
      <c r="G120" s="951"/>
      <c r="H120" s="951"/>
      <c r="I120" s="951"/>
      <c r="J120" s="951"/>
      <c r="K120" s="951"/>
      <c r="L120" s="951"/>
      <c r="M120" s="951"/>
      <c r="N120" s="951"/>
      <c r="O120" s="951"/>
      <c r="P120" s="951"/>
      <c r="Q120" s="951"/>
      <c r="R120" s="951"/>
    </row>
    <row r="121" spans="1:18" s="959" customFormat="1" ht="19.5" customHeight="1" x14ac:dyDescent="0.25">
      <c r="A121" s="960"/>
      <c r="B121" s="956"/>
      <c r="C121" s="958"/>
      <c r="D121" s="956"/>
      <c r="E121" s="956"/>
      <c r="F121" s="951"/>
      <c r="G121" s="951"/>
      <c r="H121" s="951"/>
      <c r="I121" s="951"/>
      <c r="J121" s="951"/>
      <c r="K121" s="951"/>
      <c r="L121" s="951"/>
      <c r="M121" s="951"/>
      <c r="N121" s="951"/>
      <c r="O121" s="951"/>
      <c r="P121" s="951"/>
      <c r="Q121" s="951"/>
      <c r="R121" s="951"/>
    </row>
    <row r="122" spans="1:18" s="959" customFormat="1" ht="19.5" customHeight="1" x14ac:dyDescent="0.25">
      <c r="A122" s="960"/>
      <c r="B122" s="956"/>
      <c r="C122" s="958"/>
      <c r="D122" s="956"/>
      <c r="E122" s="956"/>
      <c r="F122" s="951"/>
      <c r="G122" s="951"/>
      <c r="H122" s="951"/>
      <c r="I122" s="951"/>
      <c r="J122" s="951"/>
      <c r="K122" s="951"/>
      <c r="L122" s="951"/>
      <c r="M122" s="951"/>
      <c r="N122" s="951"/>
      <c r="O122" s="951"/>
      <c r="P122" s="951"/>
      <c r="Q122" s="951"/>
      <c r="R122" s="951"/>
    </row>
    <row r="123" spans="1:18" s="959" customFormat="1" ht="19.5" customHeight="1" x14ac:dyDescent="0.25">
      <c r="A123" s="960"/>
      <c r="B123" s="956"/>
      <c r="C123" s="958"/>
      <c r="D123" s="956"/>
      <c r="E123" s="956"/>
      <c r="F123" s="951"/>
      <c r="G123" s="951"/>
      <c r="H123" s="951"/>
      <c r="I123" s="951"/>
      <c r="J123" s="951"/>
      <c r="K123" s="951"/>
      <c r="L123" s="951"/>
      <c r="M123" s="951"/>
      <c r="N123" s="951"/>
      <c r="O123" s="951"/>
      <c r="P123" s="951"/>
      <c r="Q123" s="951"/>
      <c r="R123" s="951"/>
    </row>
    <row r="124" spans="1:18" s="959" customFormat="1" ht="19.5" customHeight="1" x14ac:dyDescent="0.25">
      <c r="A124" s="960"/>
      <c r="B124" s="956"/>
      <c r="C124" s="958"/>
      <c r="D124" s="956"/>
      <c r="E124" s="956"/>
      <c r="F124" s="951"/>
      <c r="G124" s="951"/>
      <c r="H124" s="951"/>
      <c r="I124" s="951"/>
      <c r="J124" s="951"/>
      <c r="K124" s="951"/>
      <c r="L124" s="951"/>
      <c r="M124" s="951"/>
      <c r="N124" s="951"/>
      <c r="O124" s="951"/>
      <c r="P124" s="951"/>
      <c r="Q124" s="951"/>
      <c r="R124" s="951"/>
    </row>
    <row r="125" spans="1:18" s="959" customFormat="1" ht="19.5" customHeight="1" x14ac:dyDescent="0.25">
      <c r="A125" s="960"/>
      <c r="B125" s="956"/>
      <c r="C125" s="958"/>
      <c r="D125" s="956"/>
      <c r="E125" s="956"/>
      <c r="F125" s="951"/>
      <c r="G125" s="951"/>
      <c r="H125" s="951"/>
      <c r="I125" s="951"/>
      <c r="J125" s="951"/>
      <c r="K125" s="951"/>
      <c r="L125" s="951"/>
      <c r="M125" s="951"/>
      <c r="N125" s="951"/>
      <c r="O125" s="951"/>
      <c r="P125" s="951"/>
      <c r="Q125" s="951"/>
      <c r="R125" s="951"/>
    </row>
    <row r="126" spans="1:18" s="959" customFormat="1" ht="19.5" customHeight="1" x14ac:dyDescent="0.25">
      <c r="A126" s="960"/>
      <c r="B126" s="956"/>
      <c r="C126" s="958"/>
      <c r="D126" s="956"/>
      <c r="E126" s="956"/>
      <c r="F126" s="951"/>
      <c r="G126" s="951"/>
      <c r="H126" s="951"/>
      <c r="I126" s="951"/>
      <c r="J126" s="951"/>
      <c r="K126" s="951"/>
      <c r="L126" s="951"/>
      <c r="M126" s="951"/>
      <c r="N126" s="951"/>
      <c r="O126" s="951"/>
      <c r="P126" s="951"/>
      <c r="Q126" s="951"/>
      <c r="R126" s="951"/>
    </row>
    <row r="127" spans="1:18" s="959" customFormat="1" ht="19.5" customHeight="1" x14ac:dyDescent="0.25">
      <c r="A127" s="960"/>
      <c r="B127" s="956"/>
      <c r="C127" s="958"/>
      <c r="D127" s="956"/>
      <c r="E127" s="956"/>
      <c r="F127" s="951"/>
      <c r="G127" s="951"/>
      <c r="H127" s="951"/>
      <c r="I127" s="951"/>
      <c r="J127" s="951"/>
      <c r="K127" s="951"/>
      <c r="L127" s="951"/>
      <c r="M127" s="951"/>
      <c r="N127" s="951"/>
      <c r="O127" s="951"/>
      <c r="P127" s="951"/>
      <c r="Q127" s="951"/>
      <c r="R127" s="951"/>
    </row>
    <row r="128" spans="1:18" s="959" customFormat="1" ht="19.5" customHeight="1" x14ac:dyDescent="0.25">
      <c r="A128" s="960"/>
      <c r="B128" s="956"/>
      <c r="C128" s="958"/>
      <c r="D128" s="956"/>
      <c r="E128" s="956"/>
      <c r="F128" s="951"/>
      <c r="G128" s="951"/>
      <c r="H128" s="951"/>
      <c r="I128" s="951"/>
      <c r="J128" s="951"/>
      <c r="K128" s="951"/>
      <c r="L128" s="951"/>
      <c r="M128" s="951"/>
      <c r="N128" s="951"/>
      <c r="O128" s="951"/>
      <c r="P128" s="951"/>
      <c r="Q128" s="951"/>
      <c r="R128" s="951"/>
    </row>
    <row r="129" spans="1:18" s="959" customFormat="1" ht="19.5" customHeight="1" x14ac:dyDescent="0.25">
      <c r="A129" s="960"/>
      <c r="B129" s="956"/>
      <c r="C129" s="958"/>
      <c r="D129" s="956"/>
      <c r="E129" s="956"/>
      <c r="F129" s="951"/>
      <c r="G129" s="951"/>
      <c r="H129" s="951"/>
      <c r="I129" s="951"/>
      <c r="J129" s="951"/>
      <c r="K129" s="951"/>
      <c r="L129" s="951"/>
      <c r="M129" s="951"/>
      <c r="N129" s="951"/>
      <c r="O129" s="951"/>
      <c r="P129" s="951"/>
      <c r="Q129" s="951"/>
      <c r="R129" s="951"/>
    </row>
    <row r="130" spans="1:18" s="959" customFormat="1" ht="19.5" customHeight="1" x14ac:dyDescent="0.25">
      <c r="A130" s="960"/>
      <c r="B130" s="956"/>
      <c r="C130" s="958"/>
      <c r="D130" s="956"/>
      <c r="E130" s="956"/>
      <c r="F130" s="951"/>
      <c r="G130" s="951"/>
      <c r="H130" s="951"/>
      <c r="I130" s="951"/>
      <c r="J130" s="951"/>
      <c r="K130" s="951"/>
      <c r="L130" s="951"/>
      <c r="M130" s="951"/>
      <c r="N130" s="951"/>
      <c r="O130" s="951"/>
      <c r="P130" s="951"/>
      <c r="Q130" s="951"/>
      <c r="R130" s="951"/>
    </row>
    <row r="131" spans="1:18" s="959" customFormat="1" ht="19.5" customHeight="1" x14ac:dyDescent="0.25">
      <c r="A131" s="960"/>
      <c r="B131" s="956"/>
      <c r="C131" s="958"/>
      <c r="D131" s="956"/>
      <c r="E131" s="956"/>
      <c r="F131" s="951"/>
      <c r="G131" s="951"/>
      <c r="H131" s="951"/>
      <c r="I131" s="951"/>
      <c r="J131" s="951"/>
      <c r="K131" s="951"/>
      <c r="L131" s="951"/>
      <c r="M131" s="951"/>
      <c r="N131" s="951"/>
      <c r="O131" s="951"/>
      <c r="P131" s="951"/>
      <c r="Q131" s="951"/>
      <c r="R131" s="951"/>
    </row>
    <row r="132" spans="1:18" s="959" customFormat="1" ht="19.5" customHeight="1" x14ac:dyDescent="0.25">
      <c r="A132" s="960"/>
      <c r="B132" s="956"/>
      <c r="C132" s="958"/>
      <c r="D132" s="956"/>
      <c r="E132" s="956"/>
      <c r="F132" s="951"/>
      <c r="G132" s="951"/>
      <c r="H132" s="951"/>
      <c r="I132" s="951"/>
      <c r="J132" s="951"/>
      <c r="K132" s="951"/>
      <c r="L132" s="951"/>
      <c r="M132" s="951"/>
      <c r="N132" s="951"/>
      <c r="O132" s="951"/>
      <c r="P132" s="951"/>
      <c r="Q132" s="951"/>
      <c r="R132" s="951"/>
    </row>
    <row r="133" spans="1:18" s="959" customFormat="1" ht="19.5" customHeight="1" x14ac:dyDescent="0.25">
      <c r="A133" s="960"/>
      <c r="B133" s="956"/>
      <c r="C133" s="958"/>
      <c r="D133" s="956"/>
      <c r="E133" s="956"/>
      <c r="F133" s="951"/>
      <c r="G133" s="951"/>
      <c r="H133" s="951"/>
      <c r="I133" s="951"/>
      <c r="J133" s="951"/>
      <c r="K133" s="951"/>
      <c r="L133" s="951"/>
      <c r="M133" s="951"/>
      <c r="N133" s="951"/>
      <c r="O133" s="951"/>
      <c r="P133" s="951"/>
      <c r="Q133" s="951"/>
      <c r="R133" s="951"/>
    </row>
    <row r="134" spans="1:18" s="959" customFormat="1" ht="19.5" customHeight="1" x14ac:dyDescent="0.25">
      <c r="A134" s="960"/>
      <c r="B134" s="956"/>
      <c r="C134" s="958"/>
      <c r="D134" s="956"/>
      <c r="E134" s="956"/>
      <c r="F134" s="951"/>
      <c r="G134" s="951"/>
      <c r="H134" s="951"/>
      <c r="I134" s="951"/>
      <c r="J134" s="951"/>
      <c r="K134" s="951"/>
      <c r="L134" s="951"/>
      <c r="M134" s="951"/>
      <c r="N134" s="951"/>
      <c r="O134" s="951"/>
      <c r="P134" s="951"/>
      <c r="Q134" s="951"/>
      <c r="R134" s="951"/>
    </row>
    <row r="135" spans="1:18" s="959" customFormat="1" ht="19.5" customHeight="1" x14ac:dyDescent="0.25">
      <c r="A135" s="960"/>
      <c r="B135" s="956"/>
      <c r="C135" s="958"/>
      <c r="D135" s="956"/>
      <c r="E135" s="956"/>
      <c r="F135" s="951"/>
      <c r="G135" s="951"/>
      <c r="H135" s="951"/>
      <c r="I135" s="951"/>
      <c r="J135" s="951"/>
      <c r="K135" s="951"/>
      <c r="L135" s="951"/>
      <c r="M135" s="951"/>
      <c r="N135" s="951"/>
      <c r="O135" s="951"/>
      <c r="P135" s="951"/>
      <c r="Q135" s="951"/>
      <c r="R135" s="951"/>
    </row>
    <row r="136" spans="1:18" s="959" customFormat="1" ht="19.5" customHeight="1" x14ac:dyDescent="0.25">
      <c r="A136" s="960"/>
      <c r="B136" s="956"/>
      <c r="C136" s="958"/>
      <c r="D136" s="956"/>
      <c r="E136" s="956"/>
      <c r="F136" s="951"/>
      <c r="G136" s="951"/>
      <c r="H136" s="951"/>
      <c r="I136" s="951"/>
      <c r="J136" s="951"/>
      <c r="K136" s="951"/>
      <c r="L136" s="951"/>
      <c r="M136" s="951"/>
      <c r="N136" s="951"/>
      <c r="O136" s="951"/>
      <c r="P136" s="951"/>
      <c r="Q136" s="951"/>
      <c r="R136" s="951"/>
    </row>
    <row r="137" spans="1:18" s="959" customFormat="1" ht="19.5" customHeight="1" x14ac:dyDescent="0.25">
      <c r="A137" s="960"/>
      <c r="B137" s="956"/>
      <c r="C137" s="958"/>
      <c r="D137" s="956"/>
      <c r="E137" s="956"/>
      <c r="F137" s="951"/>
      <c r="G137" s="951"/>
      <c r="H137" s="951"/>
      <c r="I137" s="951"/>
      <c r="J137" s="951"/>
      <c r="K137" s="951"/>
      <c r="L137" s="951"/>
      <c r="M137" s="951"/>
      <c r="N137" s="951"/>
      <c r="O137" s="951"/>
      <c r="P137" s="951"/>
      <c r="Q137" s="951"/>
      <c r="R137" s="951"/>
    </row>
    <row r="138" spans="1:18" s="959" customFormat="1" ht="19.5" customHeight="1" x14ac:dyDescent="0.25">
      <c r="A138" s="960"/>
      <c r="B138" s="956"/>
      <c r="C138" s="958"/>
      <c r="D138" s="956"/>
      <c r="E138" s="956"/>
      <c r="F138" s="951"/>
      <c r="G138" s="951"/>
      <c r="H138" s="951"/>
      <c r="I138" s="951"/>
      <c r="J138" s="951"/>
      <c r="K138" s="951"/>
      <c r="L138" s="951"/>
      <c r="M138" s="951"/>
      <c r="N138" s="951"/>
      <c r="O138" s="951"/>
      <c r="P138" s="951"/>
      <c r="Q138" s="951"/>
      <c r="R138" s="951"/>
    </row>
    <row r="139" spans="1:18" s="959" customFormat="1" ht="19.5" customHeight="1" x14ac:dyDescent="0.25">
      <c r="A139" s="960"/>
      <c r="B139" s="956"/>
      <c r="C139" s="958"/>
      <c r="D139" s="956"/>
      <c r="E139" s="956"/>
      <c r="F139" s="951"/>
      <c r="G139" s="951"/>
      <c r="H139" s="951"/>
      <c r="I139" s="951"/>
      <c r="J139" s="951"/>
      <c r="K139" s="951"/>
      <c r="L139" s="951"/>
      <c r="M139" s="951"/>
      <c r="N139" s="951"/>
      <c r="O139" s="951"/>
      <c r="P139" s="951"/>
      <c r="Q139" s="951"/>
      <c r="R139" s="951"/>
    </row>
    <row r="140" spans="1:18" s="959" customFormat="1" ht="19.5" customHeight="1" x14ac:dyDescent="0.25">
      <c r="A140" s="960"/>
      <c r="B140" s="956"/>
      <c r="C140" s="958"/>
      <c r="D140" s="956"/>
      <c r="E140" s="956"/>
      <c r="F140" s="951"/>
      <c r="G140" s="951"/>
      <c r="H140" s="951"/>
      <c r="I140" s="951"/>
      <c r="J140" s="951"/>
      <c r="K140" s="951"/>
      <c r="L140" s="951"/>
      <c r="M140" s="951"/>
      <c r="N140" s="951"/>
      <c r="O140" s="951"/>
      <c r="P140" s="951"/>
      <c r="Q140" s="951"/>
      <c r="R140" s="951"/>
    </row>
    <row r="141" spans="1:18" s="959" customFormat="1" ht="19.5" customHeight="1" x14ac:dyDescent="0.25">
      <c r="A141" s="960"/>
      <c r="B141" s="956"/>
      <c r="C141" s="958"/>
      <c r="D141" s="956"/>
      <c r="E141" s="956"/>
      <c r="F141" s="951"/>
      <c r="G141" s="951"/>
      <c r="H141" s="951"/>
      <c r="I141" s="951"/>
      <c r="J141" s="951"/>
      <c r="K141" s="951"/>
      <c r="L141" s="951"/>
      <c r="M141" s="951"/>
      <c r="N141" s="951"/>
      <c r="O141" s="951"/>
      <c r="P141" s="951"/>
      <c r="Q141" s="951"/>
      <c r="R141" s="951"/>
    </row>
    <row r="142" spans="1:18" s="959" customFormat="1" ht="19.5" customHeight="1" x14ac:dyDescent="0.25">
      <c r="A142" s="960"/>
      <c r="B142" s="956"/>
      <c r="C142" s="958"/>
      <c r="D142" s="956"/>
      <c r="E142" s="956"/>
      <c r="F142" s="951"/>
      <c r="G142" s="951"/>
      <c r="H142" s="951"/>
      <c r="I142" s="951"/>
      <c r="J142" s="951"/>
      <c r="K142" s="951"/>
      <c r="L142" s="951"/>
      <c r="M142" s="951"/>
      <c r="N142" s="951"/>
      <c r="O142" s="951"/>
      <c r="P142" s="951"/>
      <c r="Q142" s="951"/>
      <c r="R142" s="951"/>
    </row>
    <row r="143" spans="1:18" s="959" customFormat="1" ht="19.5" customHeight="1" x14ac:dyDescent="0.25">
      <c r="A143" s="960"/>
      <c r="B143" s="956"/>
      <c r="C143" s="958"/>
      <c r="D143" s="956"/>
      <c r="E143" s="956"/>
      <c r="F143" s="951"/>
      <c r="G143" s="951"/>
      <c r="H143" s="951"/>
      <c r="I143" s="951"/>
      <c r="J143" s="951"/>
      <c r="K143" s="951"/>
      <c r="L143" s="951"/>
      <c r="M143" s="951"/>
      <c r="N143" s="951"/>
      <c r="O143" s="951"/>
      <c r="P143" s="951"/>
      <c r="Q143" s="951"/>
      <c r="R143" s="951"/>
    </row>
    <row r="144" spans="1:18" s="959" customFormat="1" ht="19.5" customHeight="1" x14ac:dyDescent="0.25">
      <c r="A144" s="960"/>
      <c r="B144" s="956"/>
      <c r="C144" s="958"/>
      <c r="D144" s="956"/>
      <c r="E144" s="956"/>
      <c r="F144" s="951"/>
      <c r="G144" s="951"/>
      <c r="H144" s="951"/>
      <c r="I144" s="951"/>
      <c r="J144" s="951"/>
      <c r="K144" s="951"/>
      <c r="L144" s="951"/>
      <c r="M144" s="951"/>
      <c r="N144" s="951"/>
      <c r="O144" s="951"/>
      <c r="P144" s="951"/>
      <c r="Q144" s="951"/>
      <c r="R144" s="951"/>
    </row>
    <row r="145" spans="1:18" s="959" customFormat="1" ht="19.5" customHeight="1" x14ac:dyDescent="0.25">
      <c r="A145" s="960"/>
      <c r="B145" s="956"/>
      <c r="C145" s="958"/>
      <c r="D145" s="956"/>
      <c r="E145" s="956"/>
      <c r="F145" s="951"/>
      <c r="G145" s="951"/>
      <c r="H145" s="951"/>
      <c r="I145" s="951"/>
      <c r="J145" s="951"/>
      <c r="K145" s="951"/>
      <c r="L145" s="951"/>
      <c r="M145" s="951"/>
      <c r="N145" s="951"/>
      <c r="O145" s="951"/>
      <c r="P145" s="951"/>
      <c r="Q145" s="951"/>
      <c r="R145" s="951"/>
    </row>
    <row r="146" spans="1:18" s="959" customFormat="1" ht="19.5" customHeight="1" x14ac:dyDescent="0.25">
      <c r="A146" s="960"/>
      <c r="B146" s="956"/>
      <c r="C146" s="958"/>
      <c r="D146" s="956"/>
      <c r="E146" s="956"/>
      <c r="F146" s="951"/>
      <c r="G146" s="951"/>
      <c r="H146" s="951"/>
      <c r="I146" s="951"/>
      <c r="J146" s="951"/>
      <c r="K146" s="951"/>
      <c r="L146" s="951"/>
      <c r="M146" s="951"/>
      <c r="N146" s="951"/>
      <c r="O146" s="951"/>
      <c r="P146" s="951"/>
      <c r="Q146" s="951"/>
      <c r="R146" s="951"/>
    </row>
    <row r="147" spans="1:18" s="959" customFormat="1" ht="19.5" customHeight="1" x14ac:dyDescent="0.25">
      <c r="A147" s="960"/>
      <c r="B147" s="956"/>
      <c r="C147" s="958"/>
      <c r="D147" s="956"/>
      <c r="E147" s="956"/>
      <c r="F147" s="951"/>
      <c r="G147" s="951"/>
      <c r="H147" s="951"/>
      <c r="I147" s="951"/>
      <c r="J147" s="951"/>
      <c r="K147" s="951"/>
      <c r="L147" s="951"/>
      <c r="M147" s="951"/>
      <c r="N147" s="951"/>
      <c r="O147" s="951"/>
      <c r="P147" s="951"/>
      <c r="Q147" s="951"/>
      <c r="R147" s="951"/>
    </row>
    <row r="148" spans="1:18" s="959" customFormat="1" ht="19.5" customHeight="1" x14ac:dyDescent="0.25">
      <c r="A148" s="960"/>
      <c r="B148" s="956"/>
      <c r="C148" s="958"/>
      <c r="D148" s="956"/>
      <c r="E148" s="956"/>
      <c r="F148" s="951"/>
      <c r="G148" s="951"/>
      <c r="H148" s="951"/>
      <c r="I148" s="951"/>
      <c r="J148" s="951"/>
      <c r="K148" s="951"/>
      <c r="L148" s="951"/>
      <c r="M148" s="951"/>
      <c r="N148" s="951"/>
      <c r="O148" s="951"/>
      <c r="P148" s="951"/>
      <c r="Q148" s="951"/>
      <c r="R148" s="951"/>
    </row>
    <row r="149" spans="1:18" s="959" customFormat="1" ht="19.5" customHeight="1" x14ac:dyDescent="0.25">
      <c r="A149" s="960"/>
      <c r="B149" s="956"/>
      <c r="C149" s="958"/>
      <c r="D149" s="956"/>
      <c r="E149" s="956"/>
      <c r="F149" s="951"/>
      <c r="G149" s="951"/>
      <c r="H149" s="951"/>
      <c r="I149" s="951"/>
      <c r="J149" s="951"/>
      <c r="K149" s="951"/>
      <c r="L149" s="951"/>
      <c r="M149" s="951"/>
      <c r="N149" s="951"/>
      <c r="O149" s="951"/>
      <c r="P149" s="951"/>
      <c r="Q149" s="951"/>
      <c r="R149" s="951"/>
    </row>
    <row r="150" spans="1:18" s="959" customFormat="1" ht="19.5" customHeight="1" x14ac:dyDescent="0.25">
      <c r="A150" s="960"/>
      <c r="B150" s="956"/>
      <c r="C150" s="958"/>
      <c r="D150" s="956"/>
      <c r="E150" s="956"/>
      <c r="F150" s="951"/>
      <c r="G150" s="951"/>
      <c r="H150" s="951"/>
      <c r="I150" s="951"/>
      <c r="J150" s="951"/>
      <c r="K150" s="951"/>
      <c r="L150" s="951"/>
      <c r="M150" s="951"/>
      <c r="N150" s="951"/>
      <c r="O150" s="951"/>
      <c r="P150" s="951"/>
      <c r="Q150" s="951"/>
      <c r="R150" s="951"/>
    </row>
    <row r="151" spans="1:18" s="959" customFormat="1" ht="19.5" customHeight="1" x14ac:dyDescent="0.25">
      <c r="A151" s="960"/>
      <c r="B151" s="956"/>
      <c r="C151" s="958"/>
      <c r="D151" s="956"/>
      <c r="E151" s="956"/>
      <c r="F151" s="951"/>
      <c r="G151" s="951"/>
      <c r="H151" s="951"/>
      <c r="I151" s="951"/>
      <c r="J151" s="951"/>
      <c r="K151" s="951"/>
      <c r="L151" s="951"/>
      <c r="M151" s="951"/>
      <c r="N151" s="951"/>
      <c r="O151" s="951"/>
      <c r="P151" s="951"/>
      <c r="Q151" s="951"/>
      <c r="R151" s="951"/>
    </row>
    <row r="152" spans="1:18" s="959" customFormat="1" ht="19.5" customHeight="1" x14ac:dyDescent="0.25">
      <c r="A152" s="960"/>
      <c r="B152" s="956"/>
      <c r="C152" s="958"/>
      <c r="D152" s="956"/>
      <c r="E152" s="956"/>
      <c r="F152" s="951"/>
      <c r="G152" s="951"/>
      <c r="H152" s="951"/>
      <c r="I152" s="951"/>
      <c r="J152" s="951"/>
      <c r="K152" s="951"/>
      <c r="L152" s="951"/>
      <c r="M152" s="951"/>
      <c r="N152" s="951"/>
      <c r="O152" s="951"/>
      <c r="P152" s="951"/>
      <c r="Q152" s="951"/>
      <c r="R152" s="951"/>
    </row>
    <row r="153" spans="1:18" s="959" customFormat="1" ht="19.5" customHeight="1" x14ac:dyDescent="0.25">
      <c r="A153" s="960"/>
      <c r="B153" s="956"/>
      <c r="C153" s="958"/>
      <c r="D153" s="956"/>
      <c r="E153" s="956"/>
      <c r="F153" s="951"/>
      <c r="G153" s="951"/>
      <c r="H153" s="951"/>
      <c r="I153" s="951"/>
      <c r="J153" s="951"/>
      <c r="K153" s="951"/>
      <c r="L153" s="951"/>
      <c r="M153" s="951"/>
      <c r="N153" s="951"/>
      <c r="O153" s="951"/>
      <c r="P153" s="951"/>
      <c r="Q153" s="951"/>
      <c r="R153" s="951"/>
    </row>
    <row r="154" spans="1:18" s="959" customFormat="1" ht="19.5" customHeight="1" x14ac:dyDescent="0.25">
      <c r="A154" s="960"/>
      <c r="B154" s="956"/>
      <c r="C154" s="958"/>
      <c r="D154" s="956"/>
      <c r="E154" s="956"/>
      <c r="F154" s="951"/>
      <c r="G154" s="951"/>
      <c r="H154" s="951"/>
      <c r="I154" s="951"/>
      <c r="J154" s="951"/>
      <c r="K154" s="951"/>
      <c r="L154" s="951"/>
      <c r="M154" s="951"/>
      <c r="N154" s="951"/>
      <c r="O154" s="951"/>
      <c r="P154" s="951"/>
      <c r="Q154" s="951"/>
      <c r="R154" s="951"/>
    </row>
    <row r="155" spans="1:18" ht="19.5" customHeight="1" x14ac:dyDescent="0.25">
      <c r="A155" s="960"/>
    </row>
    <row r="156" spans="1:18" ht="19.5" customHeight="1" x14ac:dyDescent="0.25">
      <c r="A156" s="960"/>
    </row>
    <row r="157" spans="1:18" ht="19.5" customHeight="1" x14ac:dyDescent="0.25">
      <c r="A157" s="960"/>
    </row>
    <row r="158" spans="1:18" ht="19.5" customHeight="1" x14ac:dyDescent="0.25">
      <c r="A158" s="960"/>
    </row>
    <row r="159" spans="1:18" ht="19.5" customHeight="1" x14ac:dyDescent="0.25">
      <c r="A159" s="960"/>
    </row>
    <row r="160" spans="1:18" s="957" customFormat="1" ht="19.5" customHeight="1" x14ac:dyDescent="0.25">
      <c r="A160" s="960"/>
      <c r="B160" s="956"/>
      <c r="C160" s="958"/>
      <c r="D160" s="956"/>
      <c r="E160" s="956"/>
      <c r="F160" s="951"/>
      <c r="G160" s="951"/>
      <c r="H160" s="951"/>
      <c r="I160" s="951"/>
      <c r="J160" s="951"/>
      <c r="K160" s="951"/>
      <c r="L160" s="951"/>
      <c r="M160" s="951"/>
      <c r="N160" s="951"/>
      <c r="O160" s="951"/>
      <c r="P160" s="951"/>
      <c r="Q160" s="951"/>
      <c r="R160" s="951"/>
    </row>
    <row r="161" spans="1:18" s="957" customFormat="1" ht="19.5" customHeight="1" x14ac:dyDescent="0.25">
      <c r="A161" s="960"/>
      <c r="B161" s="956"/>
      <c r="C161" s="958"/>
      <c r="D161" s="956"/>
      <c r="E161" s="956"/>
      <c r="F161" s="951"/>
      <c r="G161" s="951"/>
      <c r="H161" s="951"/>
      <c r="I161" s="951"/>
      <c r="J161" s="951"/>
      <c r="K161" s="951"/>
      <c r="L161" s="951"/>
      <c r="M161" s="951"/>
      <c r="N161" s="951"/>
      <c r="O161" s="951"/>
      <c r="P161" s="951"/>
      <c r="Q161" s="951"/>
      <c r="R161" s="951"/>
    </row>
    <row r="162" spans="1:18" s="957" customFormat="1" ht="19.5" customHeight="1" x14ac:dyDescent="0.25">
      <c r="A162" s="960"/>
      <c r="B162" s="956"/>
      <c r="C162" s="958"/>
      <c r="D162" s="956"/>
      <c r="E162" s="956"/>
      <c r="F162" s="951"/>
      <c r="G162" s="951"/>
      <c r="H162" s="951"/>
      <c r="I162" s="951"/>
      <c r="J162" s="951"/>
      <c r="K162" s="951"/>
      <c r="L162" s="951"/>
      <c r="M162" s="951"/>
      <c r="N162" s="951"/>
      <c r="O162" s="951"/>
      <c r="P162" s="951"/>
      <c r="Q162" s="951"/>
      <c r="R162" s="951"/>
    </row>
    <row r="163" spans="1:18" s="957" customFormat="1" ht="19.5" customHeight="1" x14ac:dyDescent="0.25">
      <c r="A163" s="960"/>
      <c r="B163" s="956"/>
      <c r="C163" s="958"/>
      <c r="D163" s="956"/>
      <c r="E163" s="956"/>
      <c r="F163" s="951"/>
      <c r="G163" s="951"/>
      <c r="H163" s="951"/>
      <c r="I163" s="951"/>
      <c r="J163" s="951"/>
      <c r="K163" s="951"/>
      <c r="L163" s="951"/>
      <c r="M163" s="951"/>
      <c r="N163" s="951"/>
      <c r="O163" s="951"/>
      <c r="P163" s="951"/>
      <c r="Q163" s="951"/>
      <c r="R163" s="951"/>
    </row>
    <row r="164" spans="1:18" s="957" customFormat="1" ht="19.5" customHeight="1" x14ac:dyDescent="0.25">
      <c r="A164" s="960"/>
      <c r="B164" s="956"/>
      <c r="C164" s="958"/>
      <c r="D164" s="956"/>
      <c r="E164" s="956"/>
      <c r="F164" s="951"/>
      <c r="G164" s="951"/>
      <c r="H164" s="951"/>
      <c r="I164" s="951"/>
      <c r="J164" s="951"/>
      <c r="K164" s="951"/>
      <c r="L164" s="951"/>
      <c r="M164" s="951"/>
      <c r="N164" s="951"/>
      <c r="O164" s="951"/>
      <c r="P164" s="951"/>
      <c r="Q164" s="951"/>
      <c r="R164" s="951"/>
    </row>
    <row r="165" spans="1:18" s="957" customFormat="1" ht="19.5" customHeight="1" x14ac:dyDescent="0.25">
      <c r="A165" s="960"/>
      <c r="B165" s="956"/>
      <c r="C165" s="958"/>
      <c r="D165" s="956"/>
      <c r="E165" s="956"/>
      <c r="F165" s="951"/>
      <c r="G165" s="951"/>
      <c r="H165" s="951"/>
      <c r="I165" s="951"/>
      <c r="J165" s="951"/>
      <c r="K165" s="951"/>
      <c r="L165" s="951"/>
      <c r="M165" s="951"/>
      <c r="N165" s="951"/>
      <c r="O165" s="951"/>
      <c r="P165" s="951"/>
      <c r="Q165" s="951"/>
      <c r="R165" s="951"/>
    </row>
  </sheetData>
  <autoFilter ref="A2:C23" xr:uid="{AF750F45-BC42-4DDD-AC6F-785BFE7BF7E3}"/>
  <mergeCells count="1">
    <mergeCell ref="A1:C1"/>
  </mergeCells>
  <phoneticPr fontId="57" type="noConversion"/>
  <pageMargins left="0.7" right="0.7" top="0.75" bottom="0.75" header="0.3" footer="0.3"/>
  <pageSetup scale="58" orientation="landscape" r:id="rId1"/>
  <rowBreaks count="1" manualBreakCount="1">
    <brk id="10" max="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63EE3-4A01-4BDF-B685-C02107899120}">
  <sheetPr codeName="Hoja4">
    <tabColor rgb="FFFFFF00"/>
  </sheetPr>
  <dimension ref="A1:R216"/>
  <sheetViews>
    <sheetView view="pageBreakPreview" topLeftCell="A87" zoomScale="90" zoomScaleNormal="100" zoomScaleSheetLayoutView="90" workbookViewId="0">
      <selection activeCell="A64" sqref="A64"/>
    </sheetView>
  </sheetViews>
  <sheetFormatPr baseColWidth="10" defaultColWidth="11.42578125" defaultRowHeight="19.5" customHeight="1" x14ac:dyDescent="0.25"/>
  <cols>
    <col min="1" max="1" width="11.7109375" style="957" customWidth="1"/>
    <col min="2" max="2" width="71" style="956" customWidth="1"/>
    <col min="3" max="3" width="21.5703125" style="958" customWidth="1"/>
    <col min="4" max="5" width="11.42578125" style="956"/>
    <col min="6" max="6" width="10.42578125" style="956" customWidth="1"/>
    <col min="7" max="18" width="11.42578125" style="951"/>
    <col min="19" max="19" width="11" style="951" bestFit="1" customWidth="1"/>
    <col min="20" max="16384" width="11.42578125" style="951"/>
  </cols>
  <sheetData>
    <row r="1" spans="1:6" ht="24.75" customHeight="1" x14ac:dyDescent="0.25">
      <c r="A1" s="1745" t="s">
        <v>634</v>
      </c>
      <c r="B1" s="1746"/>
      <c r="C1" s="1746"/>
    </row>
    <row r="2" spans="1:6" s="952" customFormat="1" ht="24.75" customHeight="1" x14ac:dyDescent="0.25">
      <c r="A2" s="1566" t="s">
        <v>635</v>
      </c>
      <c r="B2" s="1566" t="s">
        <v>636</v>
      </c>
      <c r="C2" s="1567" t="str">
        <f>'CIF Y PV'!F6</f>
        <v>MB-JUN</v>
      </c>
      <c r="D2" s="1568"/>
      <c r="E2" s="1568"/>
      <c r="F2" s="1568"/>
    </row>
    <row r="3" spans="1:6" ht="19.5" customHeight="1" x14ac:dyDescent="0.25">
      <c r="A3" s="1569" t="s">
        <v>1221</v>
      </c>
      <c r="B3" s="1570" t="s">
        <v>567</v>
      </c>
      <c r="C3" s="1571">
        <f>VLOOKUP(B3,'MB FEB'!B3:D85,3,FALSE)</f>
        <v>0.60707026177780621</v>
      </c>
    </row>
    <row r="4" spans="1:6" ht="19.5" customHeight="1" x14ac:dyDescent="0.25">
      <c r="A4" s="1569" t="s">
        <v>1221</v>
      </c>
      <c r="B4" s="1570" t="s">
        <v>568</v>
      </c>
      <c r="C4" s="1571">
        <f>VLOOKUP(B4,'MB FEB'!B4:D86,3,FALSE)</f>
        <v>0.55693961999336739</v>
      </c>
    </row>
    <row r="5" spans="1:6" ht="19.5" customHeight="1" x14ac:dyDescent="0.25">
      <c r="A5" s="1569" t="s">
        <v>1221</v>
      </c>
      <c r="B5" s="1572" t="s">
        <v>565</v>
      </c>
      <c r="C5" s="1571">
        <f>VLOOKUP(B5,'MB FEB'!B5:D87,3,FALSE)</f>
        <v>0.62997797403080613</v>
      </c>
    </row>
    <row r="6" spans="1:6" ht="16.5" x14ac:dyDescent="0.25">
      <c r="A6" s="1569" t="s">
        <v>1221</v>
      </c>
      <c r="B6" s="1572" t="s">
        <v>1086</v>
      </c>
      <c r="C6" s="1571">
        <f>VLOOKUP(B6,'MB FEB'!B6:D88,3,FALSE)</f>
        <v>0.52052742212629433</v>
      </c>
    </row>
    <row r="7" spans="1:6" ht="19.5" customHeight="1" x14ac:dyDescent="0.25">
      <c r="A7" s="1569" t="s">
        <v>1221</v>
      </c>
      <c r="B7" s="1570" t="s">
        <v>564</v>
      </c>
      <c r="C7" s="1571">
        <f>VLOOKUP(B7,'MB FEB'!B7:D89,3,FALSE)</f>
        <v>0.50082321986511369</v>
      </c>
    </row>
    <row r="8" spans="1:6" ht="19.5" customHeight="1" x14ac:dyDescent="0.25">
      <c r="A8" s="1569" t="s">
        <v>1221</v>
      </c>
      <c r="B8" s="1570" t="s">
        <v>566</v>
      </c>
      <c r="C8" s="1571">
        <f>VLOOKUP(B8,'MB FEB'!B8:D90,3,FALSE)</f>
        <v>0.46486748965687402</v>
      </c>
    </row>
    <row r="9" spans="1:6" ht="19.5" customHeight="1" x14ac:dyDescent="0.25">
      <c r="A9" s="1569" t="s">
        <v>1221</v>
      </c>
      <c r="B9" s="1570" t="s">
        <v>778</v>
      </c>
      <c r="C9" s="1571">
        <f>VLOOKUP(B9,'MB FEB'!B9:D91,3,FALSE)</f>
        <v>0.53683078746134438</v>
      </c>
    </row>
    <row r="10" spans="1:6" ht="19.5" customHeight="1" x14ac:dyDescent="0.25">
      <c r="A10" s="1569" t="s">
        <v>1221</v>
      </c>
      <c r="B10" s="1570" t="s">
        <v>570</v>
      </c>
      <c r="C10" s="1571">
        <f>VLOOKUP(B10,'MB FEB'!B10:D92,3,FALSE)</f>
        <v>0.50502402884597131</v>
      </c>
    </row>
    <row r="11" spans="1:6" ht="19.5" customHeight="1" x14ac:dyDescent="0.25">
      <c r="A11" s="1569" t="s">
        <v>1221</v>
      </c>
      <c r="B11" s="1570" t="s">
        <v>997</v>
      </c>
      <c r="C11" s="1571">
        <f>VLOOKUP(B11,'MB FEB'!B11:D93,3,FALSE)</f>
        <v>0.5366454325953115</v>
      </c>
    </row>
    <row r="12" spans="1:6" ht="19.5" customHeight="1" x14ac:dyDescent="0.25">
      <c r="A12" s="1569" t="s">
        <v>1221</v>
      </c>
      <c r="B12" s="1572" t="s">
        <v>1021</v>
      </c>
      <c r="C12" s="1571">
        <f>VLOOKUP(B12,'MB FEB'!B13:D95,3,FALSE)</f>
        <v>0.50195425206793542</v>
      </c>
    </row>
    <row r="13" spans="1:6" ht="19.5" customHeight="1" x14ac:dyDescent="0.25">
      <c r="A13" s="1569" t="s">
        <v>1221</v>
      </c>
      <c r="B13" s="1570" t="s">
        <v>809</v>
      </c>
      <c r="C13" s="1571">
        <f>VLOOKUP(B13,'MB FEB'!B14:D96,3,FALSE)</f>
        <v>0.44979161249964528</v>
      </c>
    </row>
    <row r="14" spans="1:6" ht="19.5" customHeight="1" x14ac:dyDescent="0.25">
      <c r="A14" s="1569" t="s">
        <v>1221</v>
      </c>
      <c r="B14" s="1570" t="s">
        <v>966</v>
      </c>
      <c r="C14" s="1571">
        <f>VLOOKUP(B14,'MB FEB'!B15:D98,3,FALSE)</f>
        <v>0.52236801611079808</v>
      </c>
    </row>
    <row r="15" spans="1:6" ht="19.5" customHeight="1" x14ac:dyDescent="0.25">
      <c r="A15" s="1569" t="s">
        <v>1221</v>
      </c>
      <c r="B15" s="1570" t="s">
        <v>563</v>
      </c>
      <c r="C15" s="1571">
        <f>VLOOKUP(B15,'MB FEB'!B16:D99,3,FALSE)</f>
        <v>0.49362857232753665</v>
      </c>
    </row>
    <row r="16" spans="1:6" ht="19.5" customHeight="1" x14ac:dyDescent="0.25">
      <c r="A16" s="1569" t="s">
        <v>1221</v>
      </c>
      <c r="B16" s="1572" t="s">
        <v>1009</v>
      </c>
      <c r="C16" s="1571">
        <f>VLOOKUP(B16,'MB FEB'!B16:D100,3,FALSE)</f>
        <v>0.45830781629841949</v>
      </c>
    </row>
    <row r="17" spans="1:3" ht="19.5" customHeight="1" x14ac:dyDescent="0.25">
      <c r="A17" s="1569" t="s">
        <v>1221</v>
      </c>
      <c r="B17" s="1572" t="s">
        <v>1200</v>
      </c>
      <c r="C17" s="1571">
        <f>VLOOKUP(B17,'MB FEB'!B17:D101,3,FALSE)</f>
        <v>0.38767084479000696</v>
      </c>
    </row>
    <row r="18" spans="1:3" ht="19.5" customHeight="1" x14ac:dyDescent="0.25">
      <c r="A18" s="1569" t="s">
        <v>1221</v>
      </c>
      <c r="B18" s="1572" t="s">
        <v>1199</v>
      </c>
      <c r="C18" s="1571">
        <f>VLOOKUP(B18,'MB FEB'!B18:D102,3,FALSE)</f>
        <v>0.49236164326210952</v>
      </c>
    </row>
    <row r="19" spans="1:3" ht="19.5" customHeight="1" x14ac:dyDescent="0.25">
      <c r="A19" s="1569" t="s">
        <v>1221</v>
      </c>
      <c r="B19" s="1572" t="str">
        <f>'MB FEB'!B23</f>
        <v>SALCHICHA SUIZA X 990 GRS 9 UNDS</v>
      </c>
      <c r="C19" s="1571">
        <f>'MB FEB'!D23</f>
        <v>0.41897254252504751</v>
      </c>
    </row>
    <row r="20" spans="1:3" ht="19.5" customHeight="1" x14ac:dyDescent="0.25">
      <c r="A20" s="1573"/>
      <c r="B20" s="1574" t="s">
        <v>1246</v>
      </c>
      <c r="C20" s="1575">
        <f>AVERAGE(C3:C18)</f>
        <v>0.51029931210683377</v>
      </c>
    </row>
    <row r="21" spans="1:3" ht="19.5" customHeight="1" x14ac:dyDescent="0.25">
      <c r="A21" s="1566" t="s">
        <v>635</v>
      </c>
      <c r="B21" s="1566" t="s">
        <v>637</v>
      </c>
      <c r="C21" s="1567" t="str">
        <f>'CIF Y PV'!F6</f>
        <v>MB-JUN</v>
      </c>
    </row>
    <row r="22" spans="1:3" ht="19.5" customHeight="1" x14ac:dyDescent="0.25">
      <c r="A22" s="1569" t="s">
        <v>1221</v>
      </c>
      <c r="B22" s="1572" t="s">
        <v>957</v>
      </c>
      <c r="C22" s="1571">
        <f>VLOOKUP(B22,'MB FEB'!B24:D107,3,FALSE)</f>
        <v>0.50464359934674285</v>
      </c>
    </row>
    <row r="23" spans="1:3" ht="19.5" customHeight="1" x14ac:dyDescent="0.25">
      <c r="A23" s="1569" t="s">
        <v>1221</v>
      </c>
      <c r="B23" s="1572" t="s">
        <v>1089</v>
      </c>
      <c r="C23" s="1571">
        <f>VLOOKUP(B23,'MB FEB'!B25:D108,3,FALSE)</f>
        <v>0.47834783168552791</v>
      </c>
    </row>
    <row r="24" spans="1:3" ht="19.5" customHeight="1" x14ac:dyDescent="0.25">
      <c r="A24" s="1569" t="s">
        <v>1221</v>
      </c>
      <c r="B24" s="1572" t="s">
        <v>1230</v>
      </c>
      <c r="C24" s="1571">
        <f>VLOOKUP(B24,'MB FEB'!B25:D109,3,FALSE)</f>
        <v>0.44865358192035554</v>
      </c>
    </row>
    <row r="25" spans="1:3" ht="19.5" customHeight="1" x14ac:dyDescent="0.25">
      <c r="A25" s="1569" t="s">
        <v>1221</v>
      </c>
      <c r="B25" s="1572" t="s">
        <v>944</v>
      </c>
      <c r="C25" s="1571">
        <f>VLOOKUP(B25,'MB FEB'!B25:D110,3,FALSE)</f>
        <v>0.41924188284163005</v>
      </c>
    </row>
    <row r="26" spans="1:3" ht="19.5" customHeight="1" x14ac:dyDescent="0.25">
      <c r="A26" s="1569" t="s">
        <v>1221</v>
      </c>
      <c r="B26" s="1572" t="s">
        <v>1097</v>
      </c>
      <c r="C26" s="1571">
        <f>VLOOKUP(B26,'MB FEB'!B26:D111,3,FALSE)</f>
        <v>0.41018414105908618</v>
      </c>
    </row>
    <row r="27" spans="1:3" ht="19.5" customHeight="1" x14ac:dyDescent="0.25">
      <c r="A27" s="1569" t="s">
        <v>1221</v>
      </c>
      <c r="B27" s="1572" t="s">
        <v>1118</v>
      </c>
      <c r="C27" s="1571">
        <f>VLOOKUP(B27,'MB FEB'!B27:D112,3,FALSE)</f>
        <v>0.44823859493216994</v>
      </c>
    </row>
    <row r="28" spans="1:3" ht="19.5" customHeight="1" x14ac:dyDescent="0.25">
      <c r="A28" s="1569" t="s">
        <v>1221</v>
      </c>
      <c r="B28" s="1572" t="s">
        <v>1087</v>
      </c>
      <c r="C28" s="1571">
        <f>VLOOKUP(B28,'MB FEB'!B29:D114,3,FALSE)</f>
        <v>0.44100059500160849</v>
      </c>
    </row>
    <row r="29" spans="1:3" ht="19.5" customHeight="1" x14ac:dyDescent="0.25">
      <c r="A29" s="1569" t="s">
        <v>1221</v>
      </c>
      <c r="B29" s="1572" t="s">
        <v>903</v>
      </c>
      <c r="C29" s="1571">
        <f>VLOOKUP(B29,'MB FEB'!B30:D115,3,FALSE)</f>
        <v>0.55181117659619316</v>
      </c>
    </row>
    <row r="30" spans="1:3" ht="19.5" customHeight="1" x14ac:dyDescent="0.25">
      <c r="A30" s="1569" t="s">
        <v>1221</v>
      </c>
      <c r="B30" s="1572" t="s">
        <v>947</v>
      </c>
      <c r="C30" s="1571">
        <f>VLOOKUP(B30,'MB FEB'!B31:D116,3,FALSE)</f>
        <v>0.55072141657044471</v>
      </c>
    </row>
    <row r="31" spans="1:3" ht="19.5" customHeight="1" x14ac:dyDescent="0.25">
      <c r="A31" s="1569" t="s">
        <v>1221</v>
      </c>
      <c r="B31" s="1572" t="s">
        <v>1012</v>
      </c>
      <c r="C31" s="1571">
        <f>VLOOKUP(B31,'MB FEB'!B31:D117,3,FALSE)</f>
        <v>0.5071291324809406</v>
      </c>
    </row>
    <row r="32" spans="1:3" ht="19.5" customHeight="1" x14ac:dyDescent="0.25">
      <c r="A32" s="1569" t="s">
        <v>1221</v>
      </c>
      <c r="B32" s="1572" t="s">
        <v>1090</v>
      </c>
      <c r="C32" s="1571">
        <f>VLOOKUP(B32,'MB FEB'!B32:D118,3,FALSE)</f>
        <v>0.47635479146055049</v>
      </c>
    </row>
    <row r="33" spans="1:6" ht="19.5" customHeight="1" x14ac:dyDescent="0.25">
      <c r="A33" s="1569" t="s">
        <v>1221</v>
      </c>
      <c r="B33" s="1572" t="s">
        <v>1010</v>
      </c>
      <c r="C33" s="1571">
        <f>VLOOKUP(B33,'MB FEB'!B33:D119,3,FALSE)</f>
        <v>0.44850788556530435</v>
      </c>
    </row>
    <row r="34" spans="1:6" ht="19.5" customHeight="1" x14ac:dyDescent="0.25">
      <c r="A34" s="1569" t="s">
        <v>1221</v>
      </c>
      <c r="B34" s="1572" t="s">
        <v>1011</v>
      </c>
      <c r="C34" s="1571">
        <f>VLOOKUP(B34,'MB FEB'!B34:D120,3,FALSE)</f>
        <v>0.44358076874338365</v>
      </c>
    </row>
    <row r="35" spans="1:6" ht="19.5" customHeight="1" x14ac:dyDescent="0.25">
      <c r="A35" s="1573"/>
      <c r="B35" s="1574" t="s">
        <v>1247</v>
      </c>
      <c r="C35" s="1575">
        <f>AVERAGE(C22:C34)</f>
        <v>0.47141656909261054</v>
      </c>
    </row>
    <row r="36" spans="1:6" s="952" customFormat="1" ht="19.5" customHeight="1" x14ac:dyDescent="0.25">
      <c r="A36" s="1566" t="s">
        <v>635</v>
      </c>
      <c r="B36" s="1566" t="s">
        <v>638</v>
      </c>
      <c r="C36" s="1567" t="str">
        <f>'CIF Y PV'!F6</f>
        <v>MB-JUN</v>
      </c>
      <c r="D36" s="1568"/>
      <c r="E36" s="1568"/>
      <c r="F36" s="1568"/>
    </row>
    <row r="37" spans="1:6" ht="19.5" customHeight="1" x14ac:dyDescent="0.25">
      <c r="A37" s="1569" t="s">
        <v>1221</v>
      </c>
      <c r="B37" s="1572" t="s">
        <v>573</v>
      </c>
      <c r="C37" s="1571">
        <f>VLOOKUP(B37,'MB FEB'!B37:D123,3,FALSE)</f>
        <v>0.56055922027761407</v>
      </c>
    </row>
    <row r="38" spans="1:6" s="952" customFormat="1" ht="19.5" customHeight="1" x14ac:dyDescent="0.25">
      <c r="A38" s="1569" t="s">
        <v>1221</v>
      </c>
      <c r="B38" s="1572" t="s">
        <v>572</v>
      </c>
      <c r="C38" s="1571">
        <f>VLOOKUP(B38,'MB FEB'!B39:D124,3,FALSE)</f>
        <v>0.6203630357120633</v>
      </c>
      <c r="D38" s="1568"/>
      <c r="E38" s="1568"/>
      <c r="F38" s="1568"/>
    </row>
    <row r="39" spans="1:6" s="952" customFormat="1" ht="19.5" customHeight="1" x14ac:dyDescent="0.25">
      <c r="A39" s="1569" t="s">
        <v>1221</v>
      </c>
      <c r="B39" s="1572" t="s">
        <v>574</v>
      </c>
      <c r="C39" s="1571">
        <f>VLOOKUP(B39,'MB FEB'!B39:D125,3,FALSE)</f>
        <v>0.58120586240758254</v>
      </c>
      <c r="D39" s="1568"/>
      <c r="E39" s="1568"/>
      <c r="F39" s="1568"/>
    </row>
    <row r="40" spans="1:6" s="952" customFormat="1" ht="19.5" customHeight="1" x14ac:dyDescent="0.25">
      <c r="A40" s="1569" t="s">
        <v>1221</v>
      </c>
      <c r="B40" s="1572" t="s">
        <v>819</v>
      </c>
      <c r="C40" s="1571">
        <f>VLOOKUP(B40,'MB FEB'!B40:D126,3,FALSE)</f>
        <v>0.54643465520459289</v>
      </c>
      <c r="D40" s="1568"/>
      <c r="E40" s="1568"/>
      <c r="F40" s="1568"/>
    </row>
    <row r="41" spans="1:6" s="952" customFormat="1" ht="19.5" customHeight="1" x14ac:dyDescent="0.25">
      <c r="A41" s="1569" t="s">
        <v>1221</v>
      </c>
      <c r="B41" s="1572" t="s">
        <v>826</v>
      </c>
      <c r="C41" s="1571">
        <f>VLOOKUP(B41,'MB FEB'!B42:D127,3,FALSE)</f>
        <v>0.55995330795784415</v>
      </c>
      <c r="D41" s="1568"/>
      <c r="E41" s="1568"/>
      <c r="F41" s="1568"/>
    </row>
    <row r="42" spans="1:6" s="952" customFormat="1" ht="19.5" customHeight="1" x14ac:dyDescent="0.25">
      <c r="A42" s="1569" t="s">
        <v>1221</v>
      </c>
      <c r="B42" s="1572" t="s">
        <v>791</v>
      </c>
      <c r="C42" s="1571">
        <f>VLOOKUP(B42,'MB FEB'!B43:D128,3,FALSE)</f>
        <v>0.48948186439206032</v>
      </c>
      <c r="D42" s="1568"/>
      <c r="E42" s="1568"/>
      <c r="F42" s="1568"/>
    </row>
    <row r="43" spans="1:6" s="952" customFormat="1" ht="19.5" customHeight="1" x14ac:dyDescent="0.25">
      <c r="A43" s="1573"/>
      <c r="B43" s="1574" t="s">
        <v>1248</v>
      </c>
      <c r="C43" s="1575">
        <f>AVERAGE(C37:C42)</f>
        <v>0.55966632432529284</v>
      </c>
      <c r="D43" s="1568"/>
      <c r="E43" s="1568"/>
      <c r="F43" s="1568"/>
    </row>
    <row r="44" spans="1:6" ht="19.5" customHeight="1" x14ac:dyDescent="0.25">
      <c r="A44" s="1566" t="s">
        <v>635</v>
      </c>
      <c r="B44" s="1566" t="s">
        <v>639</v>
      </c>
      <c r="C44" s="1567" t="str">
        <f>'CIF Y PV'!F6</f>
        <v>MB-JUN</v>
      </c>
    </row>
    <row r="45" spans="1:6" ht="19.5" customHeight="1" x14ac:dyDescent="0.25">
      <c r="A45" s="1569" t="s">
        <v>1221</v>
      </c>
      <c r="B45" s="1572" t="s">
        <v>571</v>
      </c>
      <c r="C45" s="1571">
        <f>VLOOKUP(B45,'MB FEB'!B46:D131,3,FALSE)</f>
        <v>0.54116379888553834</v>
      </c>
    </row>
    <row r="46" spans="1:6" ht="19.5" customHeight="1" x14ac:dyDescent="0.25">
      <c r="A46" s="1569" t="s">
        <v>1221</v>
      </c>
      <c r="B46" s="1572" t="s">
        <v>1113</v>
      </c>
      <c r="C46" s="1571">
        <f>VLOOKUP(B46,'MB FEB'!B47:D132,3,FALSE)</f>
        <v>0.58076996310248286</v>
      </c>
    </row>
    <row r="47" spans="1:6" ht="19.5" customHeight="1" x14ac:dyDescent="0.25">
      <c r="A47" s="1569" t="s">
        <v>1221</v>
      </c>
      <c r="B47" s="1572" t="s">
        <v>641</v>
      </c>
      <c r="C47" s="1571">
        <f>VLOOKUP(B47,'MB FEB'!B48:D133,3,FALSE)</f>
        <v>0.44923704218789184</v>
      </c>
    </row>
    <row r="48" spans="1:6" ht="19.5" customHeight="1" x14ac:dyDescent="0.25">
      <c r="A48" s="1569" t="s">
        <v>1221</v>
      </c>
      <c r="B48" s="1572" t="s">
        <v>998</v>
      </c>
      <c r="C48" s="1571">
        <f>VLOOKUP(B48,'MB FEB'!B49:D134,3,FALSE)</f>
        <v>0.54833050240666348</v>
      </c>
    </row>
    <row r="49" spans="1:18" ht="19.5" customHeight="1" x14ac:dyDescent="0.25">
      <c r="A49" s="1569" t="s">
        <v>1221</v>
      </c>
      <c r="B49" s="1572" t="s">
        <v>999</v>
      </c>
      <c r="C49" s="1571">
        <f>VLOOKUP(B49,'MB FEB'!B53:D137,3,FALSE)</f>
        <v>0.54987211324961283</v>
      </c>
    </row>
    <row r="50" spans="1:18" ht="19.5" customHeight="1" x14ac:dyDescent="0.25">
      <c r="A50" s="1569" t="s">
        <v>1221</v>
      </c>
      <c r="B50" s="1572" t="s">
        <v>1241</v>
      </c>
      <c r="C50" s="1571">
        <f>VLOOKUP(B50,'MB FEB'!B54:D138,3,FALSE)</f>
        <v>0.54790739412408096</v>
      </c>
    </row>
    <row r="51" spans="1:18" ht="19.5" customHeight="1" x14ac:dyDescent="0.25">
      <c r="A51" s="1569" t="s">
        <v>1221</v>
      </c>
      <c r="B51" s="1572" t="s">
        <v>1000</v>
      </c>
      <c r="C51" s="1571">
        <f>VLOOKUP(B51,'MB FEB'!B57:D140,3,FALSE)</f>
        <v>0.62751500579232011</v>
      </c>
    </row>
    <row r="52" spans="1:18" ht="19.5" customHeight="1" x14ac:dyDescent="0.25">
      <c r="A52" s="1569" t="s">
        <v>1221</v>
      </c>
      <c r="B52" s="1572" t="s">
        <v>1242</v>
      </c>
      <c r="C52" s="1571">
        <f>VLOOKUP(B52,'MB FEB'!B58:D141,3,FALSE)</f>
        <v>0.62751500579232011</v>
      </c>
    </row>
    <row r="53" spans="1:18" s="956" customFormat="1" ht="19.5" customHeight="1" x14ac:dyDescent="0.25">
      <c r="A53" s="1569" t="s">
        <v>1221</v>
      </c>
      <c r="B53" s="1572" t="s">
        <v>577</v>
      </c>
      <c r="C53" s="1571">
        <f>VLOOKUP(B53,'MB FEB'!B58:D142,3,FALSE)</f>
        <v>0.61276241154557021</v>
      </c>
      <c r="G53" s="951"/>
      <c r="H53" s="951"/>
      <c r="I53" s="951"/>
      <c r="J53" s="951"/>
      <c r="K53" s="951"/>
      <c r="L53" s="951"/>
      <c r="M53" s="951"/>
      <c r="N53" s="951"/>
      <c r="O53" s="951"/>
      <c r="P53" s="951"/>
      <c r="Q53" s="951"/>
      <c r="R53" s="951"/>
    </row>
    <row r="54" spans="1:18" s="956" customFormat="1" ht="19.5" customHeight="1" x14ac:dyDescent="0.25">
      <c r="A54" s="1569" t="s">
        <v>1221</v>
      </c>
      <c r="B54" s="1572" t="s">
        <v>1243</v>
      </c>
      <c r="C54" s="1571">
        <f>VLOOKUP(B54,'MB FEB'!B58:D143,3,FALSE)</f>
        <v>0.53818581709165314</v>
      </c>
      <c r="G54" s="951"/>
      <c r="H54" s="951"/>
      <c r="I54" s="951"/>
      <c r="J54" s="951"/>
      <c r="K54" s="951"/>
      <c r="L54" s="951"/>
      <c r="M54" s="951"/>
      <c r="N54" s="951"/>
      <c r="O54" s="951"/>
      <c r="P54" s="951"/>
      <c r="Q54" s="951"/>
      <c r="R54" s="951"/>
    </row>
    <row r="55" spans="1:18" s="956" customFormat="1" ht="19.5" customHeight="1" x14ac:dyDescent="0.25">
      <c r="A55" s="1569" t="s">
        <v>1221</v>
      </c>
      <c r="B55" s="1572" t="s">
        <v>579</v>
      </c>
      <c r="C55" s="1571">
        <f>VLOOKUP(B55,'MB FEB'!B59:D144,3,FALSE)</f>
        <v>0.72094190948477677</v>
      </c>
      <c r="G55" s="951"/>
      <c r="H55" s="951"/>
      <c r="I55" s="951"/>
      <c r="J55" s="951"/>
      <c r="K55" s="951"/>
      <c r="L55" s="951"/>
      <c r="M55" s="951"/>
      <c r="N55" s="951"/>
      <c r="O55" s="951"/>
      <c r="P55" s="951"/>
      <c r="Q55" s="951"/>
      <c r="R55" s="951"/>
    </row>
    <row r="56" spans="1:18" s="956" customFormat="1" ht="19.5" customHeight="1" x14ac:dyDescent="0.25">
      <c r="A56" s="1569" t="s">
        <v>1221</v>
      </c>
      <c r="B56" s="1572" t="s">
        <v>578</v>
      </c>
      <c r="C56" s="1571">
        <f>VLOOKUP(B56,'MB FEB'!B60:D145,3,FALSE)</f>
        <v>0.41463069907432154</v>
      </c>
      <c r="G56" s="951"/>
      <c r="H56" s="951"/>
      <c r="I56" s="951"/>
      <c r="J56" s="951"/>
      <c r="K56" s="951"/>
      <c r="L56" s="951"/>
      <c r="M56" s="951"/>
      <c r="N56" s="951"/>
      <c r="O56" s="951"/>
      <c r="P56" s="951"/>
      <c r="Q56" s="951"/>
      <c r="R56" s="951"/>
    </row>
    <row r="57" spans="1:18" s="956" customFormat="1" ht="19.5" customHeight="1" x14ac:dyDescent="0.25">
      <c r="A57" s="1573"/>
      <c r="B57" s="1574" t="s">
        <v>1249</v>
      </c>
      <c r="C57" s="1575">
        <f>AVERAGE(C45:C56)</f>
        <v>0.56323597189476937</v>
      </c>
      <c r="G57" s="951"/>
      <c r="H57" s="951"/>
      <c r="I57" s="951"/>
      <c r="J57" s="951"/>
      <c r="K57" s="951"/>
      <c r="L57" s="951"/>
      <c r="M57" s="951"/>
      <c r="N57" s="951"/>
      <c r="O57" s="951"/>
      <c r="P57" s="951"/>
      <c r="Q57" s="951"/>
      <c r="R57" s="951"/>
    </row>
    <row r="58" spans="1:18" s="956" customFormat="1" ht="19.5" customHeight="1" x14ac:dyDescent="0.25">
      <c r="A58" s="1566" t="s">
        <v>635</v>
      </c>
      <c r="B58" s="1566" t="s">
        <v>640</v>
      </c>
      <c r="C58" s="1567" t="str">
        <f>'CIF Y PV'!F6</f>
        <v>MB-JUN</v>
      </c>
      <c r="G58" s="951"/>
      <c r="H58" s="951"/>
      <c r="I58" s="951"/>
      <c r="J58" s="951"/>
      <c r="K58" s="951"/>
      <c r="L58" s="951"/>
      <c r="M58" s="951"/>
      <c r="N58" s="951"/>
      <c r="O58" s="951"/>
      <c r="P58" s="951"/>
      <c r="Q58" s="951"/>
      <c r="R58" s="951"/>
    </row>
    <row r="59" spans="1:18" s="956" customFormat="1" ht="19.5" customHeight="1" x14ac:dyDescent="0.25">
      <c r="A59" s="1569" t="s">
        <v>1221</v>
      </c>
      <c r="B59" s="1572" t="s">
        <v>580</v>
      </c>
      <c r="C59" s="1571">
        <f>VLOOKUP(B59,'MB FEB'!B62:D148,3,FALSE)</f>
        <v>0.2105880163473326</v>
      </c>
      <c r="G59" s="951"/>
      <c r="H59" s="951"/>
      <c r="I59" s="951"/>
      <c r="J59" s="951"/>
      <c r="K59" s="951"/>
      <c r="L59" s="951"/>
      <c r="M59" s="951"/>
      <c r="N59" s="951"/>
      <c r="O59" s="951"/>
      <c r="P59" s="951"/>
      <c r="Q59" s="951"/>
      <c r="R59" s="951"/>
    </row>
    <row r="60" spans="1:18" s="956" customFormat="1" ht="19.5" customHeight="1" x14ac:dyDescent="0.25">
      <c r="A60" s="1569" t="s">
        <v>1221</v>
      </c>
      <c r="B60" s="1572" t="s">
        <v>581</v>
      </c>
      <c r="C60" s="1571">
        <f>VLOOKUP(B60,'MB FEB'!B63:D149,3,FALSE)</f>
        <v>0.51039763863095744</v>
      </c>
      <c r="G60" s="951"/>
      <c r="H60" s="951"/>
      <c r="I60" s="951"/>
      <c r="J60" s="951"/>
      <c r="K60" s="951"/>
      <c r="L60" s="951"/>
      <c r="M60" s="951"/>
      <c r="N60" s="951"/>
      <c r="O60" s="951"/>
      <c r="P60" s="951"/>
      <c r="Q60" s="951"/>
      <c r="R60" s="951"/>
    </row>
    <row r="61" spans="1:18" s="956" customFormat="1" ht="19.5" customHeight="1" x14ac:dyDescent="0.25">
      <c r="A61" s="1569" t="s">
        <v>1221</v>
      </c>
      <c r="B61" s="1572" t="s">
        <v>582</v>
      </c>
      <c r="C61" s="1571">
        <f>VLOOKUP(B61,'MB FEB'!B64:D150,3,FALSE)</f>
        <v>0.54109050515847124</v>
      </c>
      <c r="G61" s="951"/>
      <c r="H61" s="951"/>
      <c r="I61" s="951"/>
      <c r="J61" s="951"/>
      <c r="K61" s="951"/>
      <c r="L61" s="951"/>
      <c r="M61" s="951"/>
      <c r="N61" s="951"/>
      <c r="O61" s="951"/>
      <c r="P61" s="951"/>
      <c r="Q61" s="951"/>
      <c r="R61" s="951"/>
    </row>
    <row r="62" spans="1:18" s="956" customFormat="1" ht="19.5" customHeight="1" x14ac:dyDescent="0.25">
      <c r="A62" s="1569" t="s">
        <v>1221</v>
      </c>
      <c r="B62" s="1572" t="s">
        <v>875</v>
      </c>
      <c r="C62" s="1571">
        <f>VLOOKUP(B62,'MB FEB'!B65:D151,3,FALSE)</f>
        <v>0.4825603814802425</v>
      </c>
      <c r="G62" s="951"/>
      <c r="H62" s="951"/>
      <c r="I62" s="951"/>
      <c r="J62" s="951"/>
      <c r="K62" s="951"/>
      <c r="L62" s="951"/>
      <c r="M62" s="951"/>
      <c r="N62" s="951"/>
      <c r="O62" s="951"/>
      <c r="P62" s="951"/>
      <c r="Q62" s="951"/>
      <c r="R62" s="951"/>
    </row>
    <row r="63" spans="1:18" s="956" customFormat="1" ht="19.5" customHeight="1" x14ac:dyDescent="0.25">
      <c r="A63" s="1569" t="s">
        <v>1221</v>
      </c>
      <c r="B63" s="1572" t="s">
        <v>876</v>
      </c>
      <c r="C63" s="1571">
        <f>VLOOKUP(B63,'MB FEB'!B66:D152,3,FALSE)</f>
        <v>0.45994617319326148</v>
      </c>
      <c r="G63" s="951"/>
      <c r="H63" s="951"/>
      <c r="I63" s="951"/>
      <c r="J63" s="951"/>
      <c r="K63" s="951"/>
      <c r="L63" s="951"/>
      <c r="M63" s="951"/>
      <c r="N63" s="951"/>
      <c r="O63" s="951"/>
      <c r="P63" s="951"/>
      <c r="Q63" s="951"/>
      <c r="R63" s="951"/>
    </row>
    <row r="64" spans="1:18" s="956" customFormat="1" ht="19.5" customHeight="1" x14ac:dyDescent="0.25">
      <c r="A64" s="1569" t="s">
        <v>1221</v>
      </c>
      <c r="B64" s="1572" t="str">
        <f>'MB FEB'!B72</f>
        <v>HAMBURGUESA DE POLLO X 750 5 UND</v>
      </c>
      <c r="C64" s="1571">
        <f>'MB FEB'!D72</f>
        <v>0.42336231190633239</v>
      </c>
      <c r="G64" s="951"/>
      <c r="H64" s="951"/>
      <c r="I64" s="951"/>
      <c r="J64" s="951"/>
      <c r="K64" s="951"/>
      <c r="L64" s="951"/>
      <c r="M64" s="951"/>
      <c r="N64" s="951"/>
      <c r="O64" s="951"/>
      <c r="P64" s="951"/>
      <c r="Q64" s="951"/>
      <c r="R64" s="951"/>
    </row>
    <row r="65" spans="1:18" s="956" customFormat="1" ht="19.5" customHeight="1" x14ac:dyDescent="0.25">
      <c r="A65" s="1573"/>
      <c r="B65" s="1574" t="s">
        <v>1250</v>
      </c>
      <c r="C65" s="1575">
        <f>AVERAGE(C59:C63)</f>
        <v>0.44091654296205302</v>
      </c>
      <c r="G65" s="951"/>
      <c r="H65" s="951"/>
      <c r="I65" s="951"/>
      <c r="J65" s="951"/>
      <c r="K65" s="951"/>
      <c r="L65" s="951"/>
      <c r="M65" s="951"/>
      <c r="N65" s="951"/>
      <c r="O65" s="951"/>
      <c r="P65" s="951"/>
      <c r="Q65" s="951"/>
      <c r="R65" s="951"/>
    </row>
    <row r="66" spans="1:18" s="956" customFormat="1" ht="19.5" customHeight="1" x14ac:dyDescent="0.25">
      <c r="A66" s="1566" t="s">
        <v>635</v>
      </c>
      <c r="B66" s="1566" t="s">
        <v>642</v>
      </c>
      <c r="C66" s="1567" t="str">
        <f>'CIF Y PV'!F6</f>
        <v>MB-JUN</v>
      </c>
      <c r="G66" s="951"/>
      <c r="H66" s="951"/>
      <c r="I66" s="951"/>
      <c r="J66" s="951"/>
      <c r="K66" s="951"/>
      <c r="L66" s="951"/>
      <c r="M66" s="951"/>
      <c r="N66" s="951"/>
      <c r="O66" s="951"/>
      <c r="P66" s="951"/>
      <c r="Q66" s="951"/>
      <c r="R66" s="951"/>
    </row>
    <row r="67" spans="1:18" s="956" customFormat="1" ht="19.5" customHeight="1" x14ac:dyDescent="0.25">
      <c r="A67" s="1569" t="s">
        <v>1221</v>
      </c>
      <c r="B67" s="1570" t="s">
        <v>883</v>
      </c>
      <c r="C67" s="1576">
        <f>VLOOKUP(B67,'MB FEB'!B69:D155,3,FALSE)</f>
        <v>0.97784913513693439</v>
      </c>
      <c r="G67" s="951"/>
      <c r="H67" s="951"/>
      <c r="I67" s="951"/>
      <c r="J67" s="951"/>
      <c r="K67" s="951"/>
      <c r="L67" s="951"/>
      <c r="M67" s="951"/>
      <c r="N67" s="951"/>
      <c r="O67" s="951"/>
      <c r="P67" s="951"/>
      <c r="Q67" s="951"/>
      <c r="R67" s="951"/>
    </row>
    <row r="68" spans="1:18" s="956" customFormat="1" ht="19.5" customHeight="1" x14ac:dyDescent="0.25">
      <c r="A68" s="1569"/>
      <c r="B68" s="1570"/>
      <c r="C68" s="1576"/>
      <c r="G68" s="951"/>
      <c r="H68" s="951"/>
      <c r="I68" s="951"/>
      <c r="J68" s="951"/>
      <c r="K68" s="951"/>
      <c r="L68" s="951"/>
      <c r="M68" s="951"/>
      <c r="N68" s="951"/>
      <c r="O68" s="951"/>
      <c r="P68" s="951"/>
      <c r="Q68" s="951"/>
      <c r="R68" s="951"/>
    </row>
    <row r="69" spans="1:18" s="956" customFormat="1" ht="19.5" customHeight="1" x14ac:dyDescent="0.25">
      <c r="A69" s="1573"/>
      <c r="B69" s="1574" t="s">
        <v>1251</v>
      </c>
      <c r="C69" s="1575">
        <f>AVERAGE(C67:C68)</f>
        <v>0.97784913513693439</v>
      </c>
      <c r="G69" s="951"/>
      <c r="H69" s="951"/>
      <c r="I69" s="951"/>
      <c r="J69" s="951"/>
      <c r="K69" s="951"/>
      <c r="L69" s="951"/>
      <c r="M69" s="951"/>
      <c r="N69" s="951"/>
      <c r="O69" s="951"/>
      <c r="P69" s="951"/>
      <c r="Q69" s="951"/>
      <c r="R69" s="951"/>
    </row>
    <row r="70" spans="1:18" s="956" customFormat="1" ht="19.5" customHeight="1" x14ac:dyDescent="0.25">
      <c r="A70" s="1566" t="s">
        <v>635</v>
      </c>
      <c r="B70" s="1566" t="s">
        <v>960</v>
      </c>
      <c r="C70" s="1567" t="str">
        <f>'CIF Y PV'!F6</f>
        <v>MB-JUN</v>
      </c>
      <c r="G70" s="951"/>
      <c r="H70" s="951"/>
      <c r="I70" s="951"/>
      <c r="J70" s="951"/>
      <c r="K70" s="951"/>
      <c r="L70" s="951"/>
      <c r="M70" s="951"/>
      <c r="N70" s="951"/>
      <c r="O70" s="951"/>
      <c r="P70" s="951"/>
      <c r="Q70" s="951"/>
      <c r="R70" s="951"/>
    </row>
    <row r="71" spans="1:18" s="956" customFormat="1" ht="19.5" customHeight="1" x14ac:dyDescent="0.25">
      <c r="A71" s="1569" t="s">
        <v>1221</v>
      </c>
      <c r="B71" s="1572" t="s">
        <v>961</v>
      </c>
      <c r="C71" s="1577">
        <f>VLOOKUP(B71,'MB FEB'!B74:D159,3,FALSE)</f>
        <v>0.53795250608366596</v>
      </c>
      <c r="G71" s="951"/>
      <c r="H71" s="951"/>
      <c r="I71" s="951"/>
      <c r="J71" s="951"/>
      <c r="K71" s="951"/>
      <c r="L71" s="951"/>
      <c r="M71" s="951"/>
      <c r="N71" s="951"/>
      <c r="O71" s="951"/>
      <c r="P71" s="951"/>
      <c r="Q71" s="951"/>
      <c r="R71" s="951"/>
    </row>
    <row r="72" spans="1:18" s="956" customFormat="1" ht="19.5" customHeight="1" x14ac:dyDescent="0.25">
      <c r="A72" s="1569" t="s">
        <v>1221</v>
      </c>
      <c r="B72" s="1572" t="s">
        <v>962</v>
      </c>
      <c r="C72" s="1577">
        <f>VLOOKUP(B72,'MB FEB'!B75:D160,3,FALSE)</f>
        <v>0.48791509313088038</v>
      </c>
      <c r="G72" s="951"/>
      <c r="H72" s="951"/>
      <c r="I72" s="951"/>
      <c r="J72" s="951"/>
      <c r="K72" s="951"/>
      <c r="L72" s="951"/>
      <c r="M72" s="951"/>
      <c r="N72" s="951"/>
      <c r="O72" s="951"/>
      <c r="P72" s="951"/>
      <c r="Q72" s="951"/>
      <c r="R72" s="951"/>
    </row>
    <row r="73" spans="1:18" s="956" customFormat="1" ht="19.5" customHeight="1" x14ac:dyDescent="0.25">
      <c r="A73" s="1569" t="s">
        <v>1221</v>
      </c>
      <c r="B73" s="1572" t="s">
        <v>1232</v>
      </c>
      <c r="C73" s="1577">
        <f>VLOOKUP(B73,'MB FEB'!B76:D161,3,FALSE)</f>
        <v>0.52149942453164366</v>
      </c>
      <c r="G73" s="951"/>
      <c r="H73" s="951"/>
      <c r="I73" s="951"/>
      <c r="J73" s="951"/>
      <c r="K73" s="951"/>
      <c r="L73" s="951"/>
      <c r="M73" s="951"/>
      <c r="N73" s="951"/>
      <c r="O73" s="951"/>
      <c r="P73" s="951"/>
      <c r="Q73" s="951"/>
      <c r="R73" s="951"/>
    </row>
    <row r="74" spans="1:18" s="956" customFormat="1" ht="19.5" customHeight="1" x14ac:dyDescent="0.25">
      <c r="A74" s="1573"/>
      <c r="B74" s="1574" t="s">
        <v>1252</v>
      </c>
      <c r="C74" s="1575">
        <f>AVERAGE(C71:C73)</f>
        <v>0.51578900791539661</v>
      </c>
      <c r="G74" s="951"/>
      <c r="H74" s="951"/>
      <c r="I74" s="951"/>
      <c r="J74" s="951"/>
      <c r="K74" s="951"/>
      <c r="L74" s="951"/>
      <c r="M74" s="951"/>
      <c r="N74" s="951"/>
      <c r="O74" s="951"/>
      <c r="P74" s="951"/>
      <c r="Q74" s="951"/>
      <c r="R74" s="951"/>
    </row>
    <row r="77" spans="1:18" s="956" customFormat="1" ht="19.5" customHeight="1" x14ac:dyDescent="0.25">
      <c r="A77" s="957"/>
      <c r="B77" s="1578" t="s">
        <v>1253</v>
      </c>
      <c r="C77" s="1579" t="str">
        <f>'CIF Y PV'!F6</f>
        <v>MB-JUN</v>
      </c>
      <c r="D77" s="1578" t="s">
        <v>602</v>
      </c>
      <c r="G77" s="951"/>
      <c r="H77" s="951"/>
      <c r="I77" s="951"/>
      <c r="J77" s="951"/>
      <c r="K77" s="951"/>
      <c r="L77" s="951"/>
      <c r="M77" s="951"/>
      <c r="N77" s="951"/>
      <c r="O77" s="951"/>
      <c r="P77" s="951"/>
      <c r="Q77" s="951"/>
      <c r="R77" s="951"/>
    </row>
    <row r="78" spans="1:18" s="956" customFormat="1" ht="19.5" customHeight="1" x14ac:dyDescent="0.25">
      <c r="A78" s="957"/>
      <c r="B78" s="1570" t="s">
        <v>1246</v>
      </c>
      <c r="C78" s="1580">
        <f t="shared" ref="C78:C84" si="0">VLOOKUP(B78,B3:C74,2,FALSE)</f>
        <v>0.51029931210683377</v>
      </c>
      <c r="D78" s="1581">
        <v>0.35</v>
      </c>
      <c r="G78" s="951"/>
      <c r="H78" s="951"/>
      <c r="I78" s="951"/>
      <c r="J78" s="951"/>
      <c r="K78" s="951"/>
      <c r="L78" s="951"/>
      <c r="M78" s="951"/>
      <c r="N78" s="951"/>
      <c r="O78" s="951"/>
      <c r="P78" s="951"/>
      <c r="Q78" s="951"/>
      <c r="R78" s="951"/>
    </row>
    <row r="79" spans="1:18" s="956" customFormat="1" ht="19.5" customHeight="1" x14ac:dyDescent="0.25">
      <c r="A79" s="957"/>
      <c r="B79" s="1570" t="s">
        <v>1247</v>
      </c>
      <c r="C79" s="1580">
        <f t="shared" si="0"/>
        <v>0.47141656909261054</v>
      </c>
      <c r="D79" s="1581">
        <v>0.35</v>
      </c>
      <c r="G79" s="951"/>
      <c r="H79" s="951"/>
      <c r="I79" s="951"/>
      <c r="J79" s="951"/>
      <c r="K79" s="951"/>
      <c r="L79" s="951"/>
      <c r="M79" s="951"/>
      <c r="N79" s="951"/>
      <c r="O79" s="951"/>
      <c r="P79" s="951"/>
      <c r="Q79" s="951"/>
      <c r="R79" s="951"/>
    </row>
    <row r="80" spans="1:18" s="956" customFormat="1" ht="19.5" customHeight="1" x14ac:dyDescent="0.25">
      <c r="A80" s="957"/>
      <c r="B80" s="1570" t="s">
        <v>1248</v>
      </c>
      <c r="C80" s="1580">
        <f t="shared" si="0"/>
        <v>0.55966632432529284</v>
      </c>
      <c r="D80" s="1581">
        <v>0.35</v>
      </c>
      <c r="G80" s="951"/>
      <c r="H80" s="951"/>
      <c r="I80" s="951"/>
      <c r="J80" s="951"/>
      <c r="K80" s="951"/>
      <c r="L80" s="951"/>
      <c r="M80" s="951"/>
      <c r="N80" s="951"/>
      <c r="O80" s="951"/>
      <c r="P80" s="951"/>
      <c r="Q80" s="951"/>
      <c r="R80" s="951"/>
    </row>
    <row r="81" spans="1:18" s="956" customFormat="1" ht="19.5" customHeight="1" x14ac:dyDescent="0.25">
      <c r="A81" s="957"/>
      <c r="B81" s="1570" t="s">
        <v>1249</v>
      </c>
      <c r="C81" s="1580">
        <f t="shared" si="0"/>
        <v>0.56323597189476937</v>
      </c>
      <c r="D81" s="1581">
        <v>0.35</v>
      </c>
      <c r="G81" s="951"/>
      <c r="H81" s="951"/>
      <c r="I81" s="951"/>
      <c r="J81" s="951"/>
      <c r="K81" s="951"/>
      <c r="L81" s="951"/>
      <c r="M81" s="951"/>
      <c r="N81" s="951"/>
      <c r="O81" s="951"/>
      <c r="P81" s="951"/>
      <c r="Q81" s="951"/>
      <c r="R81" s="951"/>
    </row>
    <row r="82" spans="1:18" s="956" customFormat="1" ht="19.5" customHeight="1" x14ac:dyDescent="0.25">
      <c r="A82" s="957"/>
      <c r="B82" s="1570" t="s">
        <v>1250</v>
      </c>
      <c r="C82" s="1580">
        <f t="shared" si="0"/>
        <v>0.44091654296205302</v>
      </c>
      <c r="D82" s="1581">
        <v>0.35</v>
      </c>
      <c r="G82" s="951"/>
      <c r="H82" s="951"/>
      <c r="I82" s="951"/>
      <c r="J82" s="951"/>
      <c r="K82" s="951"/>
      <c r="L82" s="951"/>
      <c r="M82" s="951"/>
      <c r="N82" s="951"/>
      <c r="O82" s="951"/>
      <c r="P82" s="951"/>
      <c r="Q82" s="951"/>
      <c r="R82" s="951"/>
    </row>
    <row r="83" spans="1:18" s="956" customFormat="1" ht="19.5" customHeight="1" x14ac:dyDescent="0.25">
      <c r="A83" s="957"/>
      <c r="B83" s="1570" t="s">
        <v>1251</v>
      </c>
      <c r="C83" s="1580">
        <f t="shared" si="0"/>
        <v>0.97784913513693439</v>
      </c>
      <c r="D83" s="1581">
        <v>0.35</v>
      </c>
      <c r="G83" s="951"/>
      <c r="H83" s="951"/>
      <c r="I83" s="951"/>
      <c r="J83" s="951"/>
      <c r="K83" s="951"/>
      <c r="L83" s="951"/>
      <c r="M83" s="951"/>
      <c r="N83" s="951"/>
      <c r="O83" s="951"/>
      <c r="P83" s="951"/>
      <c r="Q83" s="951"/>
      <c r="R83" s="951"/>
    </row>
    <row r="84" spans="1:18" s="956" customFormat="1" ht="19.5" customHeight="1" x14ac:dyDescent="0.25">
      <c r="A84" s="957"/>
      <c r="B84" s="1570" t="s">
        <v>1252</v>
      </c>
      <c r="C84" s="1580">
        <f t="shared" si="0"/>
        <v>0.51578900791539661</v>
      </c>
      <c r="D84" s="1581">
        <v>0.35</v>
      </c>
      <c r="G84" s="951"/>
      <c r="H84" s="951"/>
      <c r="I84" s="951"/>
      <c r="J84" s="951"/>
      <c r="K84" s="951"/>
      <c r="L84" s="951"/>
      <c r="M84" s="951"/>
      <c r="N84" s="951"/>
      <c r="O84" s="951"/>
      <c r="P84" s="951"/>
      <c r="Q84" s="951"/>
      <c r="R84" s="951"/>
    </row>
    <row r="144" spans="1:18" s="959" customFormat="1" ht="19.5" customHeight="1" x14ac:dyDescent="0.25">
      <c r="A144" s="957"/>
      <c r="B144" s="956"/>
      <c r="C144" s="958"/>
      <c r="D144" s="956"/>
      <c r="E144" s="956"/>
      <c r="F144" s="956"/>
      <c r="G144" s="951"/>
      <c r="H144" s="951"/>
      <c r="I144" s="951"/>
      <c r="J144" s="951"/>
      <c r="K144" s="951"/>
      <c r="L144" s="951"/>
      <c r="M144" s="951"/>
      <c r="N144" s="951"/>
      <c r="O144" s="951"/>
      <c r="P144" s="951"/>
      <c r="Q144" s="951"/>
      <c r="R144" s="951"/>
    </row>
    <row r="145" spans="1:18" s="959" customFormat="1" ht="19.5" customHeight="1" x14ac:dyDescent="0.25">
      <c r="A145" s="957"/>
      <c r="B145" s="956"/>
      <c r="C145" s="958"/>
      <c r="D145" s="956"/>
      <c r="E145" s="956"/>
      <c r="F145" s="956"/>
      <c r="G145" s="951"/>
      <c r="H145" s="951"/>
      <c r="I145" s="951"/>
      <c r="J145" s="951"/>
      <c r="K145" s="951"/>
      <c r="L145" s="951"/>
      <c r="M145" s="951"/>
      <c r="N145" s="951"/>
      <c r="O145" s="951"/>
      <c r="P145" s="951"/>
      <c r="Q145" s="951"/>
      <c r="R145" s="951"/>
    </row>
    <row r="146" spans="1:18" s="959" customFormat="1" ht="19.5" customHeight="1" x14ac:dyDescent="0.25">
      <c r="A146" s="957"/>
      <c r="B146" s="956"/>
      <c r="C146" s="958"/>
      <c r="D146" s="956"/>
      <c r="E146" s="956"/>
      <c r="F146" s="956"/>
      <c r="G146" s="951"/>
      <c r="H146" s="951"/>
      <c r="I146" s="951"/>
      <c r="J146" s="951"/>
      <c r="K146" s="951"/>
      <c r="L146" s="951"/>
      <c r="M146" s="951"/>
      <c r="N146" s="951"/>
      <c r="O146" s="951"/>
      <c r="P146" s="951"/>
      <c r="Q146" s="951"/>
      <c r="R146" s="951"/>
    </row>
    <row r="147" spans="1:18" s="959" customFormat="1" ht="19.5" customHeight="1" x14ac:dyDescent="0.25">
      <c r="A147" s="957"/>
      <c r="B147" s="956"/>
      <c r="C147" s="958"/>
      <c r="D147" s="956"/>
      <c r="E147" s="956"/>
      <c r="F147" s="956"/>
      <c r="G147" s="951"/>
      <c r="H147" s="951"/>
      <c r="I147" s="951"/>
      <c r="J147" s="951"/>
      <c r="K147" s="951"/>
      <c r="L147" s="951"/>
      <c r="M147" s="951"/>
      <c r="N147" s="951"/>
      <c r="O147" s="951"/>
      <c r="P147" s="951"/>
      <c r="Q147" s="951"/>
      <c r="R147" s="951"/>
    </row>
    <row r="148" spans="1:18" s="959" customFormat="1" ht="19.5" customHeight="1" x14ac:dyDescent="0.25">
      <c r="A148" s="957"/>
      <c r="B148" s="956"/>
      <c r="C148" s="958"/>
      <c r="D148" s="956"/>
      <c r="E148" s="956"/>
      <c r="F148" s="956"/>
      <c r="G148" s="951"/>
      <c r="H148" s="951"/>
      <c r="I148" s="951"/>
      <c r="J148" s="951"/>
      <c r="K148" s="951"/>
      <c r="L148" s="951"/>
      <c r="M148" s="951"/>
      <c r="N148" s="951"/>
      <c r="O148" s="951"/>
      <c r="P148" s="951"/>
      <c r="Q148" s="951"/>
      <c r="R148" s="951"/>
    </row>
    <row r="149" spans="1:18" s="959" customFormat="1" ht="19.5" customHeight="1" x14ac:dyDescent="0.25">
      <c r="A149" s="957"/>
      <c r="B149" s="956"/>
      <c r="C149" s="958"/>
      <c r="D149" s="956"/>
      <c r="E149" s="956"/>
      <c r="F149" s="956"/>
      <c r="G149" s="951"/>
      <c r="H149" s="951"/>
      <c r="I149" s="951"/>
      <c r="J149" s="951"/>
      <c r="K149" s="951"/>
      <c r="L149" s="951"/>
      <c r="M149" s="951"/>
      <c r="N149" s="951"/>
      <c r="O149" s="951"/>
      <c r="P149" s="951"/>
      <c r="Q149" s="951"/>
      <c r="R149" s="951"/>
    </row>
    <row r="150" spans="1:18" s="959" customFormat="1" ht="19.5" customHeight="1" x14ac:dyDescent="0.25">
      <c r="A150" s="957"/>
      <c r="B150" s="956"/>
      <c r="C150" s="958"/>
      <c r="D150" s="956"/>
      <c r="E150" s="956"/>
      <c r="F150" s="956"/>
      <c r="G150" s="951"/>
      <c r="H150" s="951"/>
      <c r="I150" s="951"/>
      <c r="J150" s="951"/>
      <c r="K150" s="951"/>
      <c r="L150" s="951"/>
      <c r="M150" s="951"/>
      <c r="N150" s="951"/>
      <c r="O150" s="951"/>
      <c r="P150" s="951"/>
      <c r="Q150" s="951"/>
      <c r="R150" s="951"/>
    </row>
    <row r="151" spans="1:18" s="959" customFormat="1" ht="19.5" customHeight="1" x14ac:dyDescent="0.25">
      <c r="A151" s="957"/>
      <c r="B151" s="956"/>
      <c r="C151" s="958"/>
      <c r="D151" s="956"/>
      <c r="E151" s="956"/>
      <c r="F151" s="956"/>
      <c r="G151" s="951"/>
      <c r="H151" s="951"/>
      <c r="I151" s="951"/>
      <c r="J151" s="951"/>
      <c r="K151" s="951"/>
      <c r="L151" s="951"/>
      <c r="M151" s="951"/>
      <c r="N151" s="951"/>
      <c r="O151" s="951"/>
      <c r="P151" s="951"/>
      <c r="Q151" s="951"/>
      <c r="R151" s="951"/>
    </row>
    <row r="152" spans="1:18" s="959" customFormat="1" ht="19.5" customHeight="1" x14ac:dyDescent="0.25">
      <c r="A152" s="957"/>
      <c r="B152" s="956"/>
      <c r="C152" s="958"/>
      <c r="D152" s="956"/>
      <c r="E152" s="956"/>
      <c r="F152" s="956"/>
      <c r="G152" s="951"/>
      <c r="H152" s="951"/>
      <c r="I152" s="951"/>
      <c r="J152" s="951"/>
      <c r="K152" s="951"/>
      <c r="L152" s="951"/>
      <c r="M152" s="951"/>
      <c r="N152" s="951"/>
      <c r="O152" s="951"/>
      <c r="P152" s="951"/>
      <c r="Q152" s="951"/>
      <c r="R152" s="951"/>
    </row>
    <row r="153" spans="1:18" s="959" customFormat="1" ht="19.5" customHeight="1" x14ac:dyDescent="0.25">
      <c r="A153" s="957"/>
      <c r="B153" s="956"/>
      <c r="C153" s="958"/>
      <c r="D153" s="956"/>
      <c r="E153" s="956"/>
      <c r="F153" s="956"/>
      <c r="G153" s="951"/>
      <c r="H153" s="951"/>
      <c r="I153" s="951"/>
      <c r="J153" s="951"/>
      <c r="K153" s="951"/>
      <c r="L153" s="951"/>
      <c r="M153" s="951"/>
      <c r="N153" s="951"/>
      <c r="O153" s="951"/>
      <c r="P153" s="951"/>
      <c r="Q153" s="951"/>
      <c r="R153" s="951"/>
    </row>
    <row r="154" spans="1:18" s="959" customFormat="1" ht="19.5" customHeight="1" x14ac:dyDescent="0.25">
      <c r="A154" s="957"/>
      <c r="B154" s="956"/>
      <c r="C154" s="958"/>
      <c r="D154" s="956"/>
      <c r="E154" s="956"/>
      <c r="F154" s="956"/>
      <c r="G154" s="951"/>
      <c r="H154" s="951"/>
      <c r="I154" s="951"/>
      <c r="J154" s="951"/>
      <c r="K154" s="951"/>
      <c r="L154" s="951"/>
      <c r="M154" s="951"/>
      <c r="N154" s="951"/>
      <c r="O154" s="951"/>
      <c r="P154" s="951"/>
      <c r="Q154" s="951"/>
      <c r="R154" s="951"/>
    </row>
    <row r="155" spans="1:18" s="959" customFormat="1" ht="19.5" customHeight="1" x14ac:dyDescent="0.25">
      <c r="A155" s="960"/>
      <c r="B155" s="956"/>
      <c r="C155" s="958"/>
      <c r="D155" s="956"/>
      <c r="E155" s="956"/>
      <c r="F155" s="956"/>
      <c r="G155" s="951"/>
      <c r="H155" s="951"/>
      <c r="I155" s="951"/>
      <c r="J155" s="951"/>
      <c r="K155" s="951"/>
      <c r="L155" s="951"/>
      <c r="M155" s="951"/>
      <c r="N155" s="951"/>
      <c r="O155" s="951"/>
      <c r="P155" s="951"/>
      <c r="Q155" s="951"/>
      <c r="R155" s="951"/>
    </row>
    <row r="156" spans="1:18" s="959" customFormat="1" ht="19.5" customHeight="1" x14ac:dyDescent="0.25">
      <c r="A156" s="960"/>
      <c r="B156" s="956"/>
      <c r="C156" s="958"/>
      <c r="D156" s="956"/>
      <c r="E156" s="956"/>
      <c r="F156" s="956"/>
      <c r="G156" s="951"/>
      <c r="H156" s="951"/>
      <c r="I156" s="951"/>
      <c r="J156" s="951"/>
      <c r="K156" s="951"/>
      <c r="L156" s="951"/>
      <c r="M156" s="951"/>
      <c r="N156" s="951"/>
      <c r="O156" s="951"/>
      <c r="P156" s="951"/>
      <c r="Q156" s="951"/>
      <c r="R156" s="951"/>
    </row>
    <row r="157" spans="1:18" s="959" customFormat="1" ht="19.5" customHeight="1" x14ac:dyDescent="0.25">
      <c r="A157" s="960"/>
      <c r="B157" s="956"/>
      <c r="C157" s="958"/>
      <c r="D157" s="956"/>
      <c r="E157" s="956"/>
      <c r="F157" s="956"/>
      <c r="G157" s="951"/>
      <c r="H157" s="951"/>
      <c r="I157" s="951"/>
      <c r="J157" s="951"/>
      <c r="K157" s="951"/>
      <c r="L157" s="951"/>
      <c r="M157" s="951"/>
      <c r="N157" s="951"/>
      <c r="O157" s="951"/>
      <c r="P157" s="951"/>
      <c r="Q157" s="951"/>
      <c r="R157" s="951"/>
    </row>
    <row r="158" spans="1:18" s="959" customFormat="1" ht="19.5" customHeight="1" x14ac:dyDescent="0.25">
      <c r="A158" s="960"/>
      <c r="B158" s="956"/>
      <c r="C158" s="958"/>
      <c r="D158" s="956"/>
      <c r="E158" s="956"/>
      <c r="F158" s="956"/>
      <c r="G158" s="951"/>
      <c r="H158" s="951"/>
      <c r="I158" s="951"/>
      <c r="J158" s="951"/>
      <c r="K158" s="951"/>
      <c r="L158" s="951"/>
      <c r="M158" s="951"/>
      <c r="N158" s="951"/>
      <c r="O158" s="951"/>
      <c r="P158" s="951"/>
      <c r="Q158" s="951"/>
      <c r="R158" s="951"/>
    </row>
    <row r="159" spans="1:18" s="959" customFormat="1" ht="19.5" customHeight="1" x14ac:dyDescent="0.25">
      <c r="A159" s="960"/>
      <c r="B159" s="956"/>
      <c r="C159" s="958"/>
      <c r="D159" s="956"/>
      <c r="E159" s="956"/>
      <c r="F159" s="956"/>
      <c r="G159" s="951"/>
      <c r="H159" s="951"/>
      <c r="I159" s="951"/>
      <c r="J159" s="951"/>
      <c r="K159" s="951"/>
      <c r="L159" s="951"/>
      <c r="M159" s="951"/>
      <c r="N159" s="951"/>
      <c r="O159" s="951"/>
      <c r="P159" s="951"/>
      <c r="Q159" s="951"/>
      <c r="R159" s="951"/>
    </row>
    <row r="160" spans="1:18" s="959" customFormat="1" ht="19.5" customHeight="1" x14ac:dyDescent="0.25">
      <c r="A160" s="960"/>
      <c r="B160" s="956"/>
      <c r="C160" s="958"/>
      <c r="D160" s="956"/>
      <c r="E160" s="956"/>
      <c r="F160" s="956"/>
      <c r="G160" s="951"/>
      <c r="H160" s="951"/>
      <c r="I160" s="951"/>
      <c r="J160" s="951"/>
      <c r="K160" s="951"/>
      <c r="L160" s="951"/>
      <c r="M160" s="951"/>
      <c r="N160" s="951"/>
      <c r="O160" s="951"/>
      <c r="P160" s="951"/>
      <c r="Q160" s="951"/>
      <c r="R160" s="951"/>
    </row>
    <row r="161" spans="1:18" s="959" customFormat="1" ht="19.5" customHeight="1" x14ac:dyDescent="0.25">
      <c r="A161" s="960"/>
      <c r="B161" s="956"/>
      <c r="C161" s="958"/>
      <c r="D161" s="956"/>
      <c r="E161" s="956"/>
      <c r="F161" s="956"/>
      <c r="G161" s="951"/>
      <c r="H161" s="951"/>
      <c r="I161" s="951"/>
      <c r="J161" s="951"/>
      <c r="K161" s="951"/>
      <c r="L161" s="951"/>
      <c r="M161" s="951"/>
      <c r="N161" s="951"/>
      <c r="O161" s="951"/>
      <c r="P161" s="951"/>
      <c r="Q161" s="951"/>
      <c r="R161" s="951"/>
    </row>
    <row r="162" spans="1:18" s="959" customFormat="1" ht="19.5" customHeight="1" x14ac:dyDescent="0.25">
      <c r="A162" s="960"/>
      <c r="B162" s="956"/>
      <c r="C162" s="958"/>
      <c r="D162" s="956"/>
      <c r="E162" s="956"/>
      <c r="F162" s="956"/>
      <c r="G162" s="951"/>
      <c r="H162" s="951"/>
      <c r="I162" s="951"/>
      <c r="J162" s="951"/>
      <c r="K162" s="951"/>
      <c r="L162" s="951"/>
      <c r="M162" s="951"/>
      <c r="N162" s="951"/>
      <c r="O162" s="951"/>
      <c r="P162" s="951"/>
      <c r="Q162" s="951"/>
      <c r="R162" s="951"/>
    </row>
    <row r="163" spans="1:18" s="959" customFormat="1" ht="19.5" customHeight="1" x14ac:dyDescent="0.25">
      <c r="A163" s="960"/>
      <c r="B163" s="956"/>
      <c r="C163" s="958"/>
      <c r="D163" s="956"/>
      <c r="E163" s="956"/>
      <c r="F163" s="956"/>
      <c r="G163" s="951"/>
      <c r="H163" s="951"/>
      <c r="I163" s="951"/>
      <c r="J163" s="951"/>
      <c r="K163" s="951"/>
      <c r="L163" s="951"/>
      <c r="M163" s="951"/>
      <c r="N163" s="951"/>
      <c r="O163" s="951"/>
      <c r="P163" s="951"/>
      <c r="Q163" s="951"/>
      <c r="R163" s="951"/>
    </row>
    <row r="164" spans="1:18" s="959" customFormat="1" ht="19.5" customHeight="1" x14ac:dyDescent="0.25">
      <c r="A164" s="960"/>
      <c r="B164" s="956"/>
      <c r="C164" s="958"/>
      <c r="D164" s="956"/>
      <c r="E164" s="956"/>
      <c r="F164" s="956"/>
      <c r="G164" s="951"/>
      <c r="H164" s="951"/>
      <c r="I164" s="951"/>
      <c r="J164" s="951"/>
      <c r="K164" s="951"/>
      <c r="L164" s="951"/>
      <c r="M164" s="951"/>
      <c r="N164" s="951"/>
      <c r="O164" s="951"/>
      <c r="P164" s="951"/>
      <c r="Q164" s="951"/>
      <c r="R164" s="951"/>
    </row>
    <row r="165" spans="1:18" s="959" customFormat="1" ht="19.5" customHeight="1" x14ac:dyDescent="0.25">
      <c r="A165" s="960"/>
      <c r="B165" s="956"/>
      <c r="C165" s="958"/>
      <c r="D165" s="956"/>
      <c r="E165" s="956"/>
      <c r="F165" s="956"/>
      <c r="G165" s="951"/>
      <c r="H165" s="951"/>
      <c r="I165" s="951"/>
      <c r="J165" s="951"/>
      <c r="K165" s="951"/>
      <c r="L165" s="951"/>
      <c r="M165" s="951"/>
      <c r="N165" s="951"/>
      <c r="O165" s="951"/>
      <c r="P165" s="951"/>
      <c r="Q165" s="951"/>
      <c r="R165" s="951"/>
    </row>
    <row r="166" spans="1:18" s="959" customFormat="1" ht="19.5" customHeight="1" x14ac:dyDescent="0.25">
      <c r="A166" s="960"/>
      <c r="B166" s="956"/>
      <c r="C166" s="958"/>
      <c r="D166" s="956"/>
      <c r="E166" s="956"/>
      <c r="F166" s="956"/>
      <c r="G166" s="951"/>
      <c r="H166" s="951"/>
      <c r="I166" s="951"/>
      <c r="J166" s="951"/>
      <c r="K166" s="951"/>
      <c r="L166" s="951"/>
      <c r="M166" s="951"/>
      <c r="N166" s="951"/>
      <c r="O166" s="951"/>
      <c r="P166" s="951"/>
      <c r="Q166" s="951"/>
      <c r="R166" s="951"/>
    </row>
    <row r="167" spans="1:18" s="959" customFormat="1" ht="19.5" customHeight="1" x14ac:dyDescent="0.25">
      <c r="A167" s="960"/>
      <c r="B167" s="956"/>
      <c r="C167" s="958"/>
      <c r="D167" s="956"/>
      <c r="E167" s="956"/>
      <c r="F167" s="956"/>
      <c r="G167" s="951"/>
      <c r="H167" s="951"/>
      <c r="I167" s="951"/>
      <c r="J167" s="951"/>
      <c r="K167" s="951"/>
      <c r="L167" s="951"/>
      <c r="M167" s="951"/>
      <c r="N167" s="951"/>
      <c r="O167" s="951"/>
      <c r="P167" s="951"/>
      <c r="Q167" s="951"/>
      <c r="R167" s="951"/>
    </row>
    <row r="168" spans="1:18" s="959" customFormat="1" ht="19.5" customHeight="1" x14ac:dyDescent="0.25">
      <c r="A168" s="960"/>
      <c r="B168" s="956"/>
      <c r="C168" s="958"/>
      <c r="D168" s="956"/>
      <c r="E168" s="956"/>
      <c r="F168" s="956"/>
      <c r="G168" s="951"/>
      <c r="H168" s="951"/>
      <c r="I168" s="951"/>
      <c r="J168" s="951"/>
      <c r="K168" s="951"/>
      <c r="L168" s="951"/>
      <c r="M168" s="951"/>
      <c r="N168" s="951"/>
      <c r="O168" s="951"/>
      <c r="P168" s="951"/>
      <c r="Q168" s="951"/>
      <c r="R168" s="951"/>
    </row>
    <row r="169" spans="1:18" s="959" customFormat="1" ht="19.5" customHeight="1" x14ac:dyDescent="0.25">
      <c r="A169" s="960"/>
      <c r="B169" s="956"/>
      <c r="C169" s="958"/>
      <c r="D169" s="956"/>
      <c r="E169" s="956"/>
      <c r="F169" s="956"/>
      <c r="G169" s="951"/>
      <c r="H169" s="951"/>
      <c r="I169" s="951"/>
      <c r="J169" s="951"/>
      <c r="K169" s="951"/>
      <c r="L169" s="951"/>
      <c r="M169" s="951"/>
      <c r="N169" s="951"/>
      <c r="O169" s="951"/>
      <c r="P169" s="951"/>
      <c r="Q169" s="951"/>
      <c r="R169" s="951"/>
    </row>
    <row r="170" spans="1:18" s="959" customFormat="1" ht="19.5" customHeight="1" x14ac:dyDescent="0.25">
      <c r="A170" s="960"/>
      <c r="B170" s="956"/>
      <c r="C170" s="958"/>
      <c r="D170" s="956"/>
      <c r="E170" s="956"/>
      <c r="F170" s="956"/>
      <c r="G170" s="951"/>
      <c r="H170" s="951"/>
      <c r="I170" s="951"/>
      <c r="J170" s="951"/>
      <c r="K170" s="951"/>
      <c r="L170" s="951"/>
      <c r="M170" s="951"/>
      <c r="N170" s="951"/>
      <c r="O170" s="951"/>
      <c r="P170" s="951"/>
      <c r="Q170" s="951"/>
      <c r="R170" s="951"/>
    </row>
    <row r="171" spans="1:18" s="959" customFormat="1" ht="19.5" customHeight="1" x14ac:dyDescent="0.25">
      <c r="A171" s="960"/>
      <c r="B171" s="956"/>
      <c r="C171" s="958"/>
      <c r="D171" s="956"/>
      <c r="E171" s="956"/>
      <c r="F171" s="956"/>
      <c r="G171" s="951"/>
      <c r="H171" s="951"/>
      <c r="I171" s="951"/>
      <c r="J171" s="951"/>
      <c r="K171" s="951"/>
      <c r="L171" s="951"/>
      <c r="M171" s="951"/>
      <c r="N171" s="951"/>
      <c r="O171" s="951"/>
      <c r="P171" s="951"/>
      <c r="Q171" s="951"/>
      <c r="R171" s="951"/>
    </row>
    <row r="172" spans="1:18" s="959" customFormat="1" ht="19.5" customHeight="1" x14ac:dyDescent="0.25">
      <c r="A172" s="960"/>
      <c r="B172" s="956"/>
      <c r="C172" s="958"/>
      <c r="D172" s="956"/>
      <c r="E172" s="956"/>
      <c r="F172" s="956"/>
      <c r="G172" s="951"/>
      <c r="H172" s="951"/>
      <c r="I172" s="951"/>
      <c r="J172" s="951"/>
      <c r="K172" s="951"/>
      <c r="L172" s="951"/>
      <c r="M172" s="951"/>
      <c r="N172" s="951"/>
      <c r="O172" s="951"/>
      <c r="P172" s="951"/>
      <c r="Q172" s="951"/>
      <c r="R172" s="951"/>
    </row>
    <row r="173" spans="1:18" s="959" customFormat="1" ht="19.5" customHeight="1" x14ac:dyDescent="0.25">
      <c r="A173" s="960"/>
      <c r="B173" s="956"/>
      <c r="C173" s="958"/>
      <c r="D173" s="956"/>
      <c r="E173" s="956"/>
      <c r="F173" s="956"/>
      <c r="G173" s="951"/>
      <c r="H173" s="951"/>
      <c r="I173" s="951"/>
      <c r="J173" s="951"/>
      <c r="K173" s="951"/>
      <c r="L173" s="951"/>
      <c r="M173" s="951"/>
      <c r="N173" s="951"/>
      <c r="O173" s="951"/>
      <c r="P173" s="951"/>
      <c r="Q173" s="951"/>
      <c r="R173" s="951"/>
    </row>
    <row r="174" spans="1:18" s="959" customFormat="1" ht="19.5" customHeight="1" x14ac:dyDescent="0.25">
      <c r="A174" s="960"/>
      <c r="B174" s="956"/>
      <c r="C174" s="958"/>
      <c r="D174" s="956"/>
      <c r="E174" s="956"/>
      <c r="F174" s="956"/>
      <c r="G174" s="951"/>
      <c r="H174" s="951"/>
      <c r="I174" s="951"/>
      <c r="J174" s="951"/>
      <c r="K174" s="951"/>
      <c r="L174" s="951"/>
      <c r="M174" s="951"/>
      <c r="N174" s="951"/>
      <c r="O174" s="951"/>
      <c r="P174" s="951"/>
      <c r="Q174" s="951"/>
      <c r="R174" s="951"/>
    </row>
    <row r="175" spans="1:18" s="959" customFormat="1" ht="19.5" customHeight="1" x14ac:dyDescent="0.25">
      <c r="A175" s="960"/>
      <c r="B175" s="956"/>
      <c r="C175" s="958"/>
      <c r="D175" s="956"/>
      <c r="E175" s="956"/>
      <c r="F175" s="956"/>
      <c r="G175" s="951"/>
      <c r="H175" s="951"/>
      <c r="I175" s="951"/>
      <c r="J175" s="951"/>
      <c r="K175" s="951"/>
      <c r="L175" s="951"/>
      <c r="M175" s="951"/>
      <c r="N175" s="951"/>
      <c r="O175" s="951"/>
      <c r="P175" s="951"/>
      <c r="Q175" s="951"/>
      <c r="R175" s="951"/>
    </row>
    <row r="176" spans="1:18" s="959" customFormat="1" ht="19.5" customHeight="1" x14ac:dyDescent="0.25">
      <c r="A176" s="960"/>
      <c r="B176" s="956"/>
      <c r="C176" s="958"/>
      <c r="D176" s="956"/>
      <c r="E176" s="956"/>
      <c r="F176" s="956"/>
      <c r="G176" s="951"/>
      <c r="H176" s="951"/>
      <c r="I176" s="951"/>
      <c r="J176" s="951"/>
      <c r="K176" s="951"/>
      <c r="L176" s="951"/>
      <c r="M176" s="951"/>
      <c r="N176" s="951"/>
      <c r="O176" s="951"/>
      <c r="P176" s="951"/>
      <c r="Q176" s="951"/>
      <c r="R176" s="951"/>
    </row>
    <row r="177" spans="1:18" s="959" customFormat="1" ht="19.5" customHeight="1" x14ac:dyDescent="0.25">
      <c r="A177" s="960"/>
      <c r="B177" s="956"/>
      <c r="C177" s="958"/>
      <c r="D177" s="956"/>
      <c r="E177" s="956"/>
      <c r="F177" s="956"/>
      <c r="G177" s="951"/>
      <c r="H177" s="951"/>
      <c r="I177" s="951"/>
      <c r="J177" s="951"/>
      <c r="K177" s="951"/>
      <c r="L177" s="951"/>
      <c r="M177" s="951"/>
      <c r="N177" s="951"/>
      <c r="O177" s="951"/>
      <c r="P177" s="951"/>
      <c r="Q177" s="951"/>
      <c r="R177" s="951"/>
    </row>
    <row r="178" spans="1:18" s="959" customFormat="1" ht="19.5" customHeight="1" x14ac:dyDescent="0.25">
      <c r="A178" s="960"/>
      <c r="B178" s="956"/>
      <c r="C178" s="958"/>
      <c r="D178" s="956"/>
      <c r="E178" s="956"/>
      <c r="F178" s="956"/>
      <c r="G178" s="951"/>
      <c r="H178" s="951"/>
      <c r="I178" s="951"/>
      <c r="J178" s="951"/>
      <c r="K178" s="951"/>
      <c r="L178" s="951"/>
      <c r="M178" s="951"/>
      <c r="N178" s="951"/>
      <c r="O178" s="951"/>
      <c r="P178" s="951"/>
      <c r="Q178" s="951"/>
      <c r="R178" s="951"/>
    </row>
    <row r="179" spans="1:18" s="959" customFormat="1" ht="19.5" customHeight="1" x14ac:dyDescent="0.25">
      <c r="A179" s="960"/>
      <c r="B179" s="956"/>
      <c r="C179" s="958"/>
      <c r="D179" s="956"/>
      <c r="E179" s="956"/>
      <c r="F179" s="956"/>
      <c r="G179" s="951"/>
      <c r="H179" s="951"/>
      <c r="I179" s="951"/>
      <c r="J179" s="951"/>
      <c r="K179" s="951"/>
      <c r="L179" s="951"/>
      <c r="M179" s="951"/>
      <c r="N179" s="951"/>
      <c r="O179" s="951"/>
      <c r="P179" s="951"/>
      <c r="Q179" s="951"/>
      <c r="R179" s="951"/>
    </row>
    <row r="180" spans="1:18" s="959" customFormat="1" ht="19.5" customHeight="1" x14ac:dyDescent="0.25">
      <c r="A180" s="960"/>
      <c r="B180" s="956"/>
      <c r="C180" s="958"/>
      <c r="D180" s="956"/>
      <c r="E180" s="956"/>
      <c r="F180" s="956"/>
      <c r="G180" s="951"/>
      <c r="H180" s="951"/>
      <c r="I180" s="951"/>
      <c r="J180" s="951"/>
      <c r="K180" s="951"/>
      <c r="L180" s="951"/>
      <c r="M180" s="951"/>
      <c r="N180" s="951"/>
      <c r="O180" s="951"/>
      <c r="P180" s="951"/>
      <c r="Q180" s="951"/>
      <c r="R180" s="951"/>
    </row>
    <row r="181" spans="1:18" s="959" customFormat="1" ht="19.5" customHeight="1" x14ac:dyDescent="0.25">
      <c r="A181" s="960"/>
      <c r="B181" s="956"/>
      <c r="C181" s="958"/>
      <c r="D181" s="956"/>
      <c r="E181" s="956"/>
      <c r="F181" s="956"/>
      <c r="G181" s="951"/>
      <c r="H181" s="951"/>
      <c r="I181" s="951"/>
      <c r="J181" s="951"/>
      <c r="K181" s="951"/>
      <c r="L181" s="951"/>
      <c r="M181" s="951"/>
      <c r="N181" s="951"/>
      <c r="O181" s="951"/>
      <c r="P181" s="951"/>
      <c r="Q181" s="951"/>
      <c r="R181" s="951"/>
    </row>
    <row r="182" spans="1:18" s="959" customFormat="1" ht="19.5" customHeight="1" x14ac:dyDescent="0.25">
      <c r="A182" s="960"/>
      <c r="B182" s="956"/>
      <c r="C182" s="958"/>
      <c r="D182" s="956"/>
      <c r="E182" s="956"/>
      <c r="F182" s="956"/>
      <c r="G182" s="951"/>
      <c r="H182" s="951"/>
      <c r="I182" s="951"/>
      <c r="J182" s="951"/>
      <c r="K182" s="951"/>
      <c r="L182" s="951"/>
      <c r="M182" s="951"/>
      <c r="N182" s="951"/>
      <c r="O182" s="951"/>
      <c r="P182" s="951"/>
      <c r="Q182" s="951"/>
      <c r="R182" s="951"/>
    </row>
    <row r="183" spans="1:18" s="959" customFormat="1" ht="19.5" customHeight="1" x14ac:dyDescent="0.25">
      <c r="A183" s="960"/>
      <c r="B183" s="956"/>
      <c r="C183" s="958"/>
      <c r="D183" s="956"/>
      <c r="E183" s="956"/>
      <c r="F183" s="956"/>
      <c r="G183" s="951"/>
      <c r="H183" s="951"/>
      <c r="I183" s="951"/>
      <c r="J183" s="951"/>
      <c r="K183" s="951"/>
      <c r="L183" s="951"/>
      <c r="M183" s="951"/>
      <c r="N183" s="951"/>
      <c r="O183" s="951"/>
      <c r="P183" s="951"/>
      <c r="Q183" s="951"/>
      <c r="R183" s="951"/>
    </row>
    <row r="184" spans="1:18" s="959" customFormat="1" ht="19.5" customHeight="1" x14ac:dyDescent="0.25">
      <c r="A184" s="960"/>
      <c r="B184" s="956"/>
      <c r="C184" s="958"/>
      <c r="D184" s="956"/>
      <c r="E184" s="956"/>
      <c r="F184" s="956"/>
      <c r="G184" s="951"/>
      <c r="H184" s="951"/>
      <c r="I184" s="951"/>
      <c r="J184" s="951"/>
      <c r="K184" s="951"/>
      <c r="L184" s="951"/>
      <c r="M184" s="951"/>
      <c r="N184" s="951"/>
      <c r="O184" s="951"/>
      <c r="P184" s="951"/>
      <c r="Q184" s="951"/>
      <c r="R184" s="951"/>
    </row>
    <row r="185" spans="1:18" s="959" customFormat="1" ht="19.5" customHeight="1" x14ac:dyDescent="0.25">
      <c r="A185" s="960"/>
      <c r="B185" s="956"/>
      <c r="C185" s="958"/>
      <c r="D185" s="956"/>
      <c r="E185" s="956"/>
      <c r="F185" s="956"/>
      <c r="G185" s="951"/>
      <c r="H185" s="951"/>
      <c r="I185" s="951"/>
      <c r="J185" s="951"/>
      <c r="K185" s="951"/>
      <c r="L185" s="951"/>
      <c r="M185" s="951"/>
      <c r="N185" s="951"/>
      <c r="O185" s="951"/>
      <c r="P185" s="951"/>
      <c r="Q185" s="951"/>
      <c r="R185" s="951"/>
    </row>
    <row r="186" spans="1:18" s="959" customFormat="1" ht="19.5" customHeight="1" x14ac:dyDescent="0.25">
      <c r="A186" s="960"/>
      <c r="B186" s="956"/>
      <c r="C186" s="958"/>
      <c r="D186" s="956"/>
      <c r="E186" s="956"/>
      <c r="F186" s="956"/>
      <c r="G186" s="951"/>
      <c r="H186" s="951"/>
      <c r="I186" s="951"/>
      <c r="J186" s="951"/>
      <c r="K186" s="951"/>
      <c r="L186" s="951"/>
      <c r="M186" s="951"/>
      <c r="N186" s="951"/>
      <c r="O186" s="951"/>
      <c r="P186" s="951"/>
      <c r="Q186" s="951"/>
      <c r="R186" s="951"/>
    </row>
    <row r="187" spans="1:18" s="959" customFormat="1" ht="19.5" customHeight="1" x14ac:dyDescent="0.25">
      <c r="A187" s="960"/>
      <c r="B187" s="956"/>
      <c r="C187" s="958"/>
      <c r="D187" s="956"/>
      <c r="E187" s="956"/>
      <c r="F187" s="956"/>
      <c r="G187" s="951"/>
      <c r="H187" s="951"/>
      <c r="I187" s="951"/>
      <c r="J187" s="951"/>
      <c r="K187" s="951"/>
      <c r="L187" s="951"/>
      <c r="M187" s="951"/>
      <c r="N187" s="951"/>
      <c r="O187" s="951"/>
      <c r="P187" s="951"/>
      <c r="Q187" s="951"/>
      <c r="R187" s="951"/>
    </row>
    <row r="188" spans="1:18" s="959" customFormat="1" ht="19.5" customHeight="1" x14ac:dyDescent="0.25">
      <c r="A188" s="960"/>
      <c r="B188" s="956"/>
      <c r="C188" s="958"/>
      <c r="D188" s="956"/>
      <c r="E188" s="956"/>
      <c r="F188" s="956"/>
      <c r="G188" s="951"/>
      <c r="H188" s="951"/>
      <c r="I188" s="951"/>
      <c r="J188" s="951"/>
      <c r="K188" s="951"/>
      <c r="L188" s="951"/>
      <c r="M188" s="951"/>
      <c r="N188" s="951"/>
      <c r="O188" s="951"/>
      <c r="P188" s="951"/>
      <c r="Q188" s="951"/>
      <c r="R188" s="951"/>
    </row>
    <row r="189" spans="1:18" s="959" customFormat="1" ht="19.5" customHeight="1" x14ac:dyDescent="0.25">
      <c r="A189" s="960"/>
      <c r="B189" s="956"/>
      <c r="C189" s="958"/>
      <c r="D189" s="956"/>
      <c r="E189" s="956"/>
      <c r="F189" s="956"/>
      <c r="G189" s="951"/>
      <c r="H189" s="951"/>
      <c r="I189" s="951"/>
      <c r="J189" s="951"/>
      <c r="K189" s="951"/>
      <c r="L189" s="951"/>
      <c r="M189" s="951"/>
      <c r="N189" s="951"/>
      <c r="O189" s="951"/>
      <c r="P189" s="951"/>
      <c r="Q189" s="951"/>
      <c r="R189" s="951"/>
    </row>
    <row r="190" spans="1:18" s="959" customFormat="1" ht="19.5" customHeight="1" x14ac:dyDescent="0.25">
      <c r="A190" s="960"/>
      <c r="B190" s="956"/>
      <c r="C190" s="958"/>
      <c r="D190" s="956"/>
      <c r="E190" s="956"/>
      <c r="F190" s="956"/>
      <c r="G190" s="951"/>
      <c r="H190" s="951"/>
      <c r="I190" s="951"/>
      <c r="J190" s="951"/>
      <c r="K190" s="951"/>
      <c r="L190" s="951"/>
      <c r="M190" s="951"/>
      <c r="N190" s="951"/>
      <c r="O190" s="951"/>
      <c r="P190" s="951"/>
      <c r="Q190" s="951"/>
      <c r="R190" s="951"/>
    </row>
    <row r="191" spans="1:18" s="959" customFormat="1" ht="19.5" customHeight="1" x14ac:dyDescent="0.25">
      <c r="A191" s="960"/>
      <c r="B191" s="956"/>
      <c r="C191" s="958"/>
      <c r="D191" s="956"/>
      <c r="E191" s="956"/>
      <c r="F191" s="956"/>
      <c r="G191" s="951"/>
      <c r="H191" s="951"/>
      <c r="I191" s="951"/>
      <c r="J191" s="951"/>
      <c r="K191" s="951"/>
      <c r="L191" s="951"/>
      <c r="M191" s="951"/>
      <c r="N191" s="951"/>
      <c r="O191" s="951"/>
      <c r="P191" s="951"/>
      <c r="Q191" s="951"/>
      <c r="R191" s="951"/>
    </row>
    <row r="192" spans="1:18" s="959" customFormat="1" ht="19.5" customHeight="1" x14ac:dyDescent="0.25">
      <c r="A192" s="960"/>
      <c r="B192" s="956"/>
      <c r="C192" s="958"/>
      <c r="D192" s="956"/>
      <c r="E192" s="956"/>
      <c r="F192" s="956"/>
      <c r="G192" s="951"/>
      <c r="H192" s="951"/>
      <c r="I192" s="951"/>
      <c r="J192" s="951"/>
      <c r="K192" s="951"/>
      <c r="L192" s="951"/>
      <c r="M192" s="951"/>
      <c r="N192" s="951"/>
      <c r="O192" s="951"/>
      <c r="P192" s="951"/>
      <c r="Q192" s="951"/>
      <c r="R192" s="951"/>
    </row>
    <row r="193" spans="1:18" s="959" customFormat="1" ht="19.5" customHeight="1" x14ac:dyDescent="0.25">
      <c r="A193" s="960"/>
      <c r="B193" s="956"/>
      <c r="C193" s="958"/>
      <c r="D193" s="956"/>
      <c r="E193" s="956"/>
      <c r="F193" s="956"/>
      <c r="G193" s="951"/>
      <c r="H193" s="951"/>
      <c r="I193" s="951"/>
      <c r="J193" s="951"/>
      <c r="K193" s="951"/>
      <c r="L193" s="951"/>
      <c r="M193" s="951"/>
      <c r="N193" s="951"/>
      <c r="O193" s="951"/>
      <c r="P193" s="951"/>
      <c r="Q193" s="951"/>
      <c r="R193" s="951"/>
    </row>
    <row r="194" spans="1:18" s="959" customFormat="1" ht="19.5" customHeight="1" x14ac:dyDescent="0.25">
      <c r="A194" s="960"/>
      <c r="B194" s="956"/>
      <c r="C194" s="958"/>
      <c r="D194" s="956"/>
      <c r="E194" s="956"/>
      <c r="F194" s="956"/>
      <c r="G194" s="951"/>
      <c r="H194" s="951"/>
      <c r="I194" s="951"/>
      <c r="J194" s="951"/>
      <c r="K194" s="951"/>
      <c r="L194" s="951"/>
      <c r="M194" s="951"/>
      <c r="N194" s="951"/>
      <c r="O194" s="951"/>
      <c r="P194" s="951"/>
      <c r="Q194" s="951"/>
      <c r="R194" s="951"/>
    </row>
    <row r="195" spans="1:18" s="959" customFormat="1" ht="19.5" customHeight="1" x14ac:dyDescent="0.25">
      <c r="A195" s="960"/>
      <c r="B195" s="956"/>
      <c r="C195" s="958"/>
      <c r="D195" s="956"/>
      <c r="E195" s="956"/>
      <c r="F195" s="956"/>
      <c r="G195" s="951"/>
      <c r="H195" s="951"/>
      <c r="I195" s="951"/>
      <c r="J195" s="951"/>
      <c r="K195" s="951"/>
      <c r="L195" s="951"/>
      <c r="M195" s="951"/>
      <c r="N195" s="951"/>
      <c r="O195" s="951"/>
      <c r="P195" s="951"/>
      <c r="Q195" s="951"/>
      <c r="R195" s="951"/>
    </row>
    <row r="196" spans="1:18" s="959" customFormat="1" ht="19.5" customHeight="1" x14ac:dyDescent="0.25">
      <c r="A196" s="960"/>
      <c r="B196" s="956"/>
      <c r="C196" s="958"/>
      <c r="D196" s="956"/>
      <c r="E196" s="956"/>
      <c r="F196" s="956"/>
      <c r="G196" s="951"/>
      <c r="H196" s="951"/>
      <c r="I196" s="951"/>
      <c r="J196" s="951"/>
      <c r="K196" s="951"/>
      <c r="L196" s="951"/>
      <c r="M196" s="951"/>
      <c r="N196" s="951"/>
      <c r="O196" s="951"/>
      <c r="P196" s="951"/>
      <c r="Q196" s="951"/>
      <c r="R196" s="951"/>
    </row>
    <row r="197" spans="1:18" s="959" customFormat="1" ht="19.5" customHeight="1" x14ac:dyDescent="0.25">
      <c r="A197" s="960"/>
      <c r="B197" s="956"/>
      <c r="C197" s="958"/>
      <c r="D197" s="956"/>
      <c r="E197" s="956"/>
      <c r="F197" s="956"/>
      <c r="G197" s="951"/>
      <c r="H197" s="951"/>
      <c r="I197" s="951"/>
      <c r="J197" s="951"/>
      <c r="K197" s="951"/>
      <c r="L197" s="951"/>
      <c r="M197" s="951"/>
      <c r="N197" s="951"/>
      <c r="O197" s="951"/>
      <c r="P197" s="951"/>
      <c r="Q197" s="951"/>
      <c r="R197" s="951"/>
    </row>
    <row r="198" spans="1:18" s="959" customFormat="1" ht="19.5" customHeight="1" x14ac:dyDescent="0.25">
      <c r="A198" s="960"/>
      <c r="B198" s="956"/>
      <c r="C198" s="958"/>
      <c r="D198" s="956"/>
      <c r="E198" s="956"/>
      <c r="F198" s="956"/>
      <c r="G198" s="951"/>
      <c r="H198" s="951"/>
      <c r="I198" s="951"/>
      <c r="J198" s="951"/>
      <c r="K198" s="951"/>
      <c r="L198" s="951"/>
      <c r="M198" s="951"/>
      <c r="N198" s="951"/>
      <c r="O198" s="951"/>
      <c r="P198" s="951"/>
      <c r="Q198" s="951"/>
      <c r="R198" s="951"/>
    </row>
    <row r="199" spans="1:18" s="959" customFormat="1" ht="19.5" customHeight="1" x14ac:dyDescent="0.25">
      <c r="A199" s="960"/>
      <c r="B199" s="956"/>
      <c r="C199" s="958"/>
      <c r="D199" s="956"/>
      <c r="E199" s="956"/>
      <c r="F199" s="956"/>
      <c r="G199" s="951"/>
      <c r="H199" s="951"/>
      <c r="I199" s="951"/>
      <c r="J199" s="951"/>
      <c r="K199" s="951"/>
      <c r="L199" s="951"/>
      <c r="M199" s="951"/>
      <c r="N199" s="951"/>
      <c r="O199" s="951"/>
      <c r="P199" s="951"/>
      <c r="Q199" s="951"/>
      <c r="R199" s="951"/>
    </row>
    <row r="200" spans="1:18" s="959" customFormat="1" ht="19.5" customHeight="1" x14ac:dyDescent="0.25">
      <c r="A200" s="960"/>
      <c r="B200" s="956"/>
      <c r="C200" s="958"/>
      <c r="D200" s="956"/>
      <c r="E200" s="956"/>
      <c r="F200" s="956"/>
      <c r="G200" s="951"/>
      <c r="H200" s="951"/>
      <c r="I200" s="951"/>
      <c r="J200" s="951"/>
      <c r="K200" s="951"/>
      <c r="L200" s="951"/>
      <c r="M200" s="951"/>
      <c r="N200" s="951"/>
      <c r="O200" s="951"/>
      <c r="P200" s="951"/>
      <c r="Q200" s="951"/>
      <c r="R200" s="951"/>
    </row>
    <row r="201" spans="1:18" s="959" customFormat="1" ht="19.5" customHeight="1" x14ac:dyDescent="0.25">
      <c r="A201" s="960"/>
      <c r="B201" s="956"/>
      <c r="C201" s="958"/>
      <c r="D201" s="956"/>
      <c r="E201" s="956"/>
      <c r="F201" s="956"/>
      <c r="G201" s="951"/>
      <c r="H201" s="951"/>
      <c r="I201" s="951"/>
      <c r="J201" s="951"/>
      <c r="K201" s="951"/>
      <c r="L201" s="951"/>
      <c r="M201" s="951"/>
      <c r="N201" s="951"/>
      <c r="O201" s="951"/>
      <c r="P201" s="951"/>
      <c r="Q201" s="951"/>
      <c r="R201" s="951"/>
    </row>
    <row r="202" spans="1:18" s="959" customFormat="1" ht="19.5" customHeight="1" x14ac:dyDescent="0.25">
      <c r="A202" s="960"/>
      <c r="B202" s="956"/>
      <c r="C202" s="958"/>
      <c r="D202" s="956"/>
      <c r="E202" s="956"/>
      <c r="F202" s="956"/>
      <c r="G202" s="951"/>
      <c r="H202" s="951"/>
      <c r="I202" s="951"/>
      <c r="J202" s="951"/>
      <c r="K202" s="951"/>
      <c r="L202" s="951"/>
      <c r="M202" s="951"/>
      <c r="N202" s="951"/>
      <c r="O202" s="951"/>
      <c r="P202" s="951"/>
      <c r="Q202" s="951"/>
      <c r="R202" s="951"/>
    </row>
    <row r="203" spans="1:18" s="959" customFormat="1" ht="19.5" customHeight="1" x14ac:dyDescent="0.25">
      <c r="A203" s="960"/>
      <c r="B203" s="956"/>
      <c r="C203" s="958"/>
      <c r="D203" s="956"/>
      <c r="E203" s="956"/>
      <c r="F203" s="956"/>
      <c r="G203" s="951"/>
      <c r="H203" s="951"/>
      <c r="I203" s="951"/>
      <c r="J203" s="951"/>
      <c r="K203" s="951"/>
      <c r="L203" s="951"/>
      <c r="M203" s="951"/>
      <c r="N203" s="951"/>
      <c r="O203" s="951"/>
      <c r="P203" s="951"/>
      <c r="Q203" s="951"/>
      <c r="R203" s="951"/>
    </row>
    <row r="204" spans="1:18" s="959" customFormat="1" ht="19.5" customHeight="1" x14ac:dyDescent="0.25">
      <c r="A204" s="960"/>
      <c r="B204" s="956"/>
      <c r="C204" s="958"/>
      <c r="D204" s="956"/>
      <c r="E204" s="956"/>
      <c r="F204" s="956"/>
      <c r="G204" s="951"/>
      <c r="H204" s="951"/>
      <c r="I204" s="951"/>
      <c r="J204" s="951"/>
      <c r="K204" s="951"/>
      <c r="L204" s="951"/>
      <c r="M204" s="951"/>
      <c r="N204" s="951"/>
      <c r="O204" s="951"/>
      <c r="P204" s="951"/>
      <c r="Q204" s="951"/>
      <c r="R204" s="951"/>
    </row>
    <row r="205" spans="1:18" s="959" customFormat="1" ht="19.5" customHeight="1" x14ac:dyDescent="0.25">
      <c r="A205" s="960"/>
      <c r="B205" s="956"/>
      <c r="C205" s="958"/>
      <c r="D205" s="956"/>
      <c r="E205" s="956"/>
      <c r="F205" s="956"/>
      <c r="G205" s="951"/>
      <c r="H205" s="951"/>
      <c r="I205" s="951"/>
      <c r="J205" s="951"/>
      <c r="K205" s="951"/>
      <c r="L205" s="951"/>
      <c r="M205" s="951"/>
      <c r="N205" s="951"/>
      <c r="O205" s="951"/>
      <c r="P205" s="951"/>
      <c r="Q205" s="951"/>
      <c r="R205" s="951"/>
    </row>
    <row r="206" spans="1:18" ht="19.5" customHeight="1" x14ac:dyDescent="0.25">
      <c r="A206" s="960"/>
    </row>
    <row r="207" spans="1:18" ht="19.5" customHeight="1" x14ac:dyDescent="0.25">
      <c r="A207" s="960"/>
    </row>
    <row r="208" spans="1:18" ht="19.5" customHeight="1" x14ac:dyDescent="0.25">
      <c r="A208" s="960"/>
    </row>
    <row r="209" spans="1:18" ht="19.5" customHeight="1" x14ac:dyDescent="0.25">
      <c r="A209" s="960"/>
    </row>
    <row r="210" spans="1:18" ht="19.5" customHeight="1" x14ac:dyDescent="0.25">
      <c r="A210" s="960"/>
    </row>
    <row r="211" spans="1:18" s="957" customFormat="1" ht="19.5" customHeight="1" x14ac:dyDescent="0.25">
      <c r="A211" s="960"/>
      <c r="B211" s="956"/>
      <c r="C211" s="958"/>
      <c r="D211" s="956"/>
      <c r="E211" s="956"/>
      <c r="F211" s="956"/>
      <c r="G211" s="951"/>
      <c r="H211" s="951"/>
      <c r="I211" s="951"/>
      <c r="J211" s="951"/>
      <c r="K211" s="951"/>
      <c r="L211" s="951"/>
      <c r="M211" s="951"/>
      <c r="N211" s="951"/>
      <c r="O211" s="951"/>
      <c r="P211" s="951"/>
      <c r="Q211" s="951"/>
      <c r="R211" s="951"/>
    </row>
    <row r="212" spans="1:18" s="957" customFormat="1" ht="19.5" customHeight="1" x14ac:dyDescent="0.25">
      <c r="A212" s="960"/>
      <c r="B212" s="956"/>
      <c r="C212" s="958"/>
      <c r="D212" s="956"/>
      <c r="E212" s="956"/>
      <c r="F212" s="956"/>
      <c r="G212" s="951"/>
      <c r="H212" s="951"/>
      <c r="I212" s="951"/>
      <c r="J212" s="951"/>
      <c r="K212" s="951"/>
      <c r="L212" s="951"/>
      <c r="M212" s="951"/>
      <c r="N212" s="951"/>
      <c r="O212" s="951"/>
      <c r="P212" s="951"/>
      <c r="Q212" s="951"/>
      <c r="R212" s="951"/>
    </row>
    <row r="213" spans="1:18" s="957" customFormat="1" ht="19.5" customHeight="1" x14ac:dyDescent="0.25">
      <c r="A213" s="960"/>
      <c r="B213" s="956"/>
      <c r="C213" s="958"/>
      <c r="D213" s="956"/>
      <c r="E213" s="956"/>
      <c r="F213" s="956"/>
      <c r="G213" s="951"/>
      <c r="H213" s="951"/>
      <c r="I213" s="951"/>
      <c r="J213" s="951"/>
      <c r="K213" s="951"/>
      <c r="L213" s="951"/>
      <c r="M213" s="951"/>
      <c r="N213" s="951"/>
      <c r="O213" s="951"/>
      <c r="P213" s="951"/>
      <c r="Q213" s="951"/>
      <c r="R213" s="951"/>
    </row>
    <row r="214" spans="1:18" s="957" customFormat="1" ht="19.5" customHeight="1" x14ac:dyDescent="0.25">
      <c r="A214" s="960"/>
      <c r="B214" s="956"/>
      <c r="C214" s="958"/>
      <c r="D214" s="956"/>
      <c r="E214" s="956"/>
      <c r="F214" s="956"/>
      <c r="G214" s="951"/>
      <c r="H214" s="951"/>
      <c r="I214" s="951"/>
      <c r="J214" s="951"/>
      <c r="K214" s="951"/>
      <c r="L214" s="951"/>
      <c r="M214" s="951"/>
      <c r="N214" s="951"/>
      <c r="O214" s="951"/>
      <c r="P214" s="951"/>
      <c r="Q214" s="951"/>
      <c r="R214" s="951"/>
    </row>
    <row r="215" spans="1:18" s="957" customFormat="1" ht="19.5" customHeight="1" x14ac:dyDescent="0.25">
      <c r="A215" s="960"/>
      <c r="B215" s="956"/>
      <c r="C215" s="958"/>
      <c r="D215" s="956"/>
      <c r="E215" s="956"/>
      <c r="F215" s="956"/>
      <c r="G215" s="951"/>
      <c r="H215" s="951"/>
      <c r="I215" s="951"/>
      <c r="J215" s="951"/>
      <c r="K215" s="951"/>
      <c r="L215" s="951"/>
      <c r="M215" s="951"/>
      <c r="N215" s="951"/>
      <c r="O215" s="951"/>
      <c r="P215" s="951"/>
      <c r="Q215" s="951"/>
      <c r="R215" s="951"/>
    </row>
    <row r="216" spans="1:18" s="957" customFormat="1" ht="19.5" customHeight="1" x14ac:dyDescent="0.25">
      <c r="A216" s="960"/>
      <c r="B216" s="956"/>
      <c r="C216" s="958"/>
      <c r="D216" s="956"/>
      <c r="E216" s="956"/>
      <c r="F216" s="956"/>
      <c r="G216" s="951"/>
      <c r="H216" s="951"/>
      <c r="I216" s="951"/>
      <c r="J216" s="951"/>
      <c r="K216" s="951"/>
      <c r="L216" s="951"/>
      <c r="M216" s="951"/>
      <c r="N216" s="951"/>
      <c r="O216" s="951"/>
      <c r="P216" s="951"/>
      <c r="Q216" s="951"/>
      <c r="R216" s="951"/>
    </row>
  </sheetData>
  <autoFilter ref="A2:C74" xr:uid="{AF750F45-BC42-4DDD-AC6F-785BFE7BF7E3}"/>
  <mergeCells count="1">
    <mergeCell ref="A1:C1"/>
  </mergeCells>
  <pageMargins left="0.7" right="0.7" top="0.75" bottom="0.75" header="0.3" footer="0.3"/>
  <pageSetup scale="42" orientation="landscape" r:id="rId1"/>
  <rowBreaks count="2" manualBreakCount="2">
    <brk id="35" max="5" man="1"/>
    <brk id="43" max="5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0FE7-B639-4E4D-B4F9-1AA9E4865A7F}">
  <sheetPr codeName="Hoja12">
    <tabColor rgb="FFFFFF00"/>
  </sheetPr>
  <dimension ref="A1:V228"/>
  <sheetViews>
    <sheetView view="pageBreakPreview" zoomScale="90" zoomScaleNormal="100" zoomScaleSheetLayoutView="90" workbookViewId="0">
      <selection activeCell="C81" sqref="C81"/>
    </sheetView>
  </sheetViews>
  <sheetFormatPr baseColWidth="10" defaultColWidth="11.42578125" defaultRowHeight="19.5" customHeight="1" x14ac:dyDescent="0.25"/>
  <cols>
    <col min="1" max="1" width="11.7109375" style="957" customWidth="1"/>
    <col min="2" max="2" width="77.5703125" style="956" customWidth="1"/>
    <col min="3" max="3" width="32.5703125" style="956" customWidth="1"/>
    <col min="4" max="4" width="22" style="958" customWidth="1"/>
    <col min="5" max="5" width="27" style="958" bestFit="1" customWidth="1"/>
    <col min="6" max="6" width="18.140625" style="958" customWidth="1"/>
    <col min="7" max="9" width="11.42578125" style="951"/>
    <col min="10" max="10" width="10.42578125" style="951" customWidth="1"/>
    <col min="11" max="22" width="11.42578125" style="951"/>
    <col min="23" max="23" width="11" style="951" bestFit="1" customWidth="1"/>
    <col min="24" max="16384" width="11.42578125" style="951"/>
  </cols>
  <sheetData>
    <row r="1" spans="1:6" ht="24.75" customHeight="1" x14ac:dyDescent="0.25">
      <c r="A1" s="1747" t="s">
        <v>634</v>
      </c>
      <c r="B1" s="1748"/>
      <c r="C1" s="1748"/>
      <c r="D1" s="1748"/>
      <c r="E1" s="1748"/>
      <c r="F1" s="1748"/>
    </row>
    <row r="2" spans="1:6" s="952" customFormat="1" ht="24.75" customHeight="1" x14ac:dyDescent="0.25">
      <c r="A2" s="1239" t="s">
        <v>635</v>
      </c>
      <c r="B2" s="1239" t="s">
        <v>636</v>
      </c>
      <c r="C2" s="1240" t="s">
        <v>1367</v>
      </c>
      <c r="D2" s="1240" t="s">
        <v>1368</v>
      </c>
      <c r="E2" s="1240" t="s">
        <v>1369</v>
      </c>
      <c r="F2" s="1240" t="s">
        <v>3</v>
      </c>
    </row>
    <row r="3" spans="1:6" ht="19.5" customHeight="1" x14ac:dyDescent="0.25">
      <c r="A3" s="1607" t="s">
        <v>1221</v>
      </c>
      <c r="B3" s="1608" t="s">
        <v>567</v>
      </c>
      <c r="C3" s="955"/>
      <c r="D3" s="1222">
        <f>'SCHA CLÁSICA   225 G 9 UND'!H49</f>
        <v>0.60707026177780621</v>
      </c>
      <c r="E3" s="1223">
        <v>0.59656242985045138</v>
      </c>
      <c r="F3" s="954">
        <f t="shared" ref="F3:F22" si="0">((E3/D3)*100-100)</f>
        <v>-1.730908691949864</v>
      </c>
    </row>
    <row r="4" spans="1:6" ht="19.5" hidden="1" customHeight="1" x14ac:dyDescent="0.25">
      <c r="A4" s="1607" t="s">
        <v>1221</v>
      </c>
      <c r="B4" s="1608"/>
      <c r="C4" s="955"/>
      <c r="D4" s="955"/>
      <c r="E4" s="1223"/>
      <c r="F4" s="954" t="e">
        <f t="shared" si="0"/>
        <v>#DIV/0!</v>
      </c>
    </row>
    <row r="5" spans="1:6" ht="19.5" customHeight="1" x14ac:dyDescent="0.25">
      <c r="A5" s="1607" t="s">
        <v>1221</v>
      </c>
      <c r="B5" s="1608" t="s">
        <v>568</v>
      </c>
      <c r="C5" s="955"/>
      <c r="D5" s="1222">
        <f>'SCHA CLÁSICA   450 G 18 UND'!H49</f>
        <v>0.55693961999336739</v>
      </c>
      <c r="E5" s="1223">
        <v>0.54567660634356818</v>
      </c>
      <c r="F5" s="954">
        <f>((E5/D5)*100-100)</f>
        <v>-2.0223042580330883</v>
      </c>
    </row>
    <row r="6" spans="1:6" ht="19.5" hidden="1" customHeight="1" x14ac:dyDescent="0.25">
      <c r="A6" s="1607" t="s">
        <v>1221</v>
      </c>
      <c r="B6" s="1609" t="s">
        <v>569</v>
      </c>
      <c r="C6" s="955"/>
      <c r="D6" s="955"/>
      <c r="E6" s="1223"/>
      <c r="F6" s="954" t="e">
        <f t="shared" si="0"/>
        <v>#DIV/0!</v>
      </c>
    </row>
    <row r="7" spans="1:6" ht="19.5" customHeight="1" x14ac:dyDescent="0.25">
      <c r="A7" s="1607" t="s">
        <v>1221</v>
      </c>
      <c r="B7" s="1610" t="s">
        <v>565</v>
      </c>
      <c r="C7" s="955"/>
      <c r="D7" s="1222">
        <f>'SCHA PERRO X 480 G - 12 UNDS'!H50</f>
        <v>0.62997797403080613</v>
      </c>
      <c r="E7" s="1223">
        <v>0.61103572604109979</v>
      </c>
      <c r="F7" s="954">
        <f t="shared" si="0"/>
        <v>-3.0068111538102897</v>
      </c>
    </row>
    <row r="8" spans="1:6" ht="17.25" x14ac:dyDescent="0.25">
      <c r="A8" s="1607" t="s">
        <v>1221</v>
      </c>
      <c r="B8" s="1610" t="s">
        <v>1086</v>
      </c>
      <c r="C8" s="955"/>
      <c r="D8" s="1222">
        <f>'SCHA S. PERRO X 500 '!H49</f>
        <v>0.52052742212629433</v>
      </c>
      <c r="E8" s="1223">
        <v>0.51160819180285932</v>
      </c>
      <c r="F8" s="954">
        <f t="shared" si="0"/>
        <v>-1.713498644701744</v>
      </c>
    </row>
    <row r="9" spans="1:6" ht="19.5" customHeight="1" x14ac:dyDescent="0.25">
      <c r="A9" s="1607" t="s">
        <v>1221</v>
      </c>
      <c r="B9" s="1608" t="s">
        <v>564</v>
      </c>
      <c r="C9" s="955"/>
      <c r="D9" s="1222">
        <f>'MINI PERRO X 1.0'!H49</f>
        <v>0.50082321986511369</v>
      </c>
      <c r="E9" s="1223">
        <v>0.48386113490286325</v>
      </c>
      <c r="F9" s="954">
        <f t="shared" si="0"/>
        <v>-3.3868407632575099</v>
      </c>
    </row>
    <row r="10" spans="1:6" ht="19.5" customHeight="1" x14ac:dyDescent="0.25">
      <c r="A10" s="1607" t="s">
        <v>1221</v>
      </c>
      <c r="B10" s="1608" t="s">
        <v>566</v>
      </c>
      <c r="C10" s="955"/>
      <c r="D10" s="1222">
        <f>'SUPER PERRO X 2500 RX'!H49</f>
        <v>0.46486748965687402</v>
      </c>
      <c r="E10" s="1223">
        <v>0.44837769281150641</v>
      </c>
      <c r="F10" s="954">
        <f t="shared" si="0"/>
        <v>-3.5472037112208028</v>
      </c>
    </row>
    <row r="11" spans="1:6" ht="19.5" customHeight="1" x14ac:dyDescent="0.25">
      <c r="A11" s="1607" t="s">
        <v>1221</v>
      </c>
      <c r="B11" s="1609" t="s">
        <v>778</v>
      </c>
      <c r="C11" s="955"/>
      <c r="D11" s="1222">
        <f>'SCHA DESAYUNO 115 G - 5 UNDS'!H50</f>
        <v>0.53683078746134438</v>
      </c>
      <c r="E11" s="1223">
        <v>0.54670193173233028</v>
      </c>
      <c r="F11" s="954">
        <f t="shared" si="0"/>
        <v>1.8387813258003121</v>
      </c>
    </row>
    <row r="12" spans="1:6" ht="19.5" customHeight="1" x14ac:dyDescent="0.25">
      <c r="A12" s="1607" t="s">
        <v>1221</v>
      </c>
      <c r="B12" s="1608" t="s">
        <v>570</v>
      </c>
      <c r="C12" s="955"/>
      <c r="D12" s="1222">
        <f>'SCHA DESAYUNO 480 G -14 UND'!H50</f>
        <v>0.50502402884597131</v>
      </c>
      <c r="E12" s="1223">
        <v>0.47995401321437342</v>
      </c>
      <c r="F12" s="954">
        <f t="shared" si="0"/>
        <v>-4.964123328722664</v>
      </c>
    </row>
    <row r="13" spans="1:6" ht="19.5" customHeight="1" x14ac:dyDescent="0.25">
      <c r="A13" s="1607" t="s">
        <v>1221</v>
      </c>
      <c r="B13" s="1608" t="s">
        <v>997</v>
      </c>
      <c r="C13" s="955"/>
      <c r="D13" s="1222">
        <f>'SCHA DESAYUNO FZA x 240 x 7 UND'!H50</f>
        <v>0.5366454325953115</v>
      </c>
      <c r="E13" s="1223">
        <v>0.51393960210098921</v>
      </c>
      <c r="F13" s="954">
        <f t="shared" si="0"/>
        <v>-4.2310675010337633</v>
      </c>
    </row>
    <row r="14" spans="1:6" ht="19.5" customHeight="1" x14ac:dyDescent="0.25">
      <c r="A14" s="1607" t="s">
        <v>1221</v>
      </c>
      <c r="B14" s="1610" t="s">
        <v>1021</v>
      </c>
      <c r="C14" s="955"/>
      <c r="D14" s="1222">
        <f>'SCHA DESAYUNO 960 G'!H49</f>
        <v>0.50195425206793542</v>
      </c>
      <c r="E14" s="1223">
        <v>0.47529335904585041</v>
      </c>
      <c r="F14" s="954">
        <f t="shared" si="0"/>
        <v>-5.311418901672468</v>
      </c>
    </row>
    <row r="15" spans="1:6" ht="19.5" customHeight="1" x14ac:dyDescent="0.25">
      <c r="A15" s="1607" t="s">
        <v>1221</v>
      </c>
      <c r="B15" s="1608" t="s">
        <v>809</v>
      </c>
      <c r="C15" s="955"/>
      <c r="D15" s="1222">
        <f>'SCHA JUMBO X 1200 G'!G50</f>
        <v>0.44979161249964528</v>
      </c>
      <c r="E15" s="1223">
        <v>0.43315422192929032</v>
      </c>
      <c r="F15" s="954">
        <f t="shared" si="0"/>
        <v>-3.6989108084731299</v>
      </c>
    </row>
    <row r="16" spans="1:6" ht="19.5" customHeight="1" x14ac:dyDescent="0.25">
      <c r="A16" s="1607" t="s">
        <v>1221</v>
      </c>
      <c r="B16" s="1608" t="s">
        <v>966</v>
      </c>
      <c r="C16" s="955"/>
      <c r="D16" s="1222">
        <f>'SCHA JUMBO X 450G fazán'!G51</f>
        <v>0.52236801611079808</v>
      </c>
      <c r="E16" s="1223">
        <v>0.50862991388380629</v>
      </c>
      <c r="F16" s="954">
        <f t="shared" si="0"/>
        <v>-2.6299661930446092</v>
      </c>
    </row>
    <row r="17" spans="1:6" ht="19.5" customHeight="1" x14ac:dyDescent="0.25">
      <c r="A17" s="1607" t="s">
        <v>1221</v>
      </c>
      <c r="B17" s="1608" t="s">
        <v>563</v>
      </c>
      <c r="C17" s="955"/>
      <c r="D17" s="1222">
        <f>'SCHA MANGUERA 560 G - 6 UND'!H46</f>
        <v>0.49362857232753665</v>
      </c>
      <c r="E17" s="1223">
        <v>0.488631472531736</v>
      </c>
      <c r="F17" s="954">
        <f t="shared" si="0"/>
        <v>-1.0123198039851218</v>
      </c>
    </row>
    <row r="18" spans="1:6" ht="19.5" customHeight="1" x14ac:dyDescent="0.25">
      <c r="A18" s="1611" t="s">
        <v>1278</v>
      </c>
      <c r="B18" s="1610" t="s">
        <v>1009</v>
      </c>
      <c r="C18" s="955"/>
      <c r="D18" s="1222">
        <f>'SCHA MANGUERA 1120G - 12UND'!H47</f>
        <v>0.45830781629841949</v>
      </c>
      <c r="E18" s="1223">
        <v>0.45075820314343695</v>
      </c>
      <c r="F18" s="954">
        <f t="shared" si="0"/>
        <v>-1.6472800346190866</v>
      </c>
    </row>
    <row r="19" spans="1:6" ht="19.5" customHeight="1" x14ac:dyDescent="0.25">
      <c r="A19" s="1611" t="s">
        <v>1278</v>
      </c>
      <c r="B19" s="1610" t="s">
        <v>886</v>
      </c>
      <c r="C19" s="955"/>
      <c r="D19" s="1222">
        <f>'PERRO CALIENTE VIANDE x 240G'!H55</f>
        <v>0.38889370510815585</v>
      </c>
      <c r="E19" s="1223">
        <v>0.36799175494483127</v>
      </c>
      <c r="F19" s="954">
        <f t="shared" si="0"/>
        <v>-5.3747206212842968</v>
      </c>
    </row>
    <row r="20" spans="1:6" ht="19.5" customHeight="1" x14ac:dyDescent="0.25">
      <c r="A20" s="1611" t="s">
        <v>1278</v>
      </c>
      <c r="B20" s="1610" t="s">
        <v>889</v>
      </c>
      <c r="C20" s="955"/>
      <c r="D20" s="1222">
        <f>'SUPER PERRO VIANDE X 400G RX'!H54</f>
        <v>0.39099100755353217</v>
      </c>
      <c r="E20" s="1223">
        <v>0.39302729358913679</v>
      </c>
      <c r="F20" s="954">
        <f t="shared" si="0"/>
        <v>0.5208012451093964</v>
      </c>
    </row>
    <row r="21" spans="1:6" ht="19.5" customHeight="1" x14ac:dyDescent="0.25">
      <c r="A21" s="1607" t="s">
        <v>1221</v>
      </c>
      <c r="B21" s="1610" t="s">
        <v>1200</v>
      </c>
      <c r="C21" s="955"/>
      <c r="D21" s="1222">
        <f>'SALCHICHA LONG'!H54</f>
        <v>0.38767084479000696</v>
      </c>
      <c r="E21" s="1223">
        <v>0.36394502444996119</v>
      </c>
      <c r="F21" s="954">
        <f t="shared" si="0"/>
        <v>-6.1200940588909987</v>
      </c>
    </row>
    <row r="22" spans="1:6" ht="19.5" customHeight="1" x14ac:dyDescent="0.25">
      <c r="A22" s="1607" t="s">
        <v>1221</v>
      </c>
      <c r="B22" s="1610" t="s">
        <v>1199</v>
      </c>
      <c r="C22" s="955"/>
      <c r="D22" s="1222">
        <f>'SALCHICHA UNINORTE'!H54</f>
        <v>0.49236164326210952</v>
      </c>
      <c r="E22" s="1223">
        <v>0.47146796095870952</v>
      </c>
      <c r="F22" s="954">
        <f t="shared" si="0"/>
        <v>-4.2435641746928638</v>
      </c>
    </row>
    <row r="23" spans="1:6" ht="19.5" customHeight="1" x14ac:dyDescent="0.25">
      <c r="A23" s="1607" t="s">
        <v>1221</v>
      </c>
      <c r="B23" s="1610" t="s">
        <v>1295</v>
      </c>
      <c r="C23" s="955"/>
      <c r="D23" s="1222" cm="1">
        <f t="array" ref="D23:F23">'SCHA SUIZA X 9'!D50:F50</f>
        <v>0.41897254252504751</v>
      </c>
      <c r="E23" s="1223">
        <v>0</v>
      </c>
      <c r="F23" s="954">
        <v>0</v>
      </c>
    </row>
    <row r="24" spans="1:6" ht="19.5" customHeight="1" x14ac:dyDescent="0.25">
      <c r="A24" s="1612" t="s">
        <v>635</v>
      </c>
      <c r="B24" s="1612" t="s">
        <v>637</v>
      </c>
      <c r="C24" s="1240" t="s">
        <v>1367</v>
      </c>
      <c r="D24" s="1240" t="s">
        <v>1368</v>
      </c>
      <c r="E24" s="1240" t="s">
        <v>1369</v>
      </c>
      <c r="F24" s="1240" t="s">
        <v>3</v>
      </c>
    </row>
    <row r="25" spans="1:6" ht="19.5" customHeight="1" x14ac:dyDescent="0.25">
      <c r="A25" s="1607" t="s">
        <v>562</v>
      </c>
      <c r="B25" s="1610" t="s">
        <v>957</v>
      </c>
      <c r="C25" s="955"/>
      <c r="D25" s="1222">
        <f>'CHORIZO DE CERDO 250 FAZÁN'!H46</f>
        <v>0.50464359934674285</v>
      </c>
      <c r="E25" s="1223">
        <v>0.48774425769964297</v>
      </c>
      <c r="F25" s="954">
        <f t="shared" ref="F25:F29" si="1">((E25/D25)*100)-100</f>
        <v>-3.3487676587944435</v>
      </c>
    </row>
    <row r="26" spans="1:6" ht="19.5" customHeight="1" x14ac:dyDescent="0.25">
      <c r="A26" s="1607" t="s">
        <v>562</v>
      </c>
      <c r="B26" s="1613" t="s">
        <v>1089</v>
      </c>
      <c r="C26" s="955"/>
      <c r="D26" s="1222">
        <f>'CHORIZO DE CERDO 400 g'!H46</f>
        <v>0.47834783168552791</v>
      </c>
      <c r="E26" s="1223">
        <v>0.45729625732556672</v>
      </c>
      <c r="F26" s="954">
        <f t="shared" si="1"/>
        <v>-4.400892606909693</v>
      </c>
    </row>
    <row r="27" spans="1:6" ht="19.5" customHeight="1" x14ac:dyDescent="0.25">
      <c r="A27" s="1607" t="s">
        <v>562</v>
      </c>
      <c r="B27" s="1613" t="s">
        <v>1230</v>
      </c>
      <c r="C27" s="955"/>
      <c r="D27" s="1222">
        <f>'CHORIZO DE CERDO 1000'!H44</f>
        <v>0.44865358192035554</v>
      </c>
      <c r="E27" s="1223">
        <v>0.4285451545323844</v>
      </c>
      <c r="F27" s="954">
        <f t="shared" si="1"/>
        <v>-4.4819495928020388</v>
      </c>
    </row>
    <row r="28" spans="1:6" ht="19.5" customHeight="1" x14ac:dyDescent="0.25">
      <c r="A28" s="1607" t="s">
        <v>562</v>
      </c>
      <c r="B28" s="1614" t="s">
        <v>944</v>
      </c>
      <c r="C28" s="955"/>
      <c r="D28" s="1222">
        <f>'CHRZ CON TERNERA 110 G 2 UND'!H44</f>
        <v>0.41924188284163005</v>
      </c>
      <c r="E28" s="1223">
        <v>0.41005234433655563</v>
      </c>
      <c r="F28" s="954">
        <f t="shared" si="1"/>
        <v>-2.1919419030340066</v>
      </c>
    </row>
    <row r="29" spans="1:6" ht="19.5" customHeight="1" x14ac:dyDescent="0.25">
      <c r="A29" s="1607" t="s">
        <v>562</v>
      </c>
      <c r="B29" s="1614" t="s">
        <v>1097</v>
      </c>
      <c r="C29" s="955"/>
      <c r="D29" s="1222">
        <f>'CHORIZO CON TERNERA 220'!H44</f>
        <v>0.41018414105908618</v>
      </c>
      <c r="E29" s="1223">
        <v>0.39403717034904845</v>
      </c>
      <c r="F29" s="954">
        <f t="shared" si="1"/>
        <v>-3.9365175524208667</v>
      </c>
    </row>
    <row r="30" spans="1:6" ht="19.5" customHeight="1" x14ac:dyDescent="0.25">
      <c r="A30" s="1607" t="s">
        <v>562</v>
      </c>
      <c r="B30" s="1610" t="s">
        <v>1118</v>
      </c>
      <c r="C30" s="955"/>
      <c r="D30" s="1222">
        <f>'CHORIZO CON TERNERA 440 G FZAN'!H45</f>
        <v>0.44823859493216994</v>
      </c>
      <c r="E30" s="1223">
        <v>0.44624769993026098</v>
      </c>
      <c r="F30" s="954">
        <f t="shared" ref="F30:F41" si="2">((E30/D30)*100)-100</f>
        <v>-0.44415965613363539</v>
      </c>
    </row>
    <row r="31" spans="1:6" ht="19.5" customHeight="1" x14ac:dyDescent="0.25">
      <c r="A31" s="1607" t="s">
        <v>562</v>
      </c>
      <c r="B31" s="1610" t="s">
        <v>1087</v>
      </c>
      <c r="C31" s="955"/>
      <c r="D31" s="1222">
        <f>'CHORIZO CON TERNERA 1100'!H43</f>
        <v>0.44100059500160849</v>
      </c>
      <c r="E31" s="1223">
        <v>0.42971814777958384</v>
      </c>
      <c r="F31" s="954">
        <f t="shared" si="2"/>
        <v>-2.5583746030962828</v>
      </c>
    </row>
    <row r="32" spans="1:6" ht="19.5" customHeight="1" x14ac:dyDescent="0.25">
      <c r="A32" s="1607" t="s">
        <v>562</v>
      </c>
      <c r="B32" s="1610" t="s">
        <v>903</v>
      </c>
      <c r="C32" s="955"/>
      <c r="D32" s="1222">
        <f>'CHORIZO SANTARROSANO x 300'!I46</f>
        <v>0.55181117659619316</v>
      </c>
      <c r="E32" s="1223">
        <v>0.55049237016281105</v>
      </c>
      <c r="F32" s="954">
        <f t="shared" si="2"/>
        <v>-0.23899596262567968</v>
      </c>
    </row>
    <row r="33" spans="1:6" ht="19.5" customHeight="1" x14ac:dyDescent="0.25">
      <c r="A33" s="1607" t="s">
        <v>562</v>
      </c>
      <c r="B33" s="1610" t="s">
        <v>947</v>
      </c>
      <c r="C33" s="955"/>
      <c r="D33" s="1222">
        <f>'CHORIZO SANTARROSANO x 480 '!I46</f>
        <v>0.55072141657044471</v>
      </c>
      <c r="E33" s="1223">
        <v>0.54971082486451839</v>
      </c>
      <c r="F33" s="954">
        <f t="shared" si="2"/>
        <v>-0.18350325146599289</v>
      </c>
    </row>
    <row r="34" spans="1:6" ht="19.5" customHeight="1" x14ac:dyDescent="0.25">
      <c r="A34" s="1607" t="s">
        <v>562</v>
      </c>
      <c r="B34" s="1610" t="s">
        <v>1012</v>
      </c>
      <c r="C34" s="955"/>
      <c r="D34" s="1222">
        <f>'CHORIZO SANTARROSANO x 1200'!I46</f>
        <v>0.5071291324809406</v>
      </c>
      <c r="E34" s="1223">
        <v>0.50526630324834076</v>
      </c>
      <c r="F34" s="954">
        <f t="shared" si="2"/>
        <v>-0.36732838113374555</v>
      </c>
    </row>
    <row r="35" spans="1:6" ht="19.5" customHeight="1" x14ac:dyDescent="0.25">
      <c r="A35" s="1607" t="s">
        <v>562</v>
      </c>
      <c r="B35" s="1610" t="s">
        <v>1090</v>
      </c>
      <c r="C35" s="955"/>
      <c r="D35" s="1222">
        <f>'CHORIZO SANTA COCTEL x 300'!I47</f>
        <v>0.47635479146055049</v>
      </c>
      <c r="E35" s="1223">
        <v>0.47019606471131498</v>
      </c>
      <c r="F35" s="954">
        <f t="shared" si="2"/>
        <v>-1.2928864912541798</v>
      </c>
    </row>
    <row r="36" spans="1:6" ht="19.5" customHeight="1" x14ac:dyDescent="0.25">
      <c r="A36" s="1607" t="s">
        <v>562</v>
      </c>
      <c r="B36" s="1610" t="s">
        <v>1010</v>
      </c>
      <c r="C36" s="955"/>
      <c r="D36" s="1222">
        <f>'CHORIZO SANTA COCTEL x 1000'!I46</f>
        <v>0.44850788556530435</v>
      </c>
      <c r="E36" s="1223">
        <v>0.44317735292543775</v>
      </c>
      <c r="F36" s="954">
        <f t="shared" si="2"/>
        <v>-1.1885036610109836</v>
      </c>
    </row>
    <row r="37" spans="1:6" ht="19.5" customHeight="1" x14ac:dyDescent="0.25">
      <c r="A37" s="1607" t="s">
        <v>562</v>
      </c>
      <c r="B37" s="1610" t="s">
        <v>1011</v>
      </c>
      <c r="C37" s="955"/>
      <c r="D37" s="1222">
        <f>'CHORIZO SANTA LARGO x 1200 '!I46</f>
        <v>0.44358076874338365</v>
      </c>
      <c r="E37" s="1223">
        <v>0.44346944016938872</v>
      </c>
      <c r="F37" s="954">
        <f t="shared" si="2"/>
        <v>-2.5097700766039566E-2</v>
      </c>
    </row>
    <row r="38" spans="1:6" ht="19.5" customHeight="1" x14ac:dyDescent="0.25">
      <c r="A38" s="1607" t="s">
        <v>1334</v>
      </c>
      <c r="B38" s="1610" t="s">
        <v>1333</v>
      </c>
      <c r="C38" s="955"/>
      <c r="D38" s="1222"/>
      <c r="E38" s="1223"/>
      <c r="F38" s="954"/>
    </row>
    <row r="39" spans="1:6" ht="19.5" customHeight="1" x14ac:dyDescent="0.25">
      <c r="A39" s="1611" t="s">
        <v>1278</v>
      </c>
      <c r="B39" s="1610" t="s">
        <v>993</v>
      </c>
      <c r="C39" s="955"/>
      <c r="D39" s="1222">
        <f>'CHORIZO ANTIOQUEÑO VIANDE'!H52</f>
        <v>0.35182806099688591</v>
      </c>
      <c r="E39" s="1223">
        <v>0.30926629643466519</v>
      </c>
      <c r="F39" s="954">
        <f>((E39/D39)*100)-100</f>
        <v>-12.097319480891954</v>
      </c>
    </row>
    <row r="40" spans="1:6" ht="19.5" customHeight="1" x14ac:dyDescent="0.25">
      <c r="A40" s="1611" t="s">
        <v>1278</v>
      </c>
      <c r="B40" s="1610" t="s">
        <v>925</v>
      </c>
      <c r="C40" s="955"/>
      <c r="D40" s="1222">
        <f>'CHORIZO TERNERA VIANDE'!H54</f>
        <v>0.32120561857338653</v>
      </c>
      <c r="E40" s="1223">
        <v>0.27949049437211315</v>
      </c>
      <c r="F40" s="954">
        <f t="shared" si="2"/>
        <v>-12.987046860060644</v>
      </c>
    </row>
    <row r="41" spans="1:6" ht="19.5" customHeight="1" x14ac:dyDescent="0.25">
      <c r="A41" s="1611" t="s">
        <v>1278</v>
      </c>
      <c r="B41" s="1610" t="s">
        <v>1260</v>
      </c>
      <c r="C41" s="955"/>
      <c r="D41" s="1222">
        <f>'CHORIZO SANTARRO VIANDE'!H47</f>
        <v>0.31001681703960221</v>
      </c>
      <c r="E41" s="1223">
        <v>0.26792260153840897</v>
      </c>
      <c r="F41" s="954">
        <f t="shared" si="2"/>
        <v>-13.57804260528745</v>
      </c>
    </row>
    <row r="42" spans="1:6" s="952" customFormat="1" ht="19.5" customHeight="1" x14ac:dyDescent="0.25">
      <c r="A42" s="1612" t="s">
        <v>635</v>
      </c>
      <c r="B42" s="1612" t="s">
        <v>638</v>
      </c>
      <c r="C42" s="1240" t="s">
        <v>1367</v>
      </c>
      <c r="D42" s="1240" t="s">
        <v>1368</v>
      </c>
      <c r="E42" s="1240" t="s">
        <v>1369</v>
      </c>
      <c r="F42" s="1240" t="s">
        <v>3</v>
      </c>
    </row>
    <row r="43" spans="1:6" ht="19.5" customHeight="1" x14ac:dyDescent="0.25">
      <c r="A43" s="1611" t="s">
        <v>1278</v>
      </c>
      <c r="B43" s="1610" t="s">
        <v>576</v>
      </c>
      <c r="C43" s="955"/>
      <c r="D43" s="1224">
        <f>'SCHON TRAD VIANDÉ X 500 '!H50</f>
        <v>0.39602174529069423</v>
      </c>
      <c r="E43" s="1223">
        <v>0.39563298901107219</v>
      </c>
      <c r="F43" s="954">
        <f t="shared" ref="F43:F50" si="3">((E43/D43)*100)-100</f>
        <v>-9.8165387190206843E-2</v>
      </c>
    </row>
    <row r="44" spans="1:6" ht="19.5" customHeight="1" x14ac:dyDescent="0.25">
      <c r="A44" s="1616" t="s">
        <v>562</v>
      </c>
      <c r="B44" s="1610" t="s">
        <v>573</v>
      </c>
      <c r="C44" s="955"/>
      <c r="D44" s="1222">
        <f>'SCHON AUTENTICO X 750 G'!H49</f>
        <v>0.56055922027761407</v>
      </c>
      <c r="E44" s="1223">
        <v>0.55705795838241345</v>
      </c>
      <c r="F44" s="954">
        <f t="shared" si="3"/>
        <v>-0.62460160649335705</v>
      </c>
    </row>
    <row r="45" spans="1:6" s="952" customFormat="1" ht="19.5" customHeight="1" x14ac:dyDescent="0.25">
      <c r="A45" s="1611" t="s">
        <v>1278</v>
      </c>
      <c r="B45" s="1610" t="s">
        <v>575</v>
      </c>
      <c r="C45" s="955"/>
      <c r="D45" s="1222">
        <f>'SCHON POLLO BRAKEL X 500'!H48</f>
        <v>0.39872018910477897</v>
      </c>
      <c r="E45" s="1223">
        <v>0.39327733916984514</v>
      </c>
      <c r="F45" s="954">
        <f t="shared" si="3"/>
        <v>-1.365080094678504</v>
      </c>
    </row>
    <row r="46" spans="1:6" s="952" customFormat="1" ht="19.5" customHeight="1" x14ac:dyDescent="0.25">
      <c r="A46" s="1607" t="s">
        <v>562</v>
      </c>
      <c r="B46" s="1610" t="s">
        <v>572</v>
      </c>
      <c r="C46" s="955"/>
      <c r="D46" s="1222">
        <f>'CERVECERO 500'!F43</f>
        <v>0.6203630357120633</v>
      </c>
      <c r="E46" s="1223">
        <v>0.60471002770561522</v>
      </c>
      <c r="F46" s="954">
        <f t="shared" si="3"/>
        <v>-2.5232012717329724</v>
      </c>
    </row>
    <row r="47" spans="1:6" s="952" customFormat="1" ht="19.5" customHeight="1" x14ac:dyDescent="0.25">
      <c r="A47" s="1607" t="s">
        <v>562</v>
      </c>
      <c r="B47" s="1610" t="s">
        <v>574</v>
      </c>
      <c r="C47" s="955"/>
      <c r="D47" s="1222">
        <f>'CERVECERO 750'!H44</f>
        <v>0.58120586240758254</v>
      </c>
      <c r="E47" s="1223">
        <v>0.56417906968227005</v>
      </c>
      <c r="F47" s="954">
        <f t="shared" si="3"/>
        <v>-2.929563142185259</v>
      </c>
    </row>
    <row r="48" spans="1:6" s="952" customFormat="1" ht="19.5" customHeight="1" x14ac:dyDescent="0.25">
      <c r="A48" s="1607" t="s">
        <v>562</v>
      </c>
      <c r="B48" s="1610" t="s">
        <v>819</v>
      </c>
      <c r="C48" s="955"/>
      <c r="D48" s="1222">
        <f>'CERVECERO 1300'!H44</f>
        <v>0.54643465520459289</v>
      </c>
      <c r="E48" s="1223">
        <v>0.52828121870571054</v>
      </c>
      <c r="F48" s="954">
        <f t="shared" si="3"/>
        <v>-3.3221605412426527</v>
      </c>
    </row>
    <row r="49" spans="1:7" s="952" customFormat="1" ht="19.5" customHeight="1" x14ac:dyDescent="0.25">
      <c r="A49" s="1617" t="s">
        <v>562</v>
      </c>
      <c r="B49" s="1610" t="s">
        <v>826</v>
      </c>
      <c r="C49" s="955"/>
      <c r="D49" s="1222">
        <f>'CERVECERO 1500'!H44</f>
        <v>0.55995330795784415</v>
      </c>
      <c r="E49" s="1223">
        <v>0.54232629191586024</v>
      </c>
      <c r="F49" s="954">
        <f t="shared" si="3"/>
        <v>-3.1479439073714701</v>
      </c>
    </row>
    <row r="50" spans="1:7" s="952" customFormat="1" ht="19.5" customHeight="1" x14ac:dyDescent="0.25">
      <c r="A50" s="1617" t="s">
        <v>562</v>
      </c>
      <c r="B50" s="1610" t="s">
        <v>791</v>
      </c>
      <c r="C50" s="955"/>
      <c r="D50" s="1222">
        <f>'OFTA CERV PREM X 6 UND'!H30</f>
        <v>0.48948186439206032</v>
      </c>
      <c r="E50" s="1223">
        <v>0.47349059473960819</v>
      </c>
      <c r="F50" s="954">
        <f t="shared" si="3"/>
        <v>-3.2669789865071692</v>
      </c>
    </row>
    <row r="51" spans="1:7" s="952" customFormat="1" ht="19.5" customHeight="1" x14ac:dyDescent="0.25">
      <c r="A51" s="1611" t="s">
        <v>1278</v>
      </c>
      <c r="B51" s="1610" t="s">
        <v>1276</v>
      </c>
      <c r="C51" s="955"/>
      <c r="D51" s="1222">
        <f>'OFTA SNACK  PREM X 3 UND'!H31</f>
        <v>0.29202327989693333</v>
      </c>
      <c r="E51" s="1223">
        <v>0.31475471678560002</v>
      </c>
      <c r="F51" s="954">
        <f>((E51/D51)*100)-100</f>
        <v>7.7841180664396177</v>
      </c>
    </row>
    <row r="52" spans="1:7" ht="19.5" customHeight="1" x14ac:dyDescent="0.25">
      <c r="A52" s="1618" t="s">
        <v>635</v>
      </c>
      <c r="B52" s="1612" t="s">
        <v>639</v>
      </c>
      <c r="C52" s="1240" t="s">
        <v>1367</v>
      </c>
      <c r="D52" s="1240" t="s">
        <v>1368</v>
      </c>
      <c r="E52" s="1240" t="s">
        <v>1369</v>
      </c>
      <c r="F52" s="1240" t="s">
        <v>3</v>
      </c>
      <c r="G52" s="952"/>
    </row>
    <row r="53" spans="1:7" ht="19.5" customHeight="1" x14ac:dyDescent="0.25">
      <c r="A53" s="1607" t="s">
        <v>562</v>
      </c>
      <c r="B53" s="1619" t="s">
        <v>571</v>
      </c>
      <c r="C53" s="955"/>
      <c r="D53" s="1222">
        <f>'MDELA FAIZAN  225 G 14 U SC'!H59</f>
        <v>0.54116379888553834</v>
      </c>
      <c r="E53" s="1223">
        <v>0.5332382293513912</v>
      </c>
      <c r="F53" s="954">
        <f>((E53/D53)*100)-100</f>
        <v>-1.4645417063131134</v>
      </c>
      <c r="G53" s="952"/>
    </row>
    <row r="54" spans="1:7" ht="19.5" customHeight="1" x14ac:dyDescent="0.25">
      <c r="A54" s="1607" t="s">
        <v>562</v>
      </c>
      <c r="B54" s="1619" t="s">
        <v>1113</v>
      </c>
      <c r="C54" s="955"/>
      <c r="D54" s="1222">
        <f>'MORTADELA JAMON X 225 '!H57</f>
        <v>0.58076996310248286</v>
      </c>
      <c r="E54" s="1223">
        <v>0.56517637955485978</v>
      </c>
      <c r="F54" s="954">
        <f>((E54/D54)*100)-100</f>
        <v>-2.6849845099291798</v>
      </c>
      <c r="G54" s="952"/>
    </row>
    <row r="55" spans="1:7" ht="19.5" customHeight="1" x14ac:dyDescent="0.25">
      <c r="A55" s="1607" t="s">
        <v>1325</v>
      </c>
      <c r="B55" s="1619" t="s">
        <v>1326</v>
      </c>
      <c r="C55" s="955"/>
      <c r="D55" s="1222">
        <f>'MORTA JAMONADA 400'!H54</f>
        <v>0.29387153002311073</v>
      </c>
      <c r="E55" s="1223">
        <v>0.30768654899389902</v>
      </c>
      <c r="F55" s="954"/>
      <c r="G55" s="952"/>
    </row>
    <row r="56" spans="1:7" ht="19.5" customHeight="1" x14ac:dyDescent="0.25">
      <c r="A56" s="1607" t="s">
        <v>562</v>
      </c>
      <c r="B56" s="1619" t="s">
        <v>641</v>
      </c>
      <c r="C56" s="955"/>
      <c r="D56" s="1222">
        <f>'JMN SDW  INST  500 G 28 U '!H58</f>
        <v>0.44923704218789184</v>
      </c>
      <c r="E56" s="1223">
        <v>0.43273132793614533</v>
      </c>
      <c r="F56" s="954">
        <f t="shared" ref="F56:F66" si="4">((E56/D56)*100)-100</f>
        <v>-3.6741659083498064</v>
      </c>
    </row>
    <row r="57" spans="1:7" ht="19.5" customHeight="1" x14ac:dyDescent="0.25">
      <c r="A57" s="1607" t="s">
        <v>562</v>
      </c>
      <c r="B57" s="1619" t="s">
        <v>998</v>
      </c>
      <c r="C57" s="1195"/>
      <c r="D57" s="1222">
        <f>'JMN SDW  FZAN X 225 '!H58</f>
        <v>0.54833050240666348</v>
      </c>
      <c r="E57" s="1223">
        <v>0.53846206187998902</v>
      </c>
      <c r="F57" s="954">
        <f t="shared" si="4"/>
        <v>-1.7997248891610411</v>
      </c>
    </row>
    <row r="58" spans="1:7" ht="19.5" customHeight="1" x14ac:dyDescent="0.25">
      <c r="A58" s="1616" t="s">
        <v>562</v>
      </c>
      <c r="B58" s="1619" t="s">
        <v>999</v>
      </c>
      <c r="C58" s="955"/>
      <c r="D58" s="1222">
        <f>'JMN SDW  450 G 28 U '!H58</f>
        <v>0.54987211324961283</v>
      </c>
      <c r="E58" s="1223">
        <v>0.53891024504240681</v>
      </c>
      <c r="F58" s="954">
        <f t="shared" si="4"/>
        <v>-1.9935304851929914</v>
      </c>
    </row>
    <row r="59" spans="1:7" ht="19.5" customHeight="1" x14ac:dyDescent="0.25">
      <c r="A59" s="1616" t="s">
        <v>562</v>
      </c>
      <c r="B59" s="1619" t="s">
        <v>1241</v>
      </c>
      <c r="C59" s="955"/>
      <c r="D59" s="1222">
        <f>'JMN PREMIUM FZAN 120 G '!H51</f>
        <v>0.54790739412408096</v>
      </c>
      <c r="E59" s="1223">
        <v>0.52634292878299593</v>
      </c>
      <c r="F59" s="954">
        <f t="shared" si="4"/>
        <v>-3.93578651654434</v>
      </c>
    </row>
    <row r="60" spans="1:7" ht="19.5" customHeight="1" x14ac:dyDescent="0.25">
      <c r="A60" s="1616" t="s">
        <v>562</v>
      </c>
      <c r="B60" s="1619" t="s">
        <v>1000</v>
      </c>
      <c r="C60" s="955"/>
      <c r="D60" s="1222">
        <f>'JMN PREMIUM FZAN 200 G'!H52</f>
        <v>0.62751500579232011</v>
      </c>
      <c r="E60" s="1223">
        <v>0.60762373418131932</v>
      </c>
      <c r="F60" s="954">
        <f t="shared" si="4"/>
        <v>-3.1698479601910776</v>
      </c>
    </row>
    <row r="61" spans="1:7" ht="19.5" customHeight="1" x14ac:dyDescent="0.25">
      <c r="A61" s="1690" t="s">
        <v>562</v>
      </c>
      <c r="B61" s="1619" t="s">
        <v>1242</v>
      </c>
      <c r="C61" s="955"/>
      <c r="D61" s="1222">
        <f>'JMN PREMIUM FZAN 200 G'!H52</f>
        <v>0.62751500579232011</v>
      </c>
      <c r="E61" s="1223">
        <v>0.60762373418131932</v>
      </c>
      <c r="F61" s="954">
        <f t="shared" si="4"/>
        <v>-3.1698479601910776</v>
      </c>
    </row>
    <row r="62" spans="1:7" ht="19.5" customHeight="1" x14ac:dyDescent="0.25">
      <c r="A62" s="1607" t="s">
        <v>562</v>
      </c>
      <c r="B62" s="1619" t="s">
        <v>577</v>
      </c>
      <c r="C62" s="955"/>
      <c r="D62" s="1222">
        <f>'JMN PREMIUM 400 G'!H52</f>
        <v>0.61276241154557021</v>
      </c>
      <c r="E62" s="1223">
        <v>0.59078641366737927</v>
      </c>
      <c r="F62" s="954">
        <f t="shared" si="4"/>
        <v>-3.5863815182071761</v>
      </c>
    </row>
    <row r="63" spans="1:7" ht="19.5" customHeight="1" x14ac:dyDescent="0.25">
      <c r="A63" s="1616" t="s">
        <v>1278</v>
      </c>
      <c r="B63" s="1619" t="s">
        <v>583</v>
      </c>
      <c r="C63" s="1683"/>
      <c r="D63" s="1222">
        <f>'JMN PREM VIANDÉ 300 G - 15 V2.'!I104</f>
        <v>0.36652172367927632</v>
      </c>
      <c r="E63" s="1223">
        <v>0.32965572304860635</v>
      </c>
      <c r="F63" s="954">
        <f t="shared" si="4"/>
        <v>-10.058339860621587</v>
      </c>
    </row>
    <row r="64" spans="1:7" ht="19.5" customHeight="1" x14ac:dyDescent="0.25">
      <c r="A64" s="1616" t="s">
        <v>562</v>
      </c>
      <c r="B64" s="1619" t="s">
        <v>1243</v>
      </c>
      <c r="C64" s="1194"/>
      <c r="D64" s="1222">
        <f>'MNESA APANADA 240 G 2 UNDS'!H61</f>
        <v>0.53818581709165314</v>
      </c>
      <c r="E64" s="1223">
        <v>0.53431081744770426</v>
      </c>
      <c r="F64" s="954">
        <f t="shared" si="4"/>
        <v>-0.72001147575558377</v>
      </c>
    </row>
    <row r="65" spans="1:6" ht="19.5" customHeight="1" x14ac:dyDescent="0.25">
      <c r="A65" s="1607" t="s">
        <v>562</v>
      </c>
      <c r="B65" s="1619" t="s">
        <v>579</v>
      </c>
      <c r="C65" s="955"/>
      <c r="D65" s="1222">
        <f>'MNESA APANADA 600 G 5 UNDS'!H61</f>
        <v>0.72094190948477677</v>
      </c>
      <c r="E65" s="1223">
        <v>0.71697672646177624</v>
      </c>
      <c r="F65" s="954">
        <f>((E65/D65)*100)-100</f>
        <v>-0.55000034965844691</v>
      </c>
    </row>
    <row r="66" spans="1:6" ht="19.5" customHeight="1" x14ac:dyDescent="0.25">
      <c r="A66" s="1616" t="s">
        <v>562</v>
      </c>
      <c r="B66" s="1613" t="s">
        <v>578</v>
      </c>
      <c r="C66" s="955"/>
      <c r="D66" s="1222">
        <f>'MNESA APANADA 1800 G 15 UND'!H61</f>
        <v>0.41463069907432154</v>
      </c>
      <c r="E66" s="1223">
        <v>0.40061933539853428</v>
      </c>
      <c r="F66" s="954">
        <f t="shared" si="4"/>
        <v>-3.3792393344410243</v>
      </c>
    </row>
    <row r="67" spans="1:6" ht="19.5" customHeight="1" x14ac:dyDescent="0.25">
      <c r="A67" s="1612" t="s">
        <v>635</v>
      </c>
      <c r="B67" s="1612" t="s">
        <v>640</v>
      </c>
      <c r="C67" s="1240" t="s">
        <v>1367</v>
      </c>
      <c r="D67" s="1240" t="s">
        <v>1368</v>
      </c>
      <c r="E67" s="1240" t="s">
        <v>1369</v>
      </c>
      <c r="F67" s="1240" t="s">
        <v>3</v>
      </c>
    </row>
    <row r="68" spans="1:6" ht="19.5" customHeight="1" x14ac:dyDescent="0.25">
      <c r="A68" s="1607" t="s">
        <v>562</v>
      </c>
      <c r="B68" s="1610" t="s">
        <v>580</v>
      </c>
      <c r="C68" s="955"/>
      <c r="D68" s="1222">
        <f>'HSA 900 G - 10 UNDS'!I43</f>
        <v>0.2105880163473326</v>
      </c>
      <c r="E68" s="1223">
        <v>0.17134734474022287</v>
      </c>
      <c r="F68" s="954">
        <f t="shared" ref="F68:F73" si="5">((E68/D68)*100)-100</f>
        <v>-18.633857846112321</v>
      </c>
    </row>
    <row r="69" spans="1:6" ht="19.5" customHeight="1" x14ac:dyDescent="0.25">
      <c r="A69" s="1607" t="s">
        <v>562</v>
      </c>
      <c r="B69" s="1610" t="s">
        <v>581</v>
      </c>
      <c r="C69" s="955"/>
      <c r="D69" s="1222">
        <f>'HSA cja 2700 G - 30 UNDS'!H48</f>
        <v>0.51039763863095744</v>
      </c>
      <c r="E69" s="1223">
        <v>0.5154471945013831</v>
      </c>
      <c r="F69" s="954">
        <f t="shared" si="5"/>
        <v>0.98933762389069102</v>
      </c>
    </row>
    <row r="70" spans="1:6" ht="19.5" customHeight="1" x14ac:dyDescent="0.25">
      <c r="A70" s="1607" t="s">
        <v>562</v>
      </c>
      <c r="B70" s="1610" t="s">
        <v>582</v>
      </c>
      <c r="C70" s="955"/>
      <c r="D70" s="1222">
        <f>'HSA 450 G - 5 UNDS'!H43</f>
        <v>0.54109050515847124</v>
      </c>
      <c r="E70" s="1223">
        <v>0.53917224785186357</v>
      </c>
      <c r="F70" s="954">
        <f t="shared" si="5"/>
        <v>-0.3545169039781797</v>
      </c>
    </row>
    <row r="71" spans="1:6" ht="19.5" customHeight="1" x14ac:dyDescent="0.25">
      <c r="A71" s="1607" t="s">
        <v>562</v>
      </c>
      <c r="B71" s="1610" t="s">
        <v>875</v>
      </c>
      <c r="C71" s="955"/>
      <c r="D71" s="1222">
        <f>'HSA POLLO 1425 X 15 '!H37</f>
        <v>0.4825603814802425</v>
      </c>
      <c r="E71" s="1223">
        <v>0.46642613077415512</v>
      </c>
      <c r="F71" s="954">
        <f t="shared" si="5"/>
        <v>-3.3434677452375894</v>
      </c>
    </row>
    <row r="72" spans="1:6" ht="19.5" customHeight="1" x14ac:dyDescent="0.25">
      <c r="A72" s="1607" t="s">
        <v>562</v>
      </c>
      <c r="B72" s="1610" t="s">
        <v>1328</v>
      </c>
      <c r="C72" s="955"/>
      <c r="D72" s="1222">
        <f>'HSA POLLO 750 X5'!H38</f>
        <v>0.42336231190633239</v>
      </c>
      <c r="E72" s="1223">
        <v>0.40684805592513185</v>
      </c>
      <c r="F72" s="954"/>
    </row>
    <row r="73" spans="1:6" ht="19.5" customHeight="1" x14ac:dyDescent="0.25">
      <c r="A73" s="1607" t="s">
        <v>562</v>
      </c>
      <c r="B73" s="1610" t="s">
        <v>876</v>
      </c>
      <c r="C73" s="955"/>
      <c r="D73" s="1222">
        <f>'HSA POLLO 1500 X10'!H39</f>
        <v>0.45994617319326148</v>
      </c>
      <c r="E73" s="1223">
        <v>0.44399385312038459</v>
      </c>
      <c r="F73" s="954">
        <f t="shared" si="5"/>
        <v>-3.4683015106148076</v>
      </c>
    </row>
    <row r="74" spans="1:6" ht="19.5" customHeight="1" x14ac:dyDescent="0.25">
      <c r="A74" s="1612" t="s">
        <v>635</v>
      </c>
      <c r="B74" s="1612" t="s">
        <v>642</v>
      </c>
      <c r="C74" s="1240" t="s">
        <v>1367</v>
      </c>
      <c r="D74" s="1240" t="s">
        <v>1368</v>
      </c>
      <c r="E74" s="1240" t="s">
        <v>1369</v>
      </c>
      <c r="F74" s="1240" t="s">
        <v>3</v>
      </c>
    </row>
    <row r="75" spans="1:6" ht="19.5" customHeight="1" x14ac:dyDescent="0.25">
      <c r="A75" s="1616" t="s">
        <v>1278</v>
      </c>
      <c r="B75" s="1620" t="s">
        <v>584</v>
      </c>
      <c r="C75" s="955"/>
      <c r="D75" s="1222">
        <f>'SÚPER COMBO VIANDÉ 900 G'!H34</f>
        <v>0.33424603760030297</v>
      </c>
      <c r="E75" s="1223">
        <v>0.29368742815394233</v>
      </c>
      <c r="F75" s="954">
        <f>((E75/D75)*100)-100</f>
        <v>-12.134357594049121</v>
      </c>
    </row>
    <row r="76" spans="1:6" ht="19.5" customHeight="1" x14ac:dyDescent="0.25">
      <c r="A76" s="1621" t="s">
        <v>562</v>
      </c>
      <c r="B76" s="1622" t="s">
        <v>883</v>
      </c>
      <c r="C76" s="955"/>
      <c r="D76" s="1224">
        <f>'MEGA COMBO FAIZAN 900 G NUEVO'!H33</f>
        <v>0.97784913513693439</v>
      </c>
      <c r="E76" s="1223">
        <v>0.41886080138958398</v>
      </c>
      <c r="F76" s="954">
        <f>((E76/D76)*100)-100</f>
        <v>-57.16508954820231</v>
      </c>
    </row>
    <row r="77" spans="1:6" ht="19.5" hidden="1" customHeight="1" x14ac:dyDescent="0.25">
      <c r="A77" s="1621" t="s">
        <v>562</v>
      </c>
      <c r="B77" s="1622" t="s">
        <v>643</v>
      </c>
      <c r="C77" s="953"/>
      <c r="D77" s="953">
        <v>41.31</v>
      </c>
      <c r="E77" s="953">
        <v>0.52917718191492102</v>
      </c>
      <c r="F77" s="1056">
        <f>((E77/D77)*100)-100</f>
        <v>-98.719009484592306</v>
      </c>
    </row>
    <row r="78" spans="1:6" ht="19.5" customHeight="1" x14ac:dyDescent="0.25">
      <c r="A78" s="1623" t="s">
        <v>635</v>
      </c>
      <c r="B78" s="1623" t="s">
        <v>960</v>
      </c>
      <c r="C78" s="1240" t="s">
        <v>1367</v>
      </c>
      <c r="D78" s="1240" t="s">
        <v>1368</v>
      </c>
      <c r="E78" s="1240" t="s">
        <v>1369</v>
      </c>
      <c r="F78" s="1241" t="s">
        <v>3</v>
      </c>
    </row>
    <row r="79" spans="1:6" ht="19.5" customHeight="1" x14ac:dyDescent="0.25">
      <c r="A79" s="1621" t="s">
        <v>562</v>
      </c>
      <c r="B79" s="1615" t="s">
        <v>961</v>
      </c>
      <c r="C79" s="1682"/>
      <c r="D79" s="1223">
        <f>'TOCINO BARRIGUERO 1KG'!F76</f>
        <v>0.53795250608366596</v>
      </c>
      <c r="E79" s="1223">
        <v>0.48845370258536841</v>
      </c>
      <c r="F79" s="954">
        <f>((E79/D79)*100)-100</f>
        <v>-9.2013333776716593</v>
      </c>
    </row>
    <row r="80" spans="1:6" ht="19.5" customHeight="1" x14ac:dyDescent="0.25">
      <c r="A80" s="1621" t="s">
        <v>562</v>
      </c>
      <c r="B80" s="1615" t="s">
        <v>962</v>
      </c>
      <c r="C80" s="1650">
        <v>49.28</v>
      </c>
      <c r="D80" s="1223">
        <f>'TOCINO PAPADA 1KG'!F76</f>
        <v>0.48791509313088038</v>
      </c>
      <c r="E80" s="1223">
        <v>0.41959613822642045</v>
      </c>
      <c r="F80" s="954">
        <f>((E80/D80)*100)-100</f>
        <v>-14.002222080499109</v>
      </c>
    </row>
    <row r="81" spans="1:6" ht="19.5" customHeight="1" x14ac:dyDescent="0.25">
      <c r="A81" s="1621" t="s">
        <v>562</v>
      </c>
      <c r="B81" s="1615" t="s">
        <v>1232</v>
      </c>
      <c r="C81" s="1684"/>
      <c r="D81" s="1223">
        <f>'TOCINETA X 150 RX'!G51</f>
        <v>0.52149942453164366</v>
      </c>
      <c r="E81" s="1223">
        <v>0.52511026671519956</v>
      </c>
      <c r="F81" s="954">
        <f>((E81/D81)*100)-100</f>
        <v>0.69239619713843581</v>
      </c>
    </row>
    <row r="82" spans="1:6" ht="19.5" customHeight="1" x14ac:dyDescent="0.25">
      <c r="A82" s="1621"/>
      <c r="B82" s="1615" t="s">
        <v>1329</v>
      </c>
      <c r="C82" s="1684"/>
      <c r="D82" s="1223">
        <f>'TOCINETAx 400 rx'!G51</f>
        <v>0.52301672518414788</v>
      </c>
      <c r="E82" s="1223">
        <v>0.52467204249265098</v>
      </c>
      <c r="F82" s="954"/>
    </row>
    <row r="83" spans="1:6" ht="19.5" customHeight="1" x14ac:dyDescent="0.25">
      <c r="A83" s="1621" t="s">
        <v>562</v>
      </c>
      <c r="B83" s="1615" t="s">
        <v>1231</v>
      </c>
      <c r="C83" s="1684"/>
      <c r="D83" s="1223">
        <f>'TOCINETA X 1000 GRS RX'!G51</f>
        <v>0.48105306132872033</v>
      </c>
      <c r="E83" s="1223">
        <v>0.4822905894013374</v>
      </c>
      <c r="F83" s="954">
        <f>((E83/D83)*100)-100</f>
        <v>0.25725396470794237</v>
      </c>
    </row>
    <row r="84" spans="1:6" ht="19.5" customHeight="1" x14ac:dyDescent="0.25">
      <c r="A84" s="1623" t="s">
        <v>635</v>
      </c>
      <c r="B84" s="1623" t="s">
        <v>1095</v>
      </c>
      <c r="C84" s="1240" t="s">
        <v>1367</v>
      </c>
      <c r="D84" s="1240" t="s">
        <v>1368</v>
      </c>
      <c r="E84" s="1240" t="s">
        <v>1369</v>
      </c>
      <c r="F84" s="1241" t="s">
        <v>3</v>
      </c>
    </row>
    <row r="85" spans="1:6" ht="19.5" customHeight="1" x14ac:dyDescent="0.25">
      <c r="A85" s="1624" t="s">
        <v>562</v>
      </c>
      <c r="B85" s="1625" t="s">
        <v>1096</v>
      </c>
      <c r="C85" s="1606"/>
      <c r="D85" s="1222"/>
      <c r="E85" s="1223"/>
      <c r="F85" s="1155"/>
    </row>
    <row r="86" spans="1:6" ht="19.5" customHeight="1" x14ac:dyDescent="0.25">
      <c r="E86" s="956"/>
    </row>
    <row r="156" spans="1:22" s="959" customFormat="1" ht="19.5" customHeight="1" x14ac:dyDescent="0.25">
      <c r="A156" s="957"/>
      <c r="B156" s="956"/>
      <c r="C156" s="956"/>
      <c r="D156" s="958"/>
      <c r="E156" s="958"/>
      <c r="F156" s="958"/>
      <c r="G156" s="951"/>
      <c r="H156" s="951"/>
      <c r="I156" s="951"/>
      <c r="J156" s="951"/>
      <c r="K156" s="951"/>
      <c r="L156" s="951"/>
      <c r="M156" s="951"/>
      <c r="N156" s="951"/>
      <c r="O156" s="951"/>
      <c r="P156" s="951"/>
      <c r="Q156" s="951"/>
      <c r="R156" s="951"/>
      <c r="S156" s="951"/>
      <c r="T156" s="951"/>
      <c r="U156" s="951"/>
      <c r="V156" s="951"/>
    </row>
    <row r="157" spans="1:22" s="959" customFormat="1" ht="19.5" customHeight="1" x14ac:dyDescent="0.25">
      <c r="A157" s="957"/>
      <c r="B157" s="956"/>
      <c r="C157" s="956"/>
      <c r="D157" s="958"/>
      <c r="E157" s="958"/>
      <c r="F157" s="958"/>
      <c r="G157" s="951"/>
      <c r="H157" s="951"/>
      <c r="I157" s="951"/>
      <c r="J157" s="951"/>
      <c r="K157" s="951"/>
      <c r="L157" s="951"/>
      <c r="M157" s="951"/>
      <c r="N157" s="951"/>
      <c r="O157" s="951"/>
      <c r="P157" s="951"/>
      <c r="Q157" s="951"/>
      <c r="R157" s="951"/>
      <c r="S157" s="951"/>
      <c r="T157" s="951"/>
      <c r="U157" s="951"/>
      <c r="V157" s="951"/>
    </row>
    <row r="158" spans="1:22" s="959" customFormat="1" ht="19.5" customHeight="1" x14ac:dyDescent="0.25">
      <c r="A158" s="957"/>
      <c r="B158" s="956"/>
      <c r="C158" s="956"/>
      <c r="D158" s="958"/>
      <c r="E158" s="958"/>
      <c r="F158" s="958"/>
      <c r="G158" s="951"/>
      <c r="H158" s="951"/>
      <c r="I158" s="951"/>
      <c r="J158" s="951"/>
      <c r="K158" s="951"/>
      <c r="L158" s="951"/>
      <c r="M158" s="951"/>
      <c r="N158" s="951"/>
      <c r="O158" s="951"/>
      <c r="P158" s="951"/>
      <c r="Q158" s="951"/>
      <c r="R158" s="951"/>
      <c r="S158" s="951"/>
      <c r="T158" s="951"/>
      <c r="U158" s="951"/>
      <c r="V158" s="951"/>
    </row>
    <row r="159" spans="1:22" s="959" customFormat="1" ht="19.5" customHeight="1" x14ac:dyDescent="0.25">
      <c r="A159" s="957"/>
      <c r="B159" s="956"/>
      <c r="C159" s="956"/>
      <c r="D159" s="958"/>
      <c r="E159" s="958"/>
      <c r="F159" s="958"/>
      <c r="G159" s="951"/>
      <c r="H159" s="951"/>
      <c r="I159" s="951"/>
      <c r="J159" s="951"/>
      <c r="K159" s="951"/>
      <c r="L159" s="951"/>
      <c r="M159" s="951"/>
      <c r="N159" s="951"/>
      <c r="O159" s="951"/>
      <c r="P159" s="951"/>
      <c r="Q159" s="951"/>
      <c r="R159" s="951"/>
      <c r="S159" s="951"/>
      <c r="T159" s="951"/>
      <c r="U159" s="951"/>
      <c r="V159" s="951"/>
    </row>
    <row r="160" spans="1:22" s="959" customFormat="1" ht="19.5" customHeight="1" x14ac:dyDescent="0.25">
      <c r="A160" s="957"/>
      <c r="B160" s="956"/>
      <c r="C160" s="956"/>
      <c r="D160" s="958"/>
      <c r="E160" s="958"/>
      <c r="F160" s="958"/>
      <c r="G160" s="951"/>
      <c r="H160" s="951"/>
      <c r="I160" s="951"/>
      <c r="J160" s="951"/>
      <c r="K160" s="951"/>
      <c r="L160" s="951"/>
      <c r="M160" s="951"/>
      <c r="N160" s="951"/>
      <c r="O160" s="951"/>
      <c r="P160" s="951"/>
      <c r="Q160" s="951"/>
      <c r="R160" s="951"/>
      <c r="S160" s="951"/>
      <c r="T160" s="951"/>
      <c r="U160" s="951"/>
      <c r="V160" s="951"/>
    </row>
    <row r="161" spans="1:22" s="959" customFormat="1" ht="19.5" customHeight="1" x14ac:dyDescent="0.25">
      <c r="A161" s="957"/>
      <c r="B161" s="956"/>
      <c r="C161" s="956"/>
      <c r="D161" s="958"/>
      <c r="E161" s="958"/>
      <c r="F161" s="958"/>
      <c r="G161" s="951"/>
      <c r="H161" s="951"/>
      <c r="I161" s="951"/>
      <c r="J161" s="951"/>
      <c r="K161" s="951"/>
      <c r="L161" s="951"/>
      <c r="M161" s="951"/>
      <c r="N161" s="951"/>
      <c r="O161" s="951"/>
      <c r="P161" s="951"/>
      <c r="Q161" s="951"/>
      <c r="R161" s="951"/>
      <c r="S161" s="951"/>
      <c r="T161" s="951"/>
      <c r="U161" s="951"/>
      <c r="V161" s="951"/>
    </row>
    <row r="162" spans="1:22" s="959" customFormat="1" ht="19.5" customHeight="1" x14ac:dyDescent="0.25">
      <c r="A162" s="957"/>
      <c r="B162" s="956"/>
      <c r="C162" s="956"/>
      <c r="D162" s="958"/>
      <c r="E162" s="958"/>
      <c r="F162" s="958"/>
      <c r="G162" s="951"/>
      <c r="H162" s="951"/>
      <c r="I162" s="951"/>
      <c r="J162" s="951"/>
      <c r="K162" s="951"/>
      <c r="L162" s="951"/>
      <c r="M162" s="951"/>
      <c r="N162" s="951"/>
      <c r="O162" s="951"/>
      <c r="P162" s="951"/>
      <c r="Q162" s="951"/>
      <c r="R162" s="951"/>
      <c r="S162" s="951"/>
      <c r="T162" s="951"/>
      <c r="U162" s="951"/>
      <c r="V162" s="951"/>
    </row>
    <row r="163" spans="1:22" s="959" customFormat="1" ht="19.5" customHeight="1" x14ac:dyDescent="0.25">
      <c r="A163" s="957"/>
      <c r="B163" s="956"/>
      <c r="C163" s="956"/>
      <c r="D163" s="958"/>
      <c r="E163" s="958"/>
      <c r="F163" s="958"/>
      <c r="G163" s="951"/>
      <c r="H163" s="951"/>
      <c r="I163" s="951"/>
      <c r="J163" s="951"/>
      <c r="K163" s="951"/>
      <c r="L163" s="951"/>
      <c r="M163" s="951"/>
      <c r="N163" s="951"/>
      <c r="O163" s="951"/>
      <c r="P163" s="951"/>
      <c r="Q163" s="951"/>
      <c r="R163" s="951"/>
      <c r="S163" s="951"/>
      <c r="T163" s="951"/>
      <c r="U163" s="951"/>
      <c r="V163" s="951"/>
    </row>
    <row r="164" spans="1:22" s="959" customFormat="1" ht="19.5" customHeight="1" x14ac:dyDescent="0.25">
      <c r="A164" s="957"/>
      <c r="B164" s="956"/>
      <c r="C164" s="956"/>
      <c r="D164" s="958"/>
      <c r="E164" s="958"/>
      <c r="F164" s="958"/>
      <c r="G164" s="951"/>
      <c r="H164" s="951"/>
      <c r="I164" s="951"/>
      <c r="J164" s="951"/>
      <c r="K164" s="951"/>
      <c r="L164" s="951"/>
      <c r="M164" s="951"/>
      <c r="N164" s="951"/>
      <c r="O164" s="951"/>
      <c r="P164" s="951"/>
      <c r="Q164" s="951"/>
      <c r="R164" s="951"/>
      <c r="S164" s="951"/>
      <c r="T164" s="951"/>
      <c r="U164" s="951"/>
      <c r="V164" s="951"/>
    </row>
    <row r="165" spans="1:22" s="959" customFormat="1" ht="19.5" customHeight="1" x14ac:dyDescent="0.25">
      <c r="A165" s="957"/>
      <c r="B165" s="956"/>
      <c r="C165" s="956"/>
      <c r="D165" s="958"/>
      <c r="E165" s="958"/>
      <c r="F165" s="958"/>
      <c r="G165" s="951"/>
      <c r="H165" s="951"/>
      <c r="I165" s="951"/>
      <c r="J165" s="951"/>
      <c r="K165" s="951"/>
      <c r="L165" s="951"/>
      <c r="M165" s="951"/>
      <c r="N165" s="951"/>
      <c r="O165" s="951"/>
      <c r="P165" s="951"/>
      <c r="Q165" s="951"/>
      <c r="R165" s="951"/>
      <c r="S165" s="951"/>
      <c r="T165" s="951"/>
      <c r="U165" s="951"/>
      <c r="V165" s="951"/>
    </row>
    <row r="166" spans="1:22" s="959" customFormat="1" ht="19.5" customHeight="1" x14ac:dyDescent="0.25">
      <c r="A166" s="957"/>
      <c r="B166" s="956"/>
      <c r="C166" s="956"/>
      <c r="D166" s="958"/>
      <c r="E166" s="958"/>
      <c r="F166" s="958"/>
      <c r="G166" s="951"/>
      <c r="H166" s="951"/>
      <c r="I166" s="951"/>
      <c r="J166" s="951"/>
      <c r="K166" s="951"/>
      <c r="L166" s="951"/>
      <c r="M166" s="951"/>
      <c r="N166" s="951"/>
      <c r="O166" s="951"/>
      <c r="P166" s="951"/>
      <c r="Q166" s="951"/>
      <c r="R166" s="951"/>
      <c r="S166" s="951"/>
      <c r="T166" s="951"/>
      <c r="U166" s="951"/>
      <c r="V166" s="951"/>
    </row>
    <row r="167" spans="1:22" s="959" customFormat="1" ht="19.5" customHeight="1" x14ac:dyDescent="0.25">
      <c r="A167" s="960"/>
      <c r="B167" s="956"/>
      <c r="C167" s="956"/>
      <c r="D167" s="958"/>
      <c r="E167" s="958"/>
      <c r="F167" s="958"/>
      <c r="G167" s="951"/>
      <c r="H167" s="951"/>
      <c r="I167" s="951"/>
      <c r="J167" s="951"/>
      <c r="K167" s="951"/>
      <c r="L167" s="951"/>
      <c r="M167" s="951"/>
      <c r="N167" s="951"/>
      <c r="O167" s="951"/>
      <c r="P167" s="951"/>
      <c r="Q167" s="951"/>
      <c r="R167" s="951"/>
      <c r="S167" s="951"/>
      <c r="T167" s="951"/>
      <c r="U167" s="951"/>
      <c r="V167" s="951"/>
    </row>
    <row r="168" spans="1:22" s="959" customFormat="1" ht="19.5" customHeight="1" x14ac:dyDescent="0.25">
      <c r="A168" s="960"/>
      <c r="B168" s="956"/>
      <c r="C168" s="956"/>
      <c r="D168" s="958"/>
      <c r="E168" s="958"/>
      <c r="F168" s="958"/>
      <c r="G168" s="951"/>
      <c r="H168" s="951"/>
      <c r="I168" s="951"/>
      <c r="J168" s="951"/>
      <c r="K168" s="951"/>
      <c r="L168" s="951"/>
      <c r="M168" s="951"/>
      <c r="N168" s="951"/>
      <c r="O168" s="951"/>
      <c r="P168" s="951"/>
      <c r="Q168" s="951"/>
      <c r="R168" s="951"/>
      <c r="S168" s="951"/>
      <c r="T168" s="951"/>
      <c r="U168" s="951"/>
      <c r="V168" s="951"/>
    </row>
    <row r="169" spans="1:22" s="959" customFormat="1" ht="19.5" customHeight="1" x14ac:dyDescent="0.25">
      <c r="A169" s="960"/>
      <c r="B169" s="956"/>
      <c r="C169" s="956"/>
      <c r="D169" s="958"/>
      <c r="E169" s="958"/>
      <c r="F169" s="958"/>
      <c r="G169" s="951"/>
      <c r="H169" s="951"/>
      <c r="I169" s="951"/>
      <c r="J169" s="951"/>
      <c r="K169" s="951"/>
      <c r="L169" s="951"/>
      <c r="M169" s="951"/>
      <c r="N169" s="951"/>
      <c r="O169" s="951"/>
      <c r="P169" s="951"/>
      <c r="Q169" s="951"/>
      <c r="R169" s="951"/>
      <c r="S169" s="951"/>
      <c r="T169" s="951"/>
      <c r="U169" s="951"/>
      <c r="V169" s="951"/>
    </row>
    <row r="170" spans="1:22" s="959" customFormat="1" ht="19.5" customHeight="1" x14ac:dyDescent="0.25">
      <c r="A170" s="960"/>
      <c r="B170" s="956"/>
      <c r="C170" s="956"/>
      <c r="D170" s="958"/>
      <c r="E170" s="958"/>
      <c r="F170" s="958"/>
      <c r="G170" s="951"/>
      <c r="H170" s="951"/>
      <c r="I170" s="951"/>
      <c r="J170" s="951"/>
      <c r="K170" s="951"/>
      <c r="L170" s="951"/>
      <c r="M170" s="951"/>
      <c r="N170" s="951"/>
      <c r="O170" s="951"/>
      <c r="P170" s="951"/>
      <c r="Q170" s="951"/>
      <c r="R170" s="951"/>
      <c r="S170" s="951"/>
      <c r="T170" s="951"/>
      <c r="U170" s="951"/>
      <c r="V170" s="951"/>
    </row>
    <row r="171" spans="1:22" s="959" customFormat="1" ht="19.5" customHeight="1" x14ac:dyDescent="0.25">
      <c r="A171" s="960"/>
      <c r="B171" s="956"/>
      <c r="C171" s="956"/>
      <c r="D171" s="958"/>
      <c r="E171" s="958"/>
      <c r="F171" s="958"/>
      <c r="G171" s="951"/>
      <c r="H171" s="951"/>
      <c r="I171" s="951"/>
      <c r="J171" s="951"/>
      <c r="K171" s="951"/>
      <c r="L171" s="951"/>
      <c r="M171" s="951"/>
      <c r="N171" s="951"/>
      <c r="O171" s="951"/>
      <c r="P171" s="951"/>
      <c r="Q171" s="951"/>
      <c r="R171" s="951"/>
      <c r="S171" s="951"/>
      <c r="T171" s="951"/>
      <c r="U171" s="951"/>
      <c r="V171" s="951"/>
    </row>
    <row r="172" spans="1:22" s="959" customFormat="1" ht="19.5" customHeight="1" x14ac:dyDescent="0.25">
      <c r="A172" s="960"/>
      <c r="B172" s="956"/>
      <c r="C172" s="956"/>
      <c r="D172" s="958"/>
      <c r="E172" s="958"/>
      <c r="F172" s="958"/>
      <c r="G172" s="951"/>
      <c r="H172" s="951"/>
      <c r="I172" s="951"/>
      <c r="J172" s="951"/>
      <c r="K172" s="951"/>
      <c r="L172" s="951"/>
      <c r="M172" s="951"/>
      <c r="N172" s="951"/>
      <c r="O172" s="951"/>
      <c r="P172" s="951"/>
      <c r="Q172" s="951"/>
      <c r="R172" s="951"/>
      <c r="S172" s="951"/>
      <c r="T172" s="951"/>
      <c r="U172" s="951"/>
      <c r="V172" s="951"/>
    </row>
    <row r="173" spans="1:22" s="959" customFormat="1" ht="19.5" customHeight="1" x14ac:dyDescent="0.25">
      <c r="A173" s="960"/>
      <c r="B173" s="956"/>
      <c r="C173" s="956"/>
      <c r="D173" s="958"/>
      <c r="E173" s="958"/>
      <c r="F173" s="958"/>
      <c r="G173" s="951"/>
      <c r="H173" s="951"/>
      <c r="I173" s="951"/>
      <c r="J173" s="951"/>
      <c r="K173" s="951"/>
      <c r="L173" s="951"/>
      <c r="M173" s="951"/>
      <c r="N173" s="951"/>
      <c r="O173" s="951"/>
      <c r="P173" s="951"/>
      <c r="Q173" s="951"/>
      <c r="R173" s="951"/>
      <c r="S173" s="951"/>
      <c r="T173" s="951"/>
      <c r="U173" s="951"/>
      <c r="V173" s="951"/>
    </row>
    <row r="174" spans="1:22" s="959" customFormat="1" ht="19.5" customHeight="1" x14ac:dyDescent="0.25">
      <c r="A174" s="960"/>
      <c r="B174" s="956"/>
      <c r="C174" s="956"/>
      <c r="D174" s="958"/>
      <c r="E174" s="958"/>
      <c r="F174" s="958"/>
      <c r="G174" s="951"/>
      <c r="H174" s="951"/>
      <c r="I174" s="951"/>
      <c r="J174" s="951"/>
      <c r="K174" s="951"/>
      <c r="L174" s="951"/>
      <c r="M174" s="951"/>
      <c r="N174" s="951"/>
      <c r="O174" s="951"/>
      <c r="P174" s="951"/>
      <c r="Q174" s="951"/>
      <c r="R174" s="951"/>
      <c r="S174" s="951"/>
      <c r="T174" s="951"/>
      <c r="U174" s="951"/>
      <c r="V174" s="951"/>
    </row>
    <row r="175" spans="1:22" s="959" customFormat="1" ht="19.5" customHeight="1" x14ac:dyDescent="0.25">
      <c r="A175" s="960"/>
      <c r="B175" s="956"/>
      <c r="C175" s="956"/>
      <c r="D175" s="958"/>
      <c r="E175" s="958"/>
      <c r="F175" s="958"/>
      <c r="G175" s="951"/>
      <c r="H175" s="951"/>
      <c r="I175" s="951"/>
      <c r="J175" s="951"/>
      <c r="K175" s="951"/>
      <c r="L175" s="951"/>
      <c r="M175" s="951"/>
      <c r="N175" s="951"/>
      <c r="O175" s="951"/>
      <c r="P175" s="951"/>
      <c r="Q175" s="951"/>
      <c r="R175" s="951"/>
      <c r="S175" s="951"/>
      <c r="T175" s="951"/>
      <c r="U175" s="951"/>
      <c r="V175" s="951"/>
    </row>
    <row r="176" spans="1:22" s="959" customFormat="1" ht="19.5" customHeight="1" x14ac:dyDescent="0.25">
      <c r="A176" s="960"/>
      <c r="B176" s="956"/>
      <c r="C176" s="956"/>
      <c r="D176" s="958"/>
      <c r="E176" s="958"/>
      <c r="F176" s="958"/>
      <c r="G176" s="951"/>
      <c r="H176" s="951"/>
      <c r="I176" s="951"/>
      <c r="J176" s="951"/>
      <c r="K176" s="951"/>
      <c r="L176" s="951"/>
      <c r="M176" s="951"/>
      <c r="N176" s="951"/>
      <c r="O176" s="951"/>
      <c r="P176" s="951"/>
      <c r="Q176" s="951"/>
      <c r="R176" s="951"/>
      <c r="S176" s="951"/>
      <c r="T176" s="951"/>
      <c r="U176" s="951"/>
      <c r="V176" s="951"/>
    </row>
    <row r="177" spans="1:22" s="959" customFormat="1" ht="19.5" customHeight="1" x14ac:dyDescent="0.25">
      <c r="A177" s="960"/>
      <c r="B177" s="956"/>
      <c r="C177" s="956"/>
      <c r="D177" s="958"/>
      <c r="E177" s="958"/>
      <c r="F177" s="958"/>
      <c r="G177" s="951"/>
      <c r="H177" s="951"/>
      <c r="I177" s="951"/>
      <c r="J177" s="951"/>
      <c r="K177" s="951"/>
      <c r="L177" s="951"/>
      <c r="M177" s="951"/>
      <c r="N177" s="951"/>
      <c r="O177" s="951"/>
      <c r="P177" s="951"/>
      <c r="Q177" s="951"/>
      <c r="R177" s="951"/>
      <c r="S177" s="951"/>
      <c r="T177" s="951"/>
      <c r="U177" s="951"/>
      <c r="V177" s="951"/>
    </row>
    <row r="178" spans="1:22" s="959" customFormat="1" ht="19.5" customHeight="1" x14ac:dyDescent="0.25">
      <c r="A178" s="960"/>
      <c r="B178" s="956"/>
      <c r="C178" s="956"/>
      <c r="D178" s="958"/>
      <c r="E178" s="958"/>
      <c r="F178" s="958"/>
      <c r="G178" s="951"/>
      <c r="H178" s="951"/>
      <c r="I178" s="951"/>
      <c r="J178" s="951"/>
      <c r="K178" s="951"/>
      <c r="L178" s="951"/>
      <c r="M178" s="951"/>
      <c r="N178" s="951"/>
      <c r="O178" s="951"/>
      <c r="P178" s="951"/>
      <c r="Q178" s="951"/>
      <c r="R178" s="951"/>
      <c r="S178" s="951"/>
      <c r="T178" s="951"/>
      <c r="U178" s="951"/>
      <c r="V178" s="951"/>
    </row>
    <row r="179" spans="1:22" s="959" customFormat="1" ht="19.5" customHeight="1" x14ac:dyDescent="0.25">
      <c r="A179" s="960"/>
      <c r="B179" s="956"/>
      <c r="C179" s="956"/>
      <c r="D179" s="958"/>
      <c r="E179" s="958"/>
      <c r="F179" s="958"/>
      <c r="G179" s="951"/>
      <c r="H179" s="951"/>
      <c r="I179" s="951"/>
      <c r="J179" s="951"/>
      <c r="K179" s="951"/>
      <c r="L179" s="951"/>
      <c r="M179" s="951"/>
      <c r="N179" s="951"/>
      <c r="O179" s="951"/>
      <c r="P179" s="951"/>
      <c r="Q179" s="951"/>
      <c r="R179" s="951"/>
      <c r="S179" s="951"/>
      <c r="T179" s="951"/>
      <c r="U179" s="951"/>
      <c r="V179" s="951"/>
    </row>
    <row r="180" spans="1:22" s="959" customFormat="1" ht="19.5" customHeight="1" x14ac:dyDescent="0.25">
      <c r="A180" s="960"/>
      <c r="B180" s="956"/>
      <c r="C180" s="956"/>
      <c r="D180" s="958"/>
      <c r="E180" s="958"/>
      <c r="F180" s="958"/>
      <c r="G180" s="951"/>
      <c r="H180" s="951"/>
      <c r="I180" s="951"/>
      <c r="J180" s="951"/>
      <c r="K180" s="951"/>
      <c r="L180" s="951"/>
      <c r="M180" s="951"/>
      <c r="N180" s="951"/>
      <c r="O180" s="951"/>
      <c r="P180" s="951"/>
      <c r="Q180" s="951"/>
      <c r="R180" s="951"/>
      <c r="S180" s="951"/>
      <c r="T180" s="951"/>
      <c r="U180" s="951"/>
      <c r="V180" s="951"/>
    </row>
    <row r="181" spans="1:22" s="959" customFormat="1" ht="19.5" customHeight="1" x14ac:dyDescent="0.25">
      <c r="A181" s="960"/>
      <c r="B181" s="956"/>
      <c r="C181" s="956"/>
      <c r="D181" s="958"/>
      <c r="E181" s="958"/>
      <c r="F181" s="958"/>
      <c r="G181" s="951"/>
      <c r="H181" s="951"/>
      <c r="I181" s="951"/>
      <c r="J181" s="951"/>
      <c r="K181" s="951"/>
      <c r="L181" s="951"/>
      <c r="M181" s="951"/>
      <c r="N181" s="951"/>
      <c r="O181" s="951"/>
      <c r="P181" s="951"/>
      <c r="Q181" s="951"/>
      <c r="R181" s="951"/>
      <c r="S181" s="951"/>
      <c r="T181" s="951"/>
      <c r="U181" s="951"/>
      <c r="V181" s="951"/>
    </row>
    <row r="182" spans="1:22" s="959" customFormat="1" ht="19.5" customHeight="1" x14ac:dyDescent="0.25">
      <c r="A182" s="960"/>
      <c r="B182" s="956"/>
      <c r="C182" s="956"/>
      <c r="D182" s="958"/>
      <c r="E182" s="958"/>
      <c r="F182" s="958"/>
      <c r="G182" s="951"/>
      <c r="H182" s="951"/>
      <c r="I182" s="951"/>
      <c r="J182" s="951"/>
      <c r="K182" s="951"/>
      <c r="L182" s="951"/>
      <c r="M182" s="951"/>
      <c r="N182" s="951"/>
      <c r="O182" s="951"/>
      <c r="P182" s="951"/>
      <c r="Q182" s="951"/>
      <c r="R182" s="951"/>
      <c r="S182" s="951"/>
      <c r="T182" s="951"/>
      <c r="U182" s="951"/>
      <c r="V182" s="951"/>
    </row>
    <row r="183" spans="1:22" s="959" customFormat="1" ht="19.5" customHeight="1" x14ac:dyDescent="0.25">
      <c r="A183" s="960"/>
      <c r="B183" s="956"/>
      <c r="C183" s="956"/>
      <c r="D183" s="958"/>
      <c r="E183" s="958"/>
      <c r="F183" s="958"/>
      <c r="G183" s="951"/>
      <c r="H183" s="951"/>
      <c r="I183" s="951"/>
      <c r="J183" s="951"/>
      <c r="K183" s="951"/>
      <c r="L183" s="951"/>
      <c r="M183" s="951"/>
      <c r="N183" s="951"/>
      <c r="O183" s="951"/>
      <c r="P183" s="951"/>
      <c r="Q183" s="951"/>
      <c r="R183" s="951"/>
      <c r="S183" s="951"/>
      <c r="T183" s="951"/>
      <c r="U183" s="951"/>
      <c r="V183" s="951"/>
    </row>
    <row r="184" spans="1:22" s="959" customFormat="1" ht="19.5" customHeight="1" x14ac:dyDescent="0.25">
      <c r="A184" s="960"/>
      <c r="B184" s="956"/>
      <c r="C184" s="956"/>
      <c r="D184" s="958"/>
      <c r="E184" s="958"/>
      <c r="F184" s="958"/>
      <c r="G184" s="951"/>
      <c r="H184" s="951"/>
      <c r="I184" s="951"/>
      <c r="J184" s="951"/>
      <c r="K184" s="951"/>
      <c r="L184" s="951"/>
      <c r="M184" s="951"/>
      <c r="N184" s="951"/>
      <c r="O184" s="951"/>
      <c r="P184" s="951"/>
      <c r="Q184" s="951"/>
      <c r="R184" s="951"/>
      <c r="S184" s="951"/>
      <c r="T184" s="951"/>
      <c r="U184" s="951"/>
      <c r="V184" s="951"/>
    </row>
    <row r="185" spans="1:22" s="959" customFormat="1" ht="19.5" customHeight="1" x14ac:dyDescent="0.25">
      <c r="A185" s="960"/>
      <c r="B185" s="956"/>
      <c r="C185" s="956"/>
      <c r="D185" s="958"/>
      <c r="E185" s="958"/>
      <c r="F185" s="958"/>
      <c r="G185" s="951"/>
      <c r="H185" s="951"/>
      <c r="I185" s="951"/>
      <c r="J185" s="951"/>
      <c r="K185" s="951"/>
      <c r="L185" s="951"/>
      <c r="M185" s="951"/>
      <c r="N185" s="951"/>
      <c r="O185" s="951"/>
      <c r="P185" s="951"/>
      <c r="Q185" s="951"/>
      <c r="R185" s="951"/>
      <c r="S185" s="951"/>
      <c r="T185" s="951"/>
      <c r="U185" s="951"/>
      <c r="V185" s="951"/>
    </row>
    <row r="186" spans="1:22" s="959" customFormat="1" ht="19.5" customHeight="1" x14ac:dyDescent="0.25">
      <c r="A186" s="960"/>
      <c r="B186" s="956"/>
      <c r="C186" s="956"/>
      <c r="D186" s="958"/>
      <c r="E186" s="958"/>
      <c r="F186" s="958"/>
      <c r="G186" s="951"/>
      <c r="H186" s="951"/>
      <c r="I186" s="951"/>
      <c r="J186" s="951"/>
      <c r="K186" s="951"/>
      <c r="L186" s="951"/>
      <c r="M186" s="951"/>
      <c r="N186" s="951"/>
      <c r="O186" s="951"/>
      <c r="P186" s="951"/>
      <c r="Q186" s="951"/>
      <c r="R186" s="951"/>
      <c r="S186" s="951"/>
      <c r="T186" s="951"/>
      <c r="U186" s="951"/>
      <c r="V186" s="951"/>
    </row>
    <row r="187" spans="1:22" s="959" customFormat="1" ht="19.5" customHeight="1" x14ac:dyDescent="0.25">
      <c r="A187" s="960"/>
      <c r="B187" s="956"/>
      <c r="C187" s="956"/>
      <c r="D187" s="958"/>
      <c r="E187" s="958"/>
      <c r="F187" s="958"/>
      <c r="G187" s="951"/>
      <c r="H187" s="951"/>
      <c r="I187" s="951"/>
      <c r="J187" s="951"/>
      <c r="K187" s="951"/>
      <c r="L187" s="951"/>
      <c r="M187" s="951"/>
      <c r="N187" s="951"/>
      <c r="O187" s="951"/>
      <c r="P187" s="951"/>
      <c r="Q187" s="951"/>
      <c r="R187" s="951"/>
      <c r="S187" s="951"/>
      <c r="T187" s="951"/>
      <c r="U187" s="951"/>
      <c r="V187" s="951"/>
    </row>
    <row r="188" spans="1:22" s="959" customFormat="1" ht="19.5" customHeight="1" x14ac:dyDescent="0.25">
      <c r="A188" s="960"/>
      <c r="B188" s="956"/>
      <c r="C188" s="956"/>
      <c r="D188" s="958"/>
      <c r="E188" s="958"/>
      <c r="F188" s="958"/>
      <c r="G188" s="951"/>
      <c r="H188" s="951"/>
      <c r="I188" s="951"/>
      <c r="J188" s="951"/>
      <c r="K188" s="951"/>
      <c r="L188" s="951"/>
      <c r="M188" s="951"/>
      <c r="N188" s="951"/>
      <c r="O188" s="951"/>
      <c r="P188" s="951"/>
      <c r="Q188" s="951"/>
      <c r="R188" s="951"/>
      <c r="S188" s="951"/>
      <c r="T188" s="951"/>
      <c r="U188" s="951"/>
      <c r="V188" s="951"/>
    </row>
    <row r="189" spans="1:22" s="959" customFormat="1" ht="19.5" customHeight="1" x14ac:dyDescent="0.25">
      <c r="A189" s="960"/>
      <c r="B189" s="956"/>
      <c r="C189" s="956"/>
      <c r="D189" s="958"/>
      <c r="E189" s="958"/>
      <c r="F189" s="958"/>
      <c r="G189" s="951"/>
      <c r="H189" s="951"/>
      <c r="I189" s="951"/>
      <c r="J189" s="951"/>
      <c r="K189" s="951"/>
      <c r="L189" s="951"/>
      <c r="M189" s="951"/>
      <c r="N189" s="951"/>
      <c r="O189" s="951"/>
      <c r="P189" s="951"/>
      <c r="Q189" s="951"/>
      <c r="R189" s="951"/>
      <c r="S189" s="951"/>
      <c r="T189" s="951"/>
      <c r="U189" s="951"/>
      <c r="V189" s="951"/>
    </row>
    <row r="190" spans="1:22" s="959" customFormat="1" ht="19.5" customHeight="1" x14ac:dyDescent="0.25">
      <c r="A190" s="960"/>
      <c r="B190" s="956"/>
      <c r="C190" s="956"/>
      <c r="D190" s="958"/>
      <c r="E190" s="958"/>
      <c r="F190" s="958"/>
      <c r="G190" s="951"/>
      <c r="H190" s="951"/>
      <c r="I190" s="951"/>
      <c r="J190" s="951"/>
      <c r="K190" s="951"/>
      <c r="L190" s="951"/>
      <c r="M190" s="951"/>
      <c r="N190" s="951"/>
      <c r="O190" s="951"/>
      <c r="P190" s="951"/>
      <c r="Q190" s="951"/>
      <c r="R190" s="951"/>
      <c r="S190" s="951"/>
      <c r="T190" s="951"/>
      <c r="U190" s="951"/>
      <c r="V190" s="951"/>
    </row>
    <row r="191" spans="1:22" s="959" customFormat="1" ht="19.5" customHeight="1" x14ac:dyDescent="0.25">
      <c r="A191" s="960"/>
      <c r="B191" s="956"/>
      <c r="C191" s="956"/>
      <c r="D191" s="958"/>
      <c r="E191" s="958"/>
      <c r="F191" s="958"/>
      <c r="G191" s="951"/>
      <c r="H191" s="951"/>
      <c r="I191" s="951"/>
      <c r="J191" s="951"/>
      <c r="K191" s="951"/>
      <c r="L191" s="951"/>
      <c r="M191" s="951"/>
      <c r="N191" s="951"/>
      <c r="O191" s="951"/>
      <c r="P191" s="951"/>
      <c r="Q191" s="951"/>
      <c r="R191" s="951"/>
      <c r="S191" s="951"/>
      <c r="T191" s="951"/>
      <c r="U191" s="951"/>
      <c r="V191" s="951"/>
    </row>
    <row r="192" spans="1:22" s="959" customFormat="1" ht="19.5" customHeight="1" x14ac:dyDescent="0.25">
      <c r="A192" s="960"/>
      <c r="B192" s="956"/>
      <c r="C192" s="956"/>
      <c r="D192" s="958"/>
      <c r="E192" s="958"/>
      <c r="F192" s="958"/>
      <c r="G192" s="951"/>
      <c r="H192" s="951"/>
      <c r="I192" s="951"/>
      <c r="J192" s="951"/>
      <c r="K192" s="951"/>
      <c r="L192" s="951"/>
      <c r="M192" s="951"/>
      <c r="N192" s="951"/>
      <c r="O192" s="951"/>
      <c r="P192" s="951"/>
      <c r="Q192" s="951"/>
      <c r="R192" s="951"/>
      <c r="S192" s="951"/>
      <c r="T192" s="951"/>
      <c r="U192" s="951"/>
      <c r="V192" s="951"/>
    </row>
    <row r="193" spans="1:22" s="959" customFormat="1" ht="19.5" customHeight="1" x14ac:dyDescent="0.25">
      <c r="A193" s="960"/>
      <c r="B193" s="956"/>
      <c r="C193" s="956"/>
      <c r="D193" s="958"/>
      <c r="E193" s="958"/>
      <c r="F193" s="958"/>
      <c r="G193" s="951"/>
      <c r="H193" s="951"/>
      <c r="I193" s="951"/>
      <c r="J193" s="951"/>
      <c r="K193" s="951"/>
      <c r="L193" s="951"/>
      <c r="M193" s="951"/>
      <c r="N193" s="951"/>
      <c r="O193" s="951"/>
      <c r="P193" s="951"/>
      <c r="Q193" s="951"/>
      <c r="R193" s="951"/>
      <c r="S193" s="951"/>
      <c r="T193" s="951"/>
      <c r="U193" s="951"/>
      <c r="V193" s="951"/>
    </row>
    <row r="194" spans="1:22" s="959" customFormat="1" ht="19.5" customHeight="1" x14ac:dyDescent="0.25">
      <c r="A194" s="960"/>
      <c r="B194" s="956"/>
      <c r="C194" s="956"/>
      <c r="D194" s="958"/>
      <c r="E194" s="958"/>
      <c r="F194" s="958"/>
      <c r="G194" s="951"/>
      <c r="H194" s="951"/>
      <c r="I194" s="951"/>
      <c r="J194" s="951"/>
      <c r="K194" s="951"/>
      <c r="L194" s="951"/>
      <c r="M194" s="951"/>
      <c r="N194" s="951"/>
      <c r="O194" s="951"/>
      <c r="P194" s="951"/>
      <c r="Q194" s="951"/>
      <c r="R194" s="951"/>
      <c r="S194" s="951"/>
      <c r="T194" s="951"/>
      <c r="U194" s="951"/>
      <c r="V194" s="951"/>
    </row>
    <row r="195" spans="1:22" s="959" customFormat="1" ht="19.5" customHeight="1" x14ac:dyDescent="0.25">
      <c r="A195" s="960"/>
      <c r="B195" s="956"/>
      <c r="C195" s="956"/>
      <c r="D195" s="958"/>
      <c r="E195" s="958"/>
      <c r="F195" s="958"/>
      <c r="G195" s="951"/>
      <c r="H195" s="951"/>
      <c r="I195" s="951"/>
      <c r="J195" s="951"/>
      <c r="K195" s="951"/>
      <c r="L195" s="951"/>
      <c r="M195" s="951"/>
      <c r="N195" s="951"/>
      <c r="O195" s="951"/>
      <c r="P195" s="951"/>
      <c r="Q195" s="951"/>
      <c r="R195" s="951"/>
      <c r="S195" s="951"/>
      <c r="T195" s="951"/>
      <c r="U195" s="951"/>
      <c r="V195" s="951"/>
    </row>
    <row r="196" spans="1:22" s="959" customFormat="1" ht="19.5" customHeight="1" x14ac:dyDescent="0.25">
      <c r="A196" s="960"/>
      <c r="B196" s="956"/>
      <c r="C196" s="956"/>
      <c r="D196" s="958"/>
      <c r="E196" s="958"/>
      <c r="F196" s="958"/>
      <c r="G196" s="951"/>
      <c r="H196" s="951"/>
      <c r="I196" s="951"/>
      <c r="J196" s="951"/>
      <c r="K196" s="951"/>
      <c r="L196" s="951"/>
      <c r="M196" s="951"/>
      <c r="N196" s="951"/>
      <c r="O196" s="951"/>
      <c r="P196" s="951"/>
      <c r="Q196" s="951"/>
      <c r="R196" s="951"/>
      <c r="S196" s="951"/>
      <c r="T196" s="951"/>
      <c r="U196" s="951"/>
      <c r="V196" s="951"/>
    </row>
    <row r="197" spans="1:22" s="959" customFormat="1" ht="19.5" customHeight="1" x14ac:dyDescent="0.25">
      <c r="A197" s="960"/>
      <c r="B197" s="956"/>
      <c r="C197" s="956"/>
      <c r="D197" s="958"/>
      <c r="E197" s="958"/>
      <c r="F197" s="958"/>
      <c r="G197" s="951"/>
      <c r="H197" s="951"/>
      <c r="I197" s="951"/>
      <c r="J197" s="951"/>
      <c r="K197" s="951"/>
      <c r="L197" s="951"/>
      <c r="M197" s="951"/>
      <c r="N197" s="951"/>
      <c r="O197" s="951"/>
      <c r="P197" s="951"/>
      <c r="Q197" s="951"/>
      <c r="R197" s="951"/>
      <c r="S197" s="951"/>
      <c r="T197" s="951"/>
      <c r="U197" s="951"/>
      <c r="V197" s="951"/>
    </row>
    <row r="198" spans="1:22" s="959" customFormat="1" ht="19.5" customHeight="1" x14ac:dyDescent="0.25">
      <c r="A198" s="960"/>
      <c r="B198" s="956"/>
      <c r="C198" s="956"/>
      <c r="D198" s="958"/>
      <c r="E198" s="958"/>
      <c r="F198" s="958"/>
      <c r="G198" s="951"/>
      <c r="H198" s="951"/>
      <c r="I198" s="951"/>
      <c r="J198" s="951"/>
      <c r="K198" s="951"/>
      <c r="L198" s="951"/>
      <c r="M198" s="951"/>
      <c r="N198" s="951"/>
      <c r="O198" s="951"/>
      <c r="P198" s="951"/>
      <c r="Q198" s="951"/>
      <c r="R198" s="951"/>
      <c r="S198" s="951"/>
      <c r="T198" s="951"/>
      <c r="U198" s="951"/>
      <c r="V198" s="951"/>
    </row>
    <row r="199" spans="1:22" s="959" customFormat="1" ht="19.5" customHeight="1" x14ac:dyDescent="0.25">
      <c r="A199" s="960"/>
      <c r="B199" s="956"/>
      <c r="C199" s="956"/>
      <c r="D199" s="958"/>
      <c r="E199" s="958"/>
      <c r="F199" s="958"/>
      <c r="G199" s="951"/>
      <c r="H199" s="951"/>
      <c r="I199" s="951"/>
      <c r="J199" s="951"/>
      <c r="K199" s="951"/>
      <c r="L199" s="951"/>
      <c r="M199" s="951"/>
      <c r="N199" s="951"/>
      <c r="O199" s="951"/>
      <c r="P199" s="951"/>
      <c r="Q199" s="951"/>
      <c r="R199" s="951"/>
      <c r="S199" s="951"/>
      <c r="T199" s="951"/>
      <c r="U199" s="951"/>
      <c r="V199" s="951"/>
    </row>
    <row r="200" spans="1:22" s="959" customFormat="1" ht="19.5" customHeight="1" x14ac:dyDescent="0.25">
      <c r="A200" s="960"/>
      <c r="B200" s="956"/>
      <c r="C200" s="956"/>
      <c r="D200" s="958"/>
      <c r="E200" s="958"/>
      <c r="F200" s="958"/>
      <c r="G200" s="951"/>
      <c r="H200" s="951"/>
      <c r="I200" s="951"/>
      <c r="J200" s="951"/>
      <c r="K200" s="951"/>
      <c r="L200" s="951"/>
      <c r="M200" s="951"/>
      <c r="N200" s="951"/>
      <c r="O200" s="951"/>
      <c r="P200" s="951"/>
      <c r="Q200" s="951"/>
      <c r="R200" s="951"/>
      <c r="S200" s="951"/>
      <c r="T200" s="951"/>
      <c r="U200" s="951"/>
      <c r="V200" s="951"/>
    </row>
    <row r="201" spans="1:22" s="959" customFormat="1" ht="19.5" customHeight="1" x14ac:dyDescent="0.25">
      <c r="A201" s="960"/>
      <c r="B201" s="956"/>
      <c r="C201" s="956"/>
      <c r="D201" s="958"/>
      <c r="E201" s="958"/>
      <c r="F201" s="958"/>
      <c r="G201" s="951"/>
      <c r="H201" s="951"/>
      <c r="I201" s="951"/>
      <c r="J201" s="951"/>
      <c r="K201" s="951"/>
      <c r="L201" s="951"/>
      <c r="M201" s="951"/>
      <c r="N201" s="951"/>
      <c r="O201" s="951"/>
      <c r="P201" s="951"/>
      <c r="Q201" s="951"/>
      <c r="R201" s="951"/>
      <c r="S201" s="951"/>
      <c r="T201" s="951"/>
      <c r="U201" s="951"/>
      <c r="V201" s="951"/>
    </row>
    <row r="202" spans="1:22" s="959" customFormat="1" ht="19.5" customHeight="1" x14ac:dyDescent="0.25">
      <c r="A202" s="960"/>
      <c r="B202" s="956"/>
      <c r="C202" s="956"/>
      <c r="D202" s="958"/>
      <c r="E202" s="958"/>
      <c r="F202" s="958"/>
      <c r="G202" s="951"/>
      <c r="H202" s="951"/>
      <c r="I202" s="951"/>
      <c r="J202" s="951"/>
      <c r="K202" s="951"/>
      <c r="L202" s="951"/>
      <c r="M202" s="951"/>
      <c r="N202" s="951"/>
      <c r="O202" s="951"/>
      <c r="P202" s="951"/>
      <c r="Q202" s="951"/>
      <c r="R202" s="951"/>
      <c r="S202" s="951"/>
      <c r="T202" s="951"/>
      <c r="U202" s="951"/>
      <c r="V202" s="951"/>
    </row>
    <row r="203" spans="1:22" s="959" customFormat="1" ht="19.5" customHeight="1" x14ac:dyDescent="0.25">
      <c r="A203" s="960"/>
      <c r="B203" s="956"/>
      <c r="C203" s="956"/>
      <c r="D203" s="958"/>
      <c r="E203" s="958"/>
      <c r="F203" s="958"/>
      <c r="G203" s="951"/>
      <c r="H203" s="951"/>
      <c r="I203" s="951"/>
      <c r="J203" s="951"/>
      <c r="K203" s="951"/>
      <c r="L203" s="951"/>
      <c r="M203" s="951"/>
      <c r="N203" s="951"/>
      <c r="O203" s="951"/>
      <c r="P203" s="951"/>
      <c r="Q203" s="951"/>
      <c r="R203" s="951"/>
      <c r="S203" s="951"/>
      <c r="T203" s="951"/>
      <c r="U203" s="951"/>
      <c r="V203" s="951"/>
    </row>
    <row r="204" spans="1:22" s="959" customFormat="1" ht="19.5" customHeight="1" x14ac:dyDescent="0.25">
      <c r="A204" s="960"/>
      <c r="B204" s="956"/>
      <c r="C204" s="956"/>
      <c r="D204" s="958"/>
      <c r="E204" s="958"/>
      <c r="F204" s="958"/>
      <c r="G204" s="951"/>
      <c r="H204" s="951"/>
      <c r="I204" s="951"/>
      <c r="J204" s="951"/>
      <c r="K204" s="951"/>
      <c r="L204" s="951"/>
      <c r="M204" s="951"/>
      <c r="N204" s="951"/>
      <c r="O204" s="951"/>
      <c r="P204" s="951"/>
      <c r="Q204" s="951"/>
      <c r="R204" s="951"/>
      <c r="S204" s="951"/>
      <c r="T204" s="951"/>
      <c r="U204" s="951"/>
      <c r="V204" s="951"/>
    </row>
    <row r="205" spans="1:22" s="959" customFormat="1" ht="19.5" customHeight="1" x14ac:dyDescent="0.25">
      <c r="A205" s="960"/>
      <c r="B205" s="956"/>
      <c r="C205" s="956"/>
      <c r="D205" s="958"/>
      <c r="E205" s="958"/>
      <c r="F205" s="958"/>
      <c r="G205" s="951"/>
      <c r="H205" s="951"/>
      <c r="I205" s="951"/>
      <c r="J205" s="951"/>
      <c r="K205" s="951"/>
      <c r="L205" s="951"/>
      <c r="M205" s="951"/>
      <c r="N205" s="951"/>
      <c r="O205" s="951"/>
      <c r="P205" s="951"/>
      <c r="Q205" s="951"/>
      <c r="R205" s="951"/>
      <c r="S205" s="951"/>
      <c r="T205" s="951"/>
      <c r="U205" s="951"/>
      <c r="V205" s="951"/>
    </row>
    <row r="206" spans="1:22" s="959" customFormat="1" ht="19.5" customHeight="1" x14ac:dyDescent="0.25">
      <c r="A206" s="960"/>
      <c r="B206" s="956"/>
      <c r="C206" s="956"/>
      <c r="D206" s="958"/>
      <c r="E206" s="958"/>
      <c r="F206" s="958"/>
      <c r="G206" s="951"/>
      <c r="H206" s="951"/>
      <c r="I206" s="951"/>
      <c r="J206" s="951"/>
      <c r="K206" s="951"/>
      <c r="L206" s="951"/>
      <c r="M206" s="951"/>
      <c r="N206" s="951"/>
      <c r="O206" s="951"/>
      <c r="P206" s="951"/>
      <c r="Q206" s="951"/>
      <c r="R206" s="951"/>
      <c r="S206" s="951"/>
      <c r="T206" s="951"/>
      <c r="U206" s="951"/>
      <c r="V206" s="951"/>
    </row>
    <row r="207" spans="1:22" s="959" customFormat="1" ht="19.5" customHeight="1" x14ac:dyDescent="0.25">
      <c r="A207" s="960"/>
      <c r="B207" s="956"/>
      <c r="C207" s="956"/>
      <c r="D207" s="958"/>
      <c r="E207" s="958"/>
      <c r="F207" s="958"/>
      <c r="G207" s="951"/>
      <c r="H207" s="951"/>
      <c r="I207" s="951"/>
      <c r="J207" s="951"/>
      <c r="K207" s="951"/>
      <c r="L207" s="951"/>
      <c r="M207" s="951"/>
      <c r="N207" s="951"/>
      <c r="O207" s="951"/>
      <c r="P207" s="951"/>
      <c r="Q207" s="951"/>
      <c r="R207" s="951"/>
      <c r="S207" s="951"/>
      <c r="T207" s="951"/>
      <c r="U207" s="951"/>
      <c r="V207" s="951"/>
    </row>
    <row r="208" spans="1:22" s="959" customFormat="1" ht="19.5" customHeight="1" x14ac:dyDescent="0.25">
      <c r="A208" s="960"/>
      <c r="B208" s="956"/>
      <c r="C208" s="956"/>
      <c r="D208" s="958"/>
      <c r="E208" s="958"/>
      <c r="F208" s="958"/>
      <c r="G208" s="951"/>
      <c r="H208" s="951"/>
      <c r="I208" s="951"/>
      <c r="J208" s="951"/>
      <c r="K208" s="951"/>
      <c r="L208" s="951"/>
      <c r="M208" s="951"/>
      <c r="N208" s="951"/>
      <c r="O208" s="951"/>
      <c r="P208" s="951"/>
      <c r="Q208" s="951"/>
      <c r="R208" s="951"/>
      <c r="S208" s="951"/>
      <c r="T208" s="951"/>
      <c r="U208" s="951"/>
      <c r="V208" s="951"/>
    </row>
    <row r="209" spans="1:22" s="959" customFormat="1" ht="19.5" customHeight="1" x14ac:dyDescent="0.25">
      <c r="A209" s="960"/>
      <c r="B209" s="956"/>
      <c r="C209" s="956"/>
      <c r="D209" s="958"/>
      <c r="E209" s="958"/>
      <c r="F209" s="958"/>
      <c r="G209" s="951"/>
      <c r="H209" s="951"/>
      <c r="I209" s="951"/>
      <c r="J209" s="951"/>
      <c r="K209" s="951"/>
      <c r="L209" s="951"/>
      <c r="M209" s="951"/>
      <c r="N209" s="951"/>
      <c r="O209" s="951"/>
      <c r="P209" s="951"/>
      <c r="Q209" s="951"/>
      <c r="R209" s="951"/>
      <c r="S209" s="951"/>
      <c r="T209" s="951"/>
      <c r="U209" s="951"/>
      <c r="V209" s="951"/>
    </row>
    <row r="210" spans="1:22" s="959" customFormat="1" ht="19.5" customHeight="1" x14ac:dyDescent="0.25">
      <c r="A210" s="960"/>
      <c r="B210" s="956"/>
      <c r="C210" s="956"/>
      <c r="D210" s="958"/>
      <c r="E210" s="958"/>
      <c r="F210" s="958"/>
      <c r="G210" s="951"/>
      <c r="H210" s="951"/>
      <c r="I210" s="951"/>
      <c r="J210" s="951"/>
      <c r="K210" s="951"/>
      <c r="L210" s="951"/>
      <c r="M210" s="951"/>
      <c r="N210" s="951"/>
      <c r="O210" s="951"/>
      <c r="P210" s="951"/>
      <c r="Q210" s="951"/>
      <c r="R210" s="951"/>
      <c r="S210" s="951"/>
      <c r="T210" s="951"/>
      <c r="U210" s="951"/>
      <c r="V210" s="951"/>
    </row>
    <row r="211" spans="1:22" s="959" customFormat="1" ht="19.5" customHeight="1" x14ac:dyDescent="0.25">
      <c r="A211" s="960"/>
      <c r="B211" s="956"/>
      <c r="C211" s="956"/>
      <c r="D211" s="958"/>
      <c r="E211" s="958"/>
      <c r="F211" s="958"/>
      <c r="G211" s="951"/>
      <c r="H211" s="951"/>
      <c r="I211" s="951"/>
      <c r="J211" s="951"/>
      <c r="K211" s="951"/>
      <c r="L211" s="951"/>
      <c r="M211" s="951"/>
      <c r="N211" s="951"/>
      <c r="O211" s="951"/>
      <c r="P211" s="951"/>
      <c r="Q211" s="951"/>
      <c r="R211" s="951"/>
      <c r="S211" s="951"/>
      <c r="T211" s="951"/>
      <c r="U211" s="951"/>
      <c r="V211" s="951"/>
    </row>
    <row r="212" spans="1:22" s="959" customFormat="1" ht="19.5" customHeight="1" x14ac:dyDescent="0.25">
      <c r="A212" s="960"/>
      <c r="B212" s="956"/>
      <c r="C212" s="956"/>
      <c r="D212" s="958"/>
      <c r="E212" s="958"/>
      <c r="F212" s="958"/>
      <c r="G212" s="951"/>
      <c r="H212" s="951"/>
      <c r="I212" s="951"/>
      <c r="J212" s="951"/>
      <c r="K212" s="951"/>
      <c r="L212" s="951"/>
      <c r="M212" s="951"/>
      <c r="N212" s="951"/>
      <c r="O212" s="951"/>
      <c r="P212" s="951"/>
      <c r="Q212" s="951"/>
      <c r="R212" s="951"/>
      <c r="S212" s="951"/>
      <c r="T212" s="951"/>
      <c r="U212" s="951"/>
      <c r="V212" s="951"/>
    </row>
    <row r="213" spans="1:22" s="959" customFormat="1" ht="19.5" customHeight="1" x14ac:dyDescent="0.25">
      <c r="A213" s="960"/>
      <c r="B213" s="956"/>
      <c r="C213" s="956"/>
      <c r="D213" s="958"/>
      <c r="E213" s="958"/>
      <c r="F213" s="958"/>
      <c r="G213" s="951"/>
      <c r="H213" s="951"/>
      <c r="I213" s="951"/>
      <c r="J213" s="951"/>
      <c r="K213" s="951"/>
      <c r="L213" s="951"/>
      <c r="M213" s="951"/>
      <c r="N213" s="951"/>
      <c r="O213" s="951"/>
      <c r="P213" s="951"/>
      <c r="Q213" s="951"/>
      <c r="R213" s="951"/>
      <c r="S213" s="951"/>
      <c r="T213" s="951"/>
      <c r="U213" s="951"/>
      <c r="V213" s="951"/>
    </row>
    <row r="214" spans="1:22" s="959" customFormat="1" ht="19.5" customHeight="1" x14ac:dyDescent="0.25">
      <c r="A214" s="960"/>
      <c r="B214" s="956"/>
      <c r="C214" s="956"/>
      <c r="D214" s="958"/>
      <c r="E214" s="958"/>
      <c r="F214" s="958"/>
      <c r="G214" s="951"/>
      <c r="H214" s="951"/>
      <c r="I214" s="951"/>
      <c r="J214" s="951"/>
      <c r="K214" s="951"/>
      <c r="L214" s="951"/>
      <c r="M214" s="951"/>
      <c r="N214" s="951"/>
      <c r="O214" s="951"/>
      <c r="P214" s="951"/>
      <c r="Q214" s="951"/>
      <c r="R214" s="951"/>
      <c r="S214" s="951"/>
      <c r="T214" s="951"/>
      <c r="U214" s="951"/>
      <c r="V214" s="951"/>
    </row>
    <row r="215" spans="1:22" s="959" customFormat="1" ht="19.5" customHeight="1" x14ac:dyDescent="0.25">
      <c r="A215" s="960"/>
      <c r="B215" s="956"/>
      <c r="C215" s="956"/>
      <c r="D215" s="958"/>
      <c r="E215" s="958"/>
      <c r="F215" s="958"/>
      <c r="G215" s="951"/>
      <c r="H215" s="951"/>
      <c r="I215" s="951"/>
      <c r="J215" s="951"/>
      <c r="K215" s="951"/>
      <c r="L215" s="951"/>
      <c r="M215" s="951"/>
      <c r="N215" s="951"/>
      <c r="O215" s="951"/>
      <c r="P215" s="951"/>
      <c r="Q215" s="951"/>
      <c r="R215" s="951"/>
      <c r="S215" s="951"/>
      <c r="T215" s="951"/>
      <c r="U215" s="951"/>
      <c r="V215" s="951"/>
    </row>
    <row r="216" spans="1:22" s="959" customFormat="1" ht="19.5" customHeight="1" x14ac:dyDescent="0.25">
      <c r="A216" s="960"/>
      <c r="B216" s="956"/>
      <c r="C216" s="956"/>
      <c r="D216" s="958"/>
      <c r="E216" s="958"/>
      <c r="F216" s="958"/>
      <c r="G216" s="951"/>
      <c r="H216" s="951"/>
      <c r="I216" s="951"/>
      <c r="J216" s="951"/>
      <c r="K216" s="951"/>
      <c r="L216" s="951"/>
      <c r="M216" s="951"/>
      <c r="N216" s="951"/>
      <c r="O216" s="951"/>
      <c r="P216" s="951"/>
      <c r="Q216" s="951"/>
      <c r="R216" s="951"/>
      <c r="S216" s="951"/>
      <c r="T216" s="951"/>
      <c r="U216" s="951"/>
      <c r="V216" s="951"/>
    </row>
    <row r="217" spans="1:22" s="959" customFormat="1" ht="19.5" customHeight="1" x14ac:dyDescent="0.25">
      <c r="A217" s="960"/>
      <c r="B217" s="956"/>
      <c r="C217" s="956"/>
      <c r="D217" s="958"/>
      <c r="E217" s="958"/>
      <c r="F217" s="958"/>
      <c r="G217" s="951"/>
      <c r="H217" s="951"/>
      <c r="I217" s="951"/>
      <c r="J217" s="951"/>
      <c r="K217" s="951"/>
      <c r="L217" s="951"/>
      <c r="M217" s="951"/>
      <c r="N217" s="951"/>
      <c r="O217" s="951"/>
      <c r="P217" s="951"/>
      <c r="Q217" s="951"/>
      <c r="R217" s="951"/>
      <c r="S217" s="951"/>
      <c r="T217" s="951"/>
      <c r="U217" s="951"/>
      <c r="V217" s="951"/>
    </row>
    <row r="218" spans="1:22" ht="19.5" customHeight="1" x14ac:dyDescent="0.25">
      <c r="A218" s="960"/>
    </row>
    <row r="219" spans="1:22" ht="19.5" customHeight="1" x14ac:dyDescent="0.25">
      <c r="A219" s="960"/>
    </row>
    <row r="220" spans="1:22" ht="19.5" customHeight="1" x14ac:dyDescent="0.25">
      <c r="A220" s="960"/>
    </row>
    <row r="221" spans="1:22" ht="19.5" customHeight="1" x14ac:dyDescent="0.25">
      <c r="A221" s="960"/>
    </row>
    <row r="222" spans="1:22" ht="19.5" customHeight="1" x14ac:dyDescent="0.25">
      <c r="A222" s="960"/>
    </row>
    <row r="223" spans="1:22" ht="19.5" customHeight="1" x14ac:dyDescent="0.25">
      <c r="A223" s="960"/>
    </row>
    <row r="224" spans="1:22" ht="19.5" customHeight="1" x14ac:dyDescent="0.25">
      <c r="A224" s="960"/>
    </row>
    <row r="225" spans="1:1" ht="19.5" customHeight="1" x14ac:dyDescent="0.25">
      <c r="A225" s="960"/>
    </row>
    <row r="226" spans="1:1" ht="19.5" customHeight="1" x14ac:dyDescent="0.25">
      <c r="A226" s="960"/>
    </row>
    <row r="227" spans="1:1" ht="19.5" customHeight="1" x14ac:dyDescent="0.25">
      <c r="A227" s="960"/>
    </row>
    <row r="228" spans="1:1" ht="19.5" customHeight="1" x14ac:dyDescent="0.25">
      <c r="A228" s="960"/>
    </row>
  </sheetData>
  <mergeCells count="1">
    <mergeCell ref="A1:F1"/>
  </mergeCells>
  <conditionalFormatting sqref="F3:F23 F25:F41 F53:F66 F75:F76">
    <cfRule type="cellIs" dxfId="7" priority="13" operator="lessThan">
      <formula>0</formula>
    </cfRule>
    <cfRule type="cellIs" dxfId="6" priority="14" operator="greaterThan">
      <formula>0</formula>
    </cfRule>
  </conditionalFormatting>
  <conditionalFormatting sqref="F43:F51">
    <cfRule type="cellIs" dxfId="5" priority="9" operator="lessThan">
      <formula>0</formula>
    </cfRule>
    <cfRule type="cellIs" dxfId="4" priority="10" operator="greaterThan">
      <formula>0</formula>
    </cfRule>
  </conditionalFormatting>
  <conditionalFormatting sqref="F68:F73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F79:F8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58" orientation="landscape" r:id="rId1"/>
  <rowBreaks count="2" manualBreakCount="2">
    <brk id="41" max="7" man="1"/>
    <brk id="51" max="7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9B33-EA44-4571-9E67-DCA6C9A8E154}">
  <sheetPr codeName="Hoja13"/>
  <dimension ref="B2:M45"/>
  <sheetViews>
    <sheetView view="pageBreakPreview" topLeftCell="A10" zoomScaleNormal="100" zoomScaleSheetLayoutView="100" workbookViewId="0">
      <selection activeCell="C31" sqref="C31"/>
    </sheetView>
  </sheetViews>
  <sheetFormatPr baseColWidth="10" defaultColWidth="11.5703125" defaultRowHeight="13.5" x14ac:dyDescent="0.25"/>
  <cols>
    <col min="1" max="1" width="9.28515625" style="1" customWidth="1"/>
    <col min="2" max="2" width="18.42578125" style="1" customWidth="1"/>
    <col min="3" max="3" width="47.140625" style="1" customWidth="1"/>
    <col min="4" max="4" width="11.5703125" style="1" customWidth="1"/>
    <col min="5" max="5" width="12.140625" style="1" customWidth="1"/>
    <col min="6" max="7" width="12.5703125" style="1" customWidth="1"/>
    <col min="8" max="8" width="11.28515625" style="1" bestFit="1" customWidth="1"/>
    <col min="9" max="9" width="10.7109375" style="1" customWidth="1"/>
    <col min="10" max="10" width="12" style="38" customWidth="1"/>
    <col min="11" max="11" width="12.5703125" style="1" bestFit="1" customWidth="1"/>
    <col min="12" max="12" width="16.140625" style="1" customWidth="1"/>
    <col min="13" max="13" width="19.28515625" style="1" customWidth="1"/>
    <col min="14" max="16384" width="11.5703125" style="1"/>
  </cols>
  <sheetData>
    <row r="2" spans="2:13" ht="25.5" x14ac:dyDescent="0.35">
      <c r="B2" s="1751" t="s">
        <v>139</v>
      </c>
      <c r="C2" s="1751"/>
      <c r="D2" s="1751"/>
      <c r="E2" s="1751"/>
      <c r="F2" s="1751"/>
      <c r="G2" s="1751"/>
      <c r="H2" s="1751"/>
      <c r="I2" s="1751"/>
      <c r="J2" s="1751"/>
    </row>
    <row r="3" spans="2:13" ht="14.25" x14ac:dyDescent="0.25">
      <c r="K3" s="47" t="s">
        <v>973</v>
      </c>
      <c r="L3" s="47" t="s">
        <v>1282</v>
      </c>
    </row>
    <row r="4" spans="2:13" s="120" customFormat="1" ht="38.450000000000003" customHeight="1" x14ac:dyDescent="0.25">
      <c r="B4" s="1242" t="s">
        <v>0</v>
      </c>
      <c r="C4" s="1242" t="s">
        <v>1</v>
      </c>
      <c r="D4" s="1242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4" t="s">
        <v>3</v>
      </c>
      <c r="K4" s="1275">
        <f>+D22/1000</f>
        <v>0.51449999999999996</v>
      </c>
      <c r="L4" s="1242">
        <v>2011.05</v>
      </c>
    </row>
    <row r="5" spans="2:13" x14ac:dyDescent="0.25">
      <c r="B5" s="6">
        <f>VLOOKUP(C5,[1]Hoja1!$B$2:$C$260,2,FALSE)</f>
        <v>1112001</v>
      </c>
      <c r="C5" s="6" t="s">
        <v>797</v>
      </c>
      <c r="D5" s="103">
        <v>0.18012644999999997</v>
      </c>
      <c r="E5" s="797">
        <v>35.01</v>
      </c>
      <c r="F5" s="896">
        <f>VLOOKUP(B5,[2]Hoja1!$C$2:$E$279,3,FALSE)</f>
        <v>3663.96</v>
      </c>
      <c r="G5" s="167">
        <f>D5*F5</f>
        <v>659.97610774199984</v>
      </c>
      <c r="H5" s="896">
        <v>4222.72</v>
      </c>
      <c r="I5" s="245">
        <f>H5*D5</f>
        <v>760.6235629439999</v>
      </c>
      <c r="J5" s="270">
        <f>((F5/H5)*100)-100</f>
        <v>-13.232229463473786</v>
      </c>
      <c r="K5" s="100">
        <f>$K$4*E5%</f>
        <v>0.18012644999999997</v>
      </c>
      <c r="L5" s="107">
        <f>$L$4*E5</f>
        <v>70406.860499999995</v>
      </c>
      <c r="M5" s="1319">
        <f>L5*F5</f>
        <v>257967920.59757999</v>
      </c>
    </row>
    <row r="6" spans="2:13" x14ac:dyDescent="0.25">
      <c r="B6" s="6">
        <f>VLOOKUP(C6,[1]Hoja1!$B$2:$C$260,2,FALSE)</f>
        <v>1121009</v>
      </c>
      <c r="C6" s="6" t="s">
        <v>1272</v>
      </c>
      <c r="D6" s="103">
        <v>2.2535099999999999E-2</v>
      </c>
      <c r="E6" s="797">
        <v>4.38</v>
      </c>
      <c r="F6" s="896">
        <f>VLOOKUP(B6,[2]Hoja1!$C$2:$E$279,3,FALSE)</f>
        <v>8741.6200000000008</v>
      </c>
      <c r="G6" s="167">
        <f t="shared" ref="G6:G19" si="0">D6*F6</f>
        <v>196.99328086200001</v>
      </c>
      <c r="H6" s="896"/>
      <c r="I6" s="245">
        <f t="shared" ref="I6:I7" si="1">H6*D6</f>
        <v>0</v>
      </c>
      <c r="J6" s="270"/>
      <c r="K6" s="100">
        <f t="shared" ref="K6:K7" si="2">$K$4*E6%</f>
        <v>2.2535099999999999E-2</v>
      </c>
      <c r="L6" s="107">
        <f t="shared" ref="L6:L7" si="3">$L$4*E6</f>
        <v>8808.3989999999994</v>
      </c>
      <c r="M6" s="1319">
        <f t="shared" ref="M6:M19" si="4">L6*F6</f>
        <v>76999676.866380006</v>
      </c>
    </row>
    <row r="7" spans="2:13" x14ac:dyDescent="0.25">
      <c r="B7" s="6">
        <f>VLOOKUP(C7,[1]Hoja1!$B$2:$C$260,2,FALSE)</f>
        <v>1122007</v>
      </c>
      <c r="C7" s="6" t="s">
        <v>1067</v>
      </c>
      <c r="D7" s="103">
        <v>4.1211449999999997E-2</v>
      </c>
      <c r="E7" s="797">
        <v>8.01</v>
      </c>
      <c r="F7" s="896">
        <f>VLOOKUP(B7,[2]Hoja1!$C$2:$E$279,3,FALSE)</f>
        <v>11229.33</v>
      </c>
      <c r="G7" s="167">
        <f t="shared" si="0"/>
        <v>462.77697182849994</v>
      </c>
      <c r="H7" s="896"/>
      <c r="I7" s="245">
        <f t="shared" si="1"/>
        <v>0</v>
      </c>
      <c r="J7" s="270"/>
      <c r="K7" s="100">
        <f t="shared" si="2"/>
        <v>4.1211449999999997E-2</v>
      </c>
      <c r="L7" s="107">
        <f t="shared" si="3"/>
        <v>16108.510499999999</v>
      </c>
      <c r="M7" s="1319">
        <f t="shared" si="4"/>
        <v>180887780.21296498</v>
      </c>
    </row>
    <row r="8" spans="2:13" x14ac:dyDescent="0.25">
      <c r="B8" s="6">
        <f>VLOOKUP(C8,[1]Hoja1!$B$2:$C$260,2,FALSE)</f>
        <v>2906001</v>
      </c>
      <c r="C8" s="6" t="s">
        <v>831</v>
      </c>
      <c r="D8" s="7">
        <v>4.8877499999999997E-2</v>
      </c>
      <c r="E8" s="797">
        <v>9.5</v>
      </c>
      <c r="F8" s="896">
        <f>VLOOKUP(B8,[2]Hoja1!$C$2:$E$279,3,FALSE)</f>
        <v>1956.71</v>
      </c>
      <c r="G8" s="167">
        <f t="shared" si="0"/>
        <v>95.639093024999994</v>
      </c>
      <c r="H8" s="896">
        <v>2033.73</v>
      </c>
      <c r="I8" s="245">
        <f t="shared" ref="I8:I19" si="5">H8*D8</f>
        <v>99.403638074999989</v>
      </c>
      <c r="J8" s="250">
        <f t="shared" ref="J8:J18" si="6">((F8/H8)*100)-100</f>
        <v>-3.7871300516784459</v>
      </c>
      <c r="K8" s="100">
        <f t="shared" ref="K8:K19" si="7">$K$4*E8%</f>
        <v>4.8877499999999997E-2</v>
      </c>
      <c r="L8" s="107">
        <f t="shared" ref="L8:L19" si="8">$L$4*E8</f>
        <v>19104.974999999999</v>
      </c>
      <c r="M8" s="1319">
        <f t="shared" si="4"/>
        <v>37382895.632249996</v>
      </c>
    </row>
    <row r="9" spans="2:13" x14ac:dyDescent="0.25">
      <c r="B9" s="6">
        <f>VLOOKUP(C9,[1]Hoja1!$B$2:$C$260,2,FALSE)</f>
        <v>1131002</v>
      </c>
      <c r="C9" s="6" t="s">
        <v>663</v>
      </c>
      <c r="D9" s="7">
        <v>0.14025269999999998</v>
      </c>
      <c r="E9" s="797">
        <v>27.26</v>
      </c>
      <c r="F9" s="896">
        <f>VLOOKUP(B9,[2]Hoja1!$C$2:$E$279,3,FALSE)</f>
        <v>0</v>
      </c>
      <c r="G9" s="167">
        <f t="shared" si="0"/>
        <v>0</v>
      </c>
      <c r="H9" s="95">
        <v>0</v>
      </c>
      <c r="I9" s="245">
        <f t="shared" si="5"/>
        <v>0</v>
      </c>
      <c r="J9" s="250"/>
      <c r="K9" s="100">
        <f t="shared" si="7"/>
        <v>0.14025269999999998</v>
      </c>
      <c r="L9" s="107">
        <f t="shared" si="8"/>
        <v>54821.223000000005</v>
      </c>
      <c r="M9" s="1319">
        <f t="shared" si="4"/>
        <v>0</v>
      </c>
    </row>
    <row r="10" spans="2:13" x14ac:dyDescent="0.25">
      <c r="B10" s="6">
        <v>1210005</v>
      </c>
      <c r="C10" s="6" t="s">
        <v>1155</v>
      </c>
      <c r="D10" s="7">
        <v>4.1159999999999999E-3</v>
      </c>
      <c r="E10" s="797">
        <v>0.8</v>
      </c>
      <c r="F10" s="896">
        <f>VLOOKUP(B10,[2]Hoja1!$C$2:$E$279,3,FALSE)</f>
        <v>1356</v>
      </c>
      <c r="G10" s="167">
        <f t="shared" si="0"/>
        <v>5.581296</v>
      </c>
      <c r="H10" s="388"/>
      <c r="I10" s="245"/>
      <c r="J10" s="250"/>
      <c r="K10" s="100">
        <f t="shared" si="7"/>
        <v>4.1159999999999999E-3</v>
      </c>
      <c r="L10" s="107">
        <f t="shared" si="8"/>
        <v>1608.8400000000001</v>
      </c>
      <c r="M10" s="1319"/>
    </row>
    <row r="11" spans="2:13" x14ac:dyDescent="0.25">
      <c r="B11" s="6">
        <v>1210010</v>
      </c>
      <c r="C11" s="6" t="s">
        <v>1351</v>
      </c>
      <c r="D11" s="7">
        <v>2.7268499999999998E-3</v>
      </c>
      <c r="E11" s="797">
        <v>0.53</v>
      </c>
      <c r="F11" s="896">
        <f>VLOOKUP(B11,[2]Hoja1!$C$2:$E$279,3,FALSE)</f>
        <v>11600</v>
      </c>
      <c r="G11" s="167">
        <f t="shared" si="0"/>
        <v>31.631459999999997</v>
      </c>
      <c r="H11" s="914">
        <v>8910.1</v>
      </c>
      <c r="I11" s="245">
        <f t="shared" si="5"/>
        <v>24.296506184999998</v>
      </c>
      <c r="J11" s="250">
        <f t="shared" si="6"/>
        <v>30.189335697691376</v>
      </c>
      <c r="K11" s="100">
        <f t="shared" si="7"/>
        <v>2.7268499999999998E-3</v>
      </c>
      <c r="L11" s="107">
        <f t="shared" si="8"/>
        <v>1065.8565000000001</v>
      </c>
      <c r="M11" s="1319">
        <f t="shared" si="4"/>
        <v>12363935.4</v>
      </c>
    </row>
    <row r="12" spans="2:13" x14ac:dyDescent="0.25">
      <c r="B12" s="6">
        <f>VLOOKUP(C12,[1]Hoja1!$B$2:$C$260,2,FALSE)</f>
        <v>1210004</v>
      </c>
      <c r="C12" s="6" t="s">
        <v>1131</v>
      </c>
      <c r="D12" s="7">
        <v>8.2319999999999995E-4</v>
      </c>
      <c r="E12" s="797">
        <v>0.16</v>
      </c>
      <c r="F12" s="896">
        <f>VLOOKUP(B12,[2]Hoja1!$C$2:$E$279,3,FALSE)</f>
        <v>3841</v>
      </c>
      <c r="G12" s="167">
        <f t="shared" si="0"/>
        <v>3.1619112</v>
      </c>
      <c r="H12" s="914">
        <v>3508.01</v>
      </c>
      <c r="I12" s="245">
        <f t="shared" si="5"/>
        <v>2.8877938319999998</v>
      </c>
      <c r="J12" s="250">
        <f>((F12/H12)*100)-100</f>
        <v>9.4922762477871885</v>
      </c>
      <c r="K12" s="100">
        <f t="shared" si="7"/>
        <v>8.2319999999999995E-4</v>
      </c>
      <c r="L12" s="107">
        <f t="shared" si="8"/>
        <v>321.76799999999997</v>
      </c>
      <c r="M12" s="1319">
        <f t="shared" si="4"/>
        <v>1235910.8879999998</v>
      </c>
    </row>
    <row r="13" spans="2:13" x14ac:dyDescent="0.25">
      <c r="B13" s="6">
        <f>VLOOKUP(C13,[1]Hoja1!$B$2:$C$260,2,FALSE)</f>
        <v>121007</v>
      </c>
      <c r="C13" s="6" t="s">
        <v>821</v>
      </c>
      <c r="D13" s="7">
        <v>2.5583650331916164E-4</v>
      </c>
      <c r="E13" s="797">
        <v>12</v>
      </c>
      <c r="F13" s="896">
        <f>VLOOKUP(B13,[2]Hoja1!$C$2:$E$279,3,FALSE)</f>
        <v>16905</v>
      </c>
      <c r="G13" s="167">
        <f t="shared" si="0"/>
        <v>4.3249160886104274</v>
      </c>
      <c r="H13" s="880">
        <v>16100</v>
      </c>
      <c r="I13" s="245">
        <f t="shared" si="5"/>
        <v>4.1189677034385026</v>
      </c>
      <c r="J13" s="250">
        <f t="shared" si="6"/>
        <v>5</v>
      </c>
      <c r="K13" s="100">
        <f t="shared" si="7"/>
        <v>6.1739999999999989E-2</v>
      </c>
      <c r="L13" s="107">
        <f t="shared" si="8"/>
        <v>24132.6</v>
      </c>
      <c r="M13" s="1319">
        <f t="shared" si="4"/>
        <v>407961603</v>
      </c>
    </row>
    <row r="14" spans="2:13" x14ac:dyDescent="0.25">
      <c r="B14" s="6">
        <f>VLOOKUP(C14,[1]Hoja1!$B$2:$C$260,2,FALSE)</f>
        <v>1230003</v>
      </c>
      <c r="C14" s="6" t="s">
        <v>1132</v>
      </c>
      <c r="D14" s="7">
        <v>7.1941224733348252E-3</v>
      </c>
      <c r="E14" s="797">
        <v>1.3982745332040478</v>
      </c>
      <c r="F14" s="896">
        <f>VLOOKUP(B14,[2]Hoja1!$C$2:$E$279,3,FALSE)</f>
        <v>20099.990000000002</v>
      </c>
      <c r="G14" s="167">
        <f t="shared" si="0"/>
        <v>144.60178977280526</v>
      </c>
      <c r="H14" s="880">
        <v>19145.990000000002</v>
      </c>
      <c r="I14" s="245">
        <f t="shared" si="5"/>
        <v>137.73859693324385</v>
      </c>
      <c r="J14" s="250">
        <f t="shared" si="6"/>
        <v>4.9827666263275034</v>
      </c>
      <c r="K14" s="100">
        <f t="shared" si="7"/>
        <v>7.1941224733348252E-3</v>
      </c>
      <c r="L14" s="107">
        <f t="shared" si="8"/>
        <v>2812.0000000000005</v>
      </c>
      <c r="M14" s="1319">
        <f t="shared" si="4"/>
        <v>56521171.88000001</v>
      </c>
    </row>
    <row r="15" spans="2:13" x14ac:dyDescent="0.25">
      <c r="B15" s="6">
        <f>VLOOKUP(C15,[1]Hoja1!$B$2:$C$260,2,FALSE)</f>
        <v>1220009</v>
      </c>
      <c r="C15" s="6" t="s">
        <v>1133</v>
      </c>
      <c r="D15" s="7">
        <v>2.5583650331916164E-4</v>
      </c>
      <c r="E15" s="797">
        <v>4.9725267894880784E-2</v>
      </c>
      <c r="F15" s="896">
        <f>VLOOKUP(B15,[2]Hoja1!$C$2:$E$279,3,FALSE)</f>
        <v>21312.16</v>
      </c>
      <c r="G15" s="167">
        <f t="shared" si="0"/>
        <v>5.4524284925785036</v>
      </c>
      <c r="H15" s="95">
        <v>20299</v>
      </c>
      <c r="I15" s="245">
        <f t="shared" si="5"/>
        <v>5.193225180875662</v>
      </c>
      <c r="J15" s="250">
        <f>((F15/H15)*100)-100</f>
        <v>4.9911818316173253</v>
      </c>
      <c r="K15" s="100">
        <f t="shared" si="7"/>
        <v>2.5583650331916164E-4</v>
      </c>
      <c r="L15" s="107">
        <f t="shared" si="8"/>
        <v>100</v>
      </c>
      <c r="M15" s="1319">
        <f t="shared" si="4"/>
        <v>2131216</v>
      </c>
    </row>
    <row r="16" spans="2:13" x14ac:dyDescent="0.25">
      <c r="B16" s="6">
        <f>VLOOKUP(C16,[1]Hoja1!$B$2:$C$260,2,FALSE)</f>
        <v>1220005</v>
      </c>
      <c r="C16" s="6" t="s">
        <v>1135</v>
      </c>
      <c r="D16" s="7">
        <v>2.5583650331916164E-4</v>
      </c>
      <c r="E16" s="797">
        <v>4.9725267894880784E-2</v>
      </c>
      <c r="F16" s="896">
        <f>VLOOKUP(B16,[2]Hoja1!$C$2:$E$279,3,FALSE)</f>
        <v>17429.990000000002</v>
      </c>
      <c r="G16" s="167">
        <f t="shared" si="0"/>
        <v>4.4592276944879545</v>
      </c>
      <c r="H16" s="95">
        <v>17430</v>
      </c>
      <c r="I16" s="245">
        <f t="shared" si="5"/>
        <v>4.4592302528529872</v>
      </c>
      <c r="J16" s="250">
        <f t="shared" si="6"/>
        <v>-5.7372346518036466E-5</v>
      </c>
      <c r="K16" s="100">
        <f t="shared" si="7"/>
        <v>2.5583650331916164E-4</v>
      </c>
      <c r="L16" s="107">
        <f t="shared" si="8"/>
        <v>100</v>
      </c>
      <c r="M16" s="1319">
        <f t="shared" si="4"/>
        <v>1742999.0000000002</v>
      </c>
    </row>
    <row r="17" spans="2:13" x14ac:dyDescent="0.25">
      <c r="B17" s="6">
        <f>VLOOKUP(C17,[1]Hoja1!$B$2:$C$260,2,FALSE)</f>
        <v>1260009</v>
      </c>
      <c r="C17" s="6" t="s">
        <v>1027</v>
      </c>
      <c r="D17" s="7">
        <v>2.0466920265532932E-2</v>
      </c>
      <c r="E17" s="797">
        <v>3.978021431590463</v>
      </c>
      <c r="F17" s="896">
        <f>VLOOKUP(B17,[2]Hoja1!$C$2:$E$279,3,FALSE)</f>
        <v>7033.69</v>
      </c>
      <c r="G17" s="167">
        <f t="shared" si="0"/>
        <v>143.95797240247632</v>
      </c>
      <c r="H17" s="880">
        <v>9565.2099999999991</v>
      </c>
      <c r="I17" s="245">
        <f t="shared" si="5"/>
        <v>195.77039039307823</v>
      </c>
      <c r="J17" s="250">
        <f t="shared" si="6"/>
        <v>-26.465911360022403</v>
      </c>
      <c r="K17" s="100">
        <f t="shared" si="7"/>
        <v>2.0466920265532932E-2</v>
      </c>
      <c r="L17" s="107">
        <f t="shared" si="8"/>
        <v>8000</v>
      </c>
      <c r="M17" s="1319">
        <f t="shared" si="4"/>
        <v>56269520</v>
      </c>
    </row>
    <row r="18" spans="2:13" x14ac:dyDescent="0.25">
      <c r="B18" s="6">
        <f>VLOOKUP(C18,[1]Hoja1!$B$2:$C$260,2,FALSE)</f>
        <v>1260011</v>
      </c>
      <c r="C18" s="6" t="s">
        <v>739</v>
      </c>
      <c r="D18" s="7">
        <v>4.5018749999999996E-2</v>
      </c>
      <c r="E18" s="797">
        <v>8.75</v>
      </c>
      <c r="F18" s="896">
        <f>VLOOKUP(B18,[2]Hoja1!$C$2:$E$279,3,FALSE)</f>
        <v>4450.01</v>
      </c>
      <c r="G18" s="167">
        <f t="shared" si="0"/>
        <v>200.33388768749998</v>
      </c>
      <c r="H18" s="95">
        <v>4500</v>
      </c>
      <c r="I18" s="245">
        <f t="shared" si="5"/>
        <v>202.58437499999999</v>
      </c>
      <c r="J18" s="250">
        <f t="shared" si="6"/>
        <v>-1.1108888888888799</v>
      </c>
      <c r="K18" s="100">
        <f t="shared" si="7"/>
        <v>4.5018749999999996E-2</v>
      </c>
      <c r="L18" s="107">
        <f t="shared" si="8"/>
        <v>17596.6875</v>
      </c>
      <c r="M18" s="1319">
        <f t="shared" si="4"/>
        <v>78305435.341875002</v>
      </c>
    </row>
    <row r="19" spans="2:13" x14ac:dyDescent="0.25">
      <c r="B19" s="6">
        <f>VLOOKUP(C19,[1]Hoja1!$B$2:$C$260,2,FALSE)</f>
        <v>1270009</v>
      </c>
      <c r="C19" s="30" t="s">
        <v>1225</v>
      </c>
      <c r="D19" s="7">
        <v>4.8608935630640711E-4</v>
      </c>
      <c r="E19" s="797">
        <v>9.4478009000273491E-2</v>
      </c>
      <c r="F19" s="896">
        <f>VLOOKUP(B19,[2]Hoja1!$C$2:$E$279,3,FALSE)</f>
        <v>57046.53</v>
      </c>
      <c r="G19" s="167">
        <f t="shared" si="0"/>
        <v>27.729711047214142</v>
      </c>
      <c r="H19" s="95">
        <v>53849.37</v>
      </c>
      <c r="I19" s="245">
        <f t="shared" si="5"/>
        <v>26.17560560080555</v>
      </c>
      <c r="J19" s="250">
        <f>((F19/H19)*100)-100</f>
        <v>5.937228234982129</v>
      </c>
      <c r="K19" s="100">
        <f t="shared" si="7"/>
        <v>4.8608935630640711E-4</v>
      </c>
      <c r="L19" s="107">
        <f t="shared" si="8"/>
        <v>190</v>
      </c>
      <c r="M19" s="1319">
        <f t="shared" si="4"/>
        <v>10838840.699999999</v>
      </c>
    </row>
    <row r="20" spans="2:13" s="38" customFormat="1" x14ac:dyDescent="0.25">
      <c r="B20" s="1752" t="s">
        <v>37</v>
      </c>
      <c r="C20" s="1752"/>
      <c r="D20" s="1245">
        <f>SUM(D5:D19)</f>
        <v>0.51460264160513169</v>
      </c>
      <c r="E20" s="1288">
        <f>SUM(E5:E19)</f>
        <v>111.97022450958454</v>
      </c>
      <c r="F20" s="1246"/>
      <c r="G20" s="1247">
        <f>SUM(G5:G19)</f>
        <v>1986.6200538431726</v>
      </c>
      <c r="H20" s="1248"/>
      <c r="I20" s="1247">
        <f>SUM(I5:I19)</f>
        <v>1463.2518921002945</v>
      </c>
      <c r="J20" s="1248">
        <f>((G20/I20)*100)-100</f>
        <v>35.767468647633592</v>
      </c>
      <c r="K20" s="1253">
        <f>SUM(K5:K19)</f>
        <v>0.57608680510181254</v>
      </c>
      <c r="L20" s="1629"/>
      <c r="M20" s="1630">
        <f>SUM(M5:M19)</f>
        <v>1180608905.5190499</v>
      </c>
    </row>
    <row r="22" spans="2:13" ht="25.5" x14ac:dyDescent="0.35">
      <c r="B22" s="1753" t="s">
        <v>50</v>
      </c>
      <c r="C22" s="1754"/>
      <c r="D22" s="38">
        <f>+C25+(C25*C31%)</f>
        <v>514.5</v>
      </c>
      <c r="E22" s="97"/>
      <c r="F22" s="97"/>
      <c r="G22" s="1757"/>
      <c r="H22" s="1757"/>
      <c r="I22" s="97"/>
      <c r="J22" s="101"/>
      <c r="K22" s="97"/>
    </row>
    <row r="23" spans="2:13" x14ac:dyDescent="0.25">
      <c r="B23" s="1254" t="s">
        <v>38</v>
      </c>
      <c r="C23" s="800" t="s">
        <v>151</v>
      </c>
      <c r="D23" s="38"/>
      <c r="G23" s="38"/>
      <c r="H23" s="38"/>
      <c r="I23" s="38"/>
    </row>
    <row r="24" spans="2:13" x14ac:dyDescent="0.25">
      <c r="B24" s="1254" t="s">
        <v>39</v>
      </c>
      <c r="C24" s="801" t="s">
        <v>152</v>
      </c>
      <c r="D24" s="38"/>
      <c r="F24" s="38"/>
      <c r="G24" s="38"/>
      <c r="H24" s="38"/>
      <c r="I24" s="38"/>
    </row>
    <row r="25" spans="2:13" x14ac:dyDescent="0.25">
      <c r="B25" s="1254" t="s">
        <v>40</v>
      </c>
      <c r="C25" s="801">
        <v>500</v>
      </c>
      <c r="D25" s="38"/>
      <c r="G25" s="38"/>
      <c r="H25" s="38"/>
      <c r="I25" s="38"/>
    </row>
    <row r="26" spans="2:13" x14ac:dyDescent="0.25">
      <c r="B26" s="1254" t="s">
        <v>41</v>
      </c>
      <c r="C26" s="801">
        <v>0</v>
      </c>
      <c r="D26" s="38"/>
      <c r="F26" s="38"/>
      <c r="G26" s="38"/>
      <c r="H26" s="38"/>
      <c r="I26" s="38"/>
    </row>
    <row r="27" spans="2:13" x14ac:dyDescent="0.25">
      <c r="B27" s="1254" t="s">
        <v>42</v>
      </c>
      <c r="C27" s="801">
        <v>0.2</v>
      </c>
      <c r="D27" s="38"/>
      <c r="F27" s="38"/>
      <c r="G27" s="38"/>
      <c r="H27" s="38"/>
      <c r="I27" s="38"/>
    </row>
    <row r="28" spans="2:13" x14ac:dyDescent="0.25">
      <c r="B28" s="1254" t="s">
        <v>43</v>
      </c>
      <c r="C28" s="801">
        <v>0.2</v>
      </c>
      <c r="D28" s="38"/>
      <c r="F28" s="38"/>
      <c r="G28" s="38"/>
      <c r="H28" s="38"/>
      <c r="I28" s="38"/>
    </row>
    <row r="29" spans="2:13" x14ac:dyDescent="0.25">
      <c r="B29" s="1254" t="s">
        <v>44</v>
      </c>
      <c r="C29" s="801">
        <v>0.5</v>
      </c>
      <c r="D29" s="38"/>
      <c r="F29" s="38"/>
      <c r="G29" s="38"/>
      <c r="H29" s="38"/>
      <c r="I29" s="38"/>
    </row>
    <row r="30" spans="2:13" x14ac:dyDescent="0.25">
      <c r="B30" s="1254" t="s">
        <v>45</v>
      </c>
      <c r="C30" s="801">
        <v>2</v>
      </c>
      <c r="D30" s="38"/>
      <c r="F30" s="38"/>
      <c r="G30" s="38"/>
      <c r="H30" s="38"/>
      <c r="I30" s="38"/>
    </row>
    <row r="31" spans="2:13" x14ac:dyDescent="0.25">
      <c r="B31" s="1254" t="s">
        <v>46</v>
      </c>
      <c r="C31" s="801">
        <f>C30+C29+C28+C27</f>
        <v>2.9000000000000004</v>
      </c>
      <c r="D31" s="38"/>
      <c r="F31" s="38"/>
      <c r="G31" s="38"/>
      <c r="H31" s="38"/>
      <c r="I31" s="38"/>
    </row>
    <row r="32" spans="2:13" x14ac:dyDescent="0.25">
      <c r="F32" s="97"/>
      <c r="G32" s="97"/>
      <c r="H32" s="97"/>
      <c r="I32" s="97"/>
      <c r="J32" s="101"/>
    </row>
    <row r="33" spans="2:11" ht="25.5" x14ac:dyDescent="0.35">
      <c r="B33" s="1756" t="s">
        <v>47</v>
      </c>
      <c r="C33" s="1756"/>
      <c r="D33" s="1756"/>
      <c r="E33" s="1756"/>
      <c r="F33" s="1756"/>
      <c r="G33" s="1756"/>
      <c r="H33" s="1756"/>
      <c r="I33" s="1756"/>
      <c r="J33" s="101"/>
    </row>
    <row r="34" spans="2:11" s="28" customFormat="1" ht="25.5" x14ac:dyDescent="0.25">
      <c r="B34" s="1255" t="s">
        <v>0</v>
      </c>
      <c r="C34" s="1255" t="s">
        <v>1</v>
      </c>
      <c r="D34" s="1242" t="s">
        <v>2</v>
      </c>
      <c r="E34" s="1243" t="str">
        <f>+'CIF Y PV'!$F$4</f>
        <v xml:space="preserve">JUN-COP/UMB </v>
      </c>
      <c r="F34" s="1243" t="str">
        <f>+'CIF Y PV'!$G$4</f>
        <v>JUN-COP/APP</v>
      </c>
      <c r="G34" s="1243" t="str">
        <f>+'CIF Y PV'!$H$4</f>
        <v xml:space="preserve">MAY-COP/UMB </v>
      </c>
      <c r="H34" s="1243" t="str">
        <f>+'CIF Y PV'!$I$4</f>
        <v>MAY-COP/APP</v>
      </c>
      <c r="I34" s="1242" t="s">
        <v>3</v>
      </c>
      <c r="J34" s="131">
        <v>30270</v>
      </c>
    </row>
    <row r="35" spans="2:11" x14ac:dyDescent="0.25">
      <c r="B35" s="4">
        <v>1380005</v>
      </c>
      <c r="C35" s="4" t="s">
        <v>1029</v>
      </c>
      <c r="D35" s="24">
        <v>2</v>
      </c>
      <c r="E35" s="24">
        <f>VLOOKUP(B35,[2]Hoja1!$C$2:$E$279,3,FALSE)</f>
        <v>29.02</v>
      </c>
      <c r="F35" s="1">
        <f>E35*D35</f>
        <v>58.04</v>
      </c>
      <c r="G35" s="122">
        <v>31.68</v>
      </c>
      <c r="H35" s="126">
        <f>G35*D35</f>
        <v>63.36</v>
      </c>
      <c r="I35" s="901">
        <f>((E35/G35)*100)-100</f>
        <v>-8.3964646464646506</v>
      </c>
      <c r="J35" s="115">
        <f>J34*D35</f>
        <v>60540</v>
      </c>
    </row>
    <row r="36" spans="2:11" x14ac:dyDescent="0.25">
      <c r="B36" s="4">
        <v>1370016</v>
      </c>
      <c r="C36" s="4" t="s">
        <v>1136</v>
      </c>
      <c r="D36" s="24">
        <v>0.28000000000000003</v>
      </c>
      <c r="E36" s="24">
        <f>VLOOKUP(B36,[2]Hoja1!$C$2:$E$279,3,FALSE)</f>
        <v>627.22</v>
      </c>
      <c r="F36" s="1188">
        <f>E36*D36</f>
        <v>175.62160000000003</v>
      </c>
      <c r="G36" s="122">
        <v>668.96</v>
      </c>
      <c r="H36" s="125">
        <f>G36*D36</f>
        <v>187.30880000000002</v>
      </c>
      <c r="I36" s="901">
        <f>((E36/G36)*100)-100</f>
        <v>-6.23953599617316</v>
      </c>
      <c r="J36" s="115">
        <f>J34*D36</f>
        <v>8475.6</v>
      </c>
    </row>
    <row r="37" spans="2:11" x14ac:dyDescent="0.25">
      <c r="B37" s="1256"/>
      <c r="C37" s="1256" t="s">
        <v>37</v>
      </c>
      <c r="D37" s="1257"/>
      <c r="E37" s="1257"/>
      <c r="F37" s="1258">
        <f>SUM(F35:F36)</f>
        <v>233.66160000000002</v>
      </c>
      <c r="G37" s="1259"/>
      <c r="H37" s="1260">
        <f>SUM(H35:H36)</f>
        <v>250.66880000000003</v>
      </c>
      <c r="I37" s="902">
        <f>((F37/H37)*100)-100</f>
        <v>-6.78472949166391</v>
      </c>
      <c r="J37" s="101"/>
    </row>
    <row r="38" spans="2:11" x14ac:dyDescent="0.25">
      <c r="F38" s="1" t="str">
        <f>+'CIF Y PV'!$G$1</f>
        <v>MAYO</v>
      </c>
      <c r="G38" s="38"/>
      <c r="K38" s="38"/>
    </row>
    <row r="39" spans="2:11" x14ac:dyDescent="0.25">
      <c r="B39" s="1750" t="s">
        <v>155</v>
      </c>
      <c r="C39" s="1750"/>
      <c r="D39" s="1755">
        <f>+F37+G20</f>
        <v>2220.2816538431725</v>
      </c>
      <c r="E39" s="1755"/>
      <c r="F39" s="1755"/>
      <c r="G39" s="116"/>
      <c r="H39" s="1749"/>
      <c r="I39" s="1749"/>
      <c r="J39" s="1749"/>
      <c r="K39" s="116"/>
    </row>
    <row r="40" spans="2:11" x14ac:dyDescent="0.25">
      <c r="B40" s="1758" t="s">
        <v>48</v>
      </c>
      <c r="C40" s="1759"/>
      <c r="D40" s="1755">
        <f>+('CIF Y PV'!C3/1000)*500</f>
        <v>945</v>
      </c>
      <c r="E40" s="1755"/>
      <c r="F40" s="1755"/>
      <c r="G40" s="116"/>
      <c r="H40" s="1749"/>
      <c r="I40" s="1749"/>
      <c r="J40" s="1749"/>
      <c r="K40" s="116"/>
    </row>
    <row r="41" spans="2:11" x14ac:dyDescent="0.25">
      <c r="B41" s="1758" t="s">
        <v>92</v>
      </c>
      <c r="C41" s="1759"/>
      <c r="D41" s="1755">
        <f>+D39+D40</f>
        <v>3165.2816538431725</v>
      </c>
      <c r="E41" s="1755"/>
      <c r="F41" s="1755"/>
      <c r="G41" s="116"/>
      <c r="H41" s="1749"/>
      <c r="I41" s="1749"/>
      <c r="J41" s="1749"/>
      <c r="K41" s="116"/>
    </row>
    <row r="42" spans="2:11" x14ac:dyDescent="0.25">
      <c r="B42" s="1750" t="s">
        <v>49</v>
      </c>
      <c r="C42" s="1750"/>
      <c r="D42" s="1755">
        <f>'CIF Y PV'!C57</f>
        <v>8337.6540000000005</v>
      </c>
      <c r="E42" s="1755"/>
      <c r="F42" s="1755"/>
      <c r="H42" s="1749"/>
      <c r="I42" s="1749"/>
      <c r="J42" s="1749"/>
      <c r="K42" s="642"/>
    </row>
    <row r="43" spans="2:11" ht="15" customHeight="1" x14ac:dyDescent="0.25">
      <c r="B43" s="1750" t="s">
        <v>805</v>
      </c>
      <c r="C43" s="1750"/>
      <c r="D43" s="1749"/>
      <c r="E43" s="1749"/>
      <c r="F43" s="945">
        <f>+(D42-D41)/D42</f>
        <v>0.6203630357120633</v>
      </c>
      <c r="G43" s="124"/>
      <c r="H43" s="38"/>
      <c r="I43" s="38"/>
      <c r="K43" s="124"/>
    </row>
    <row r="44" spans="2:11" x14ac:dyDescent="0.25">
      <c r="F44" s="38"/>
      <c r="G44" s="38"/>
      <c r="H44" s="38"/>
      <c r="I44" s="38"/>
    </row>
    <row r="45" spans="2:11" x14ac:dyDescent="0.25">
      <c r="F45" s="638">
        <v>0.56430000000000002</v>
      </c>
    </row>
  </sheetData>
  <mergeCells count="19">
    <mergeCell ref="D41:F41"/>
    <mergeCell ref="B42:C42"/>
    <mergeCell ref="D42:F42"/>
    <mergeCell ref="D43:E43"/>
    <mergeCell ref="B43:C43"/>
    <mergeCell ref="B2:J2"/>
    <mergeCell ref="B20:C20"/>
    <mergeCell ref="B22:C22"/>
    <mergeCell ref="B39:C39"/>
    <mergeCell ref="D39:F39"/>
    <mergeCell ref="B33:I33"/>
    <mergeCell ref="H39:J39"/>
    <mergeCell ref="G22:H22"/>
    <mergeCell ref="H40:J40"/>
    <mergeCell ref="H41:J41"/>
    <mergeCell ref="H42:J42"/>
    <mergeCell ref="B40:C40"/>
    <mergeCell ref="D40:F40"/>
    <mergeCell ref="B41:C41"/>
  </mergeCells>
  <pageMargins left="0.7" right="0.7" top="0.75" bottom="0.75" header="0.3" footer="0.3"/>
  <pageSetup scale="3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CF61-AB87-4318-9494-D22773959AF2}">
  <sheetPr codeName="Hoja14"/>
  <dimension ref="B2:L46"/>
  <sheetViews>
    <sheetView view="pageBreakPreview" zoomScale="90" zoomScaleNormal="100" zoomScaleSheetLayoutView="90" workbookViewId="0">
      <selection activeCell="G5" sqref="G5:G19"/>
    </sheetView>
  </sheetViews>
  <sheetFormatPr baseColWidth="10" defaultColWidth="11.5703125" defaultRowHeight="13.5" x14ac:dyDescent="0.25"/>
  <cols>
    <col min="1" max="1" width="15" style="1" customWidth="1"/>
    <col min="2" max="2" width="11.5703125" style="1"/>
    <col min="3" max="3" width="67.42578125" style="1" bestFit="1" customWidth="1"/>
    <col min="4" max="4" width="11.5703125" style="1"/>
    <col min="5" max="5" width="11.7109375" style="1" customWidth="1"/>
    <col min="6" max="7" width="11.5703125" style="1"/>
    <col min="8" max="8" width="12.5703125" style="1" bestFit="1" customWidth="1"/>
    <col min="9" max="9" width="14.42578125" style="1" bestFit="1" customWidth="1"/>
    <col min="10" max="10" width="14.42578125" style="1" customWidth="1"/>
    <col min="11" max="11" width="12.5703125" style="1" bestFit="1" customWidth="1"/>
    <col min="12" max="12" width="13.28515625" style="1" customWidth="1"/>
    <col min="13" max="16384" width="11.5703125" style="1"/>
  </cols>
  <sheetData>
    <row r="2" spans="2:12" ht="25.5" x14ac:dyDescent="0.35">
      <c r="B2" s="1751" t="s">
        <v>156</v>
      </c>
      <c r="C2" s="1751"/>
      <c r="D2" s="1751"/>
      <c r="E2" s="1751"/>
      <c r="F2" s="1751"/>
      <c r="G2" s="1751"/>
      <c r="H2" s="1751"/>
      <c r="I2" s="1751"/>
      <c r="J2" s="1751"/>
    </row>
    <row r="3" spans="2:12" x14ac:dyDescent="0.25">
      <c r="K3" s="846" t="s">
        <v>995</v>
      </c>
      <c r="L3" s="846" t="s">
        <v>996</v>
      </c>
    </row>
    <row r="4" spans="2:12" s="120" customFormat="1" ht="25.5" x14ac:dyDescent="0.25">
      <c r="B4" s="1242" t="s">
        <v>0</v>
      </c>
      <c r="C4" s="1242" t="s">
        <v>1</v>
      </c>
      <c r="D4" s="1242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4" t="s">
        <v>3</v>
      </c>
      <c r="K4" s="1261">
        <f>+D22/1000</f>
        <v>0.77175000000000005</v>
      </c>
      <c r="L4" s="1261">
        <v>2011.05</v>
      </c>
    </row>
    <row r="5" spans="2:12" x14ac:dyDescent="0.25">
      <c r="B5" s="6">
        <f>VLOOKUP(C5,[1]Hoja1!$B$2:$C$260,2,FALSE)</f>
        <v>1112001</v>
      </c>
      <c r="C5" s="6" t="s">
        <v>797</v>
      </c>
      <c r="D5" s="103">
        <v>0.27018967500000002</v>
      </c>
      <c r="E5" s="797">
        <v>35.01</v>
      </c>
      <c r="F5" s="896">
        <f>VLOOKUP(B5,[2]Hoja1!$C$2:$E$279,3,FALSE)</f>
        <v>3663.96</v>
      </c>
      <c r="G5" s="851">
        <f>D5*F5</f>
        <v>989.9641616130001</v>
      </c>
      <c r="H5" s="896">
        <v>4222.72</v>
      </c>
      <c r="I5" s="851">
        <f>H5*D5</f>
        <v>1140.9353444160001</v>
      </c>
      <c r="J5" s="270">
        <f>((F5/H5)*100)-100</f>
        <v>-13.232229463473786</v>
      </c>
      <c r="K5" s="100">
        <f>$K$4*E5%</f>
        <v>0.27018967500000002</v>
      </c>
      <c r="L5" s="1">
        <f>$L$4*E5</f>
        <v>70406.860499999995</v>
      </c>
    </row>
    <row r="6" spans="2:12" x14ac:dyDescent="0.25">
      <c r="B6" s="6">
        <f>VLOOKUP(C6,[1]Hoja1!$B$2:$C$260,2,FALSE)</f>
        <v>1121009</v>
      </c>
      <c r="C6" s="6" t="s">
        <v>1272</v>
      </c>
      <c r="D6" s="7">
        <v>3.3802650000000004E-2</v>
      </c>
      <c r="E6" s="797">
        <v>4.38</v>
      </c>
      <c r="F6" s="896">
        <f>VLOOKUP(B6,[2]Hoja1!$C$2:$E$279,3,FALSE)</f>
        <v>8741.6200000000008</v>
      </c>
      <c r="G6" s="851">
        <f t="shared" ref="G6:G19" si="0">D6*F6</f>
        <v>295.48992129300007</v>
      </c>
      <c r="H6" s="896">
        <v>2033.73</v>
      </c>
      <c r="I6" s="851">
        <f t="shared" ref="I6:I18" si="1">H6*D6</f>
        <v>68.745463384500013</v>
      </c>
      <c r="J6" s="250">
        <f t="shared" ref="J6:J15" si="2">((F6/H6)*100)-100</f>
        <v>329.83188525517153</v>
      </c>
      <c r="K6" s="100">
        <f t="shared" ref="K6:K19" si="3">$K$4*E6%</f>
        <v>3.3802650000000004E-2</v>
      </c>
      <c r="L6" s="1">
        <f t="shared" ref="L6:L19" si="4">$L$4*E6</f>
        <v>8808.3989999999994</v>
      </c>
    </row>
    <row r="7" spans="2:12" x14ac:dyDescent="0.25">
      <c r="B7" s="6">
        <f>VLOOKUP(C7,[1]Hoja1!$B$2:$C$260,2,FALSE)</f>
        <v>1122007</v>
      </c>
      <c r="C7" s="6" t="s">
        <v>1067</v>
      </c>
      <c r="D7" s="7">
        <v>6.1817175000000009E-2</v>
      </c>
      <c r="E7" s="797">
        <v>8.01</v>
      </c>
      <c r="F7" s="896">
        <f>VLOOKUP(B7,[2]Hoja1!$C$2:$E$279,3,FALSE)</f>
        <v>11229.33</v>
      </c>
      <c r="G7" s="851">
        <f t="shared" si="0"/>
        <v>694.16545774275005</v>
      </c>
      <c r="H7" s="95">
        <v>0</v>
      </c>
      <c r="I7" s="851">
        <f t="shared" si="1"/>
        <v>0</v>
      </c>
      <c r="J7" s="250" t="e">
        <f t="shared" si="2"/>
        <v>#DIV/0!</v>
      </c>
      <c r="K7" s="100">
        <f t="shared" si="3"/>
        <v>6.1817175000000009E-2</v>
      </c>
      <c r="L7" s="1">
        <f t="shared" si="4"/>
        <v>16108.510499999999</v>
      </c>
    </row>
    <row r="8" spans="2:12" x14ac:dyDescent="0.25">
      <c r="B8" s="6">
        <f>VLOOKUP(C8,[1]Hoja1!$B$2:$C$260,2,FALSE)</f>
        <v>2906001</v>
      </c>
      <c r="C8" s="6" t="s">
        <v>831</v>
      </c>
      <c r="D8" s="7">
        <v>7.3316249999999999E-2</v>
      </c>
      <c r="E8" s="797">
        <v>9.5</v>
      </c>
      <c r="F8" s="896">
        <f>VLOOKUP(B8,[2]Hoja1!$C$2:$E$279,3,FALSE)</f>
        <v>1956.71</v>
      </c>
      <c r="G8" s="851">
        <f t="shared" si="0"/>
        <v>143.45863953750001</v>
      </c>
      <c r="H8" s="914">
        <v>8910.1</v>
      </c>
      <c r="I8" s="851">
        <f t="shared" si="1"/>
        <v>653.25511912500008</v>
      </c>
      <c r="J8" s="250">
        <f t="shared" si="2"/>
        <v>-78.039415943704341</v>
      </c>
      <c r="K8" s="100">
        <f t="shared" si="3"/>
        <v>7.3316249999999999E-2</v>
      </c>
      <c r="L8" s="1">
        <f t="shared" si="4"/>
        <v>19104.974999999999</v>
      </c>
    </row>
    <row r="9" spans="2:12" x14ac:dyDescent="0.25">
      <c r="B9" s="6">
        <f>VLOOKUP(C9,[1]Hoja1!$B$2:$C$260,2,FALSE)</f>
        <v>1131002</v>
      </c>
      <c r="C9" s="6" t="s">
        <v>663</v>
      </c>
      <c r="D9" s="7">
        <v>0.21037905000000001</v>
      </c>
      <c r="E9" s="797">
        <v>27.26</v>
      </c>
      <c r="F9" s="896">
        <f>VLOOKUP(B9,[2]Hoja1!$C$2:$E$279,3,FALSE)</f>
        <v>0</v>
      </c>
      <c r="G9" s="851">
        <f t="shared" si="0"/>
        <v>0</v>
      </c>
      <c r="H9" s="914">
        <v>3508.01</v>
      </c>
      <c r="I9" s="851">
        <f t="shared" si="1"/>
        <v>738.01181119050011</v>
      </c>
      <c r="J9" s="250">
        <f>((F9/H9)*100)-100</f>
        <v>-100</v>
      </c>
      <c r="K9" s="100">
        <f t="shared" si="3"/>
        <v>0.21037905000000001</v>
      </c>
      <c r="L9" s="1">
        <f t="shared" si="4"/>
        <v>54821.223000000005</v>
      </c>
    </row>
    <row r="10" spans="2:12" x14ac:dyDescent="0.25">
      <c r="B10" s="6">
        <v>1210005</v>
      </c>
      <c r="C10" s="6" t="s">
        <v>1155</v>
      </c>
      <c r="D10" s="7">
        <v>6.1740000000000007E-3</v>
      </c>
      <c r="E10" s="797">
        <v>0.8</v>
      </c>
      <c r="F10" s="896">
        <f>VLOOKUP(B10,[2]Hoja1!$C$2:$E$279,3,FALSE)</f>
        <v>1356</v>
      </c>
      <c r="G10" s="851">
        <f t="shared" si="0"/>
        <v>8.3719440000000009</v>
      </c>
      <c r="H10" s="914"/>
      <c r="I10" s="851"/>
      <c r="J10" s="250"/>
      <c r="K10" s="100">
        <f t="shared" si="3"/>
        <v>6.1740000000000007E-3</v>
      </c>
    </row>
    <row r="11" spans="2:12" x14ac:dyDescent="0.25">
      <c r="B11" s="6">
        <v>1210010</v>
      </c>
      <c r="C11" s="6" t="s">
        <v>1351</v>
      </c>
      <c r="D11" s="7">
        <v>4.090275E-3</v>
      </c>
      <c r="E11" s="797">
        <v>0.53</v>
      </c>
      <c r="F11" s="896">
        <f>VLOOKUP(B11,[2]Hoja1!$C$2:$E$279,3,FALSE)</f>
        <v>11600</v>
      </c>
      <c r="G11" s="851">
        <f t="shared" si="0"/>
        <v>47.447189999999999</v>
      </c>
      <c r="H11" s="880">
        <v>16100</v>
      </c>
      <c r="I11" s="851">
        <f t="shared" si="1"/>
        <v>65.853427499999995</v>
      </c>
      <c r="J11" s="250">
        <f t="shared" si="2"/>
        <v>-27.950310559006212</v>
      </c>
      <c r="K11" s="100">
        <f t="shared" si="3"/>
        <v>4.090275E-3</v>
      </c>
      <c r="L11" s="1">
        <f t="shared" si="4"/>
        <v>1065.8565000000001</v>
      </c>
    </row>
    <row r="12" spans="2:12" x14ac:dyDescent="0.25">
      <c r="B12" s="6">
        <f>VLOOKUP(C12,[1]Hoja1!$B$2:$C$260,2,FALSE)</f>
        <v>1210004</v>
      </c>
      <c r="C12" s="6" t="s">
        <v>1131</v>
      </c>
      <c r="D12" s="7">
        <v>1.2348000000000001E-3</v>
      </c>
      <c r="E12" s="797">
        <v>0.16</v>
      </c>
      <c r="F12" s="896">
        <f>VLOOKUP(B12,[2]Hoja1!$C$2:$E$279,3,FALSE)</f>
        <v>3841</v>
      </c>
      <c r="G12" s="851">
        <f t="shared" si="0"/>
        <v>4.7428668000000007</v>
      </c>
      <c r="H12" s="880">
        <v>19145.990000000002</v>
      </c>
      <c r="I12" s="851">
        <f t="shared" si="1"/>
        <v>23.641468452000005</v>
      </c>
      <c r="J12" s="250">
        <f t="shared" si="2"/>
        <v>-79.938357849346005</v>
      </c>
      <c r="K12" s="100">
        <f t="shared" si="3"/>
        <v>1.2348000000000001E-3</v>
      </c>
      <c r="L12" s="1">
        <f t="shared" si="4"/>
        <v>321.76799999999997</v>
      </c>
    </row>
    <row r="13" spans="2:12" x14ac:dyDescent="0.25">
      <c r="B13" s="6">
        <f>VLOOKUP(C13,[1]Hoja1!$B$2:$C$260,2,FALSE)</f>
        <v>121007</v>
      </c>
      <c r="C13" s="6" t="s">
        <v>821</v>
      </c>
      <c r="D13" s="7">
        <v>3.8375475497874249E-4</v>
      </c>
      <c r="E13" s="797">
        <v>4.9725267894880784E-2</v>
      </c>
      <c r="F13" s="896">
        <f>VLOOKUP(B13,[2]Hoja1!$C$2:$E$279,3,FALSE)</f>
        <v>16905</v>
      </c>
      <c r="G13" s="851">
        <f t="shared" si="0"/>
        <v>6.487374132915642</v>
      </c>
      <c r="H13" s="95">
        <v>20299</v>
      </c>
      <c r="I13" s="851">
        <f t="shared" si="1"/>
        <v>7.7898377713134934</v>
      </c>
      <c r="J13" s="250">
        <f t="shared" si="2"/>
        <v>-16.720035469727563</v>
      </c>
      <c r="K13" s="100">
        <f t="shared" si="3"/>
        <v>3.8375475497874249E-4</v>
      </c>
      <c r="L13" s="1263">
        <f t="shared" si="4"/>
        <v>100</v>
      </c>
    </row>
    <row r="14" spans="2:12" x14ac:dyDescent="0.25">
      <c r="B14" s="6">
        <f>VLOOKUP(C14,[1]Hoja1!$B$2:$C$260,2,FALSE)</f>
        <v>1230003</v>
      </c>
      <c r="C14" s="6" t="s">
        <v>1132</v>
      </c>
      <c r="D14" s="7">
        <v>1.079118371000224E-2</v>
      </c>
      <c r="E14" s="797">
        <v>1.3982745332040478</v>
      </c>
      <c r="F14" s="896">
        <f>VLOOKUP(B14,[2]Hoja1!$C$2:$E$279,3,FALSE)</f>
        <v>20099.990000000002</v>
      </c>
      <c r="G14" s="851">
        <f t="shared" si="0"/>
        <v>216.90268465920795</v>
      </c>
      <c r="H14" s="95">
        <v>17430</v>
      </c>
      <c r="I14" s="851">
        <f t="shared" si="1"/>
        <v>188.09033206533906</v>
      </c>
      <c r="J14" s="250">
        <f t="shared" si="2"/>
        <v>15.318359150889279</v>
      </c>
      <c r="K14" s="100">
        <f t="shared" si="3"/>
        <v>1.079118371000224E-2</v>
      </c>
      <c r="L14" s="1263">
        <f t="shared" si="4"/>
        <v>2812.0000000000005</v>
      </c>
    </row>
    <row r="15" spans="2:12" x14ac:dyDescent="0.25">
      <c r="B15" s="6">
        <f>VLOOKUP(C15,[1]Hoja1!$B$2:$C$260,2,FALSE)</f>
        <v>1220009</v>
      </c>
      <c r="C15" s="6" t="s">
        <v>1133</v>
      </c>
      <c r="D15" s="7">
        <v>3.8375475497874249E-4</v>
      </c>
      <c r="E15" s="797">
        <v>4.9725267894880784E-2</v>
      </c>
      <c r="F15" s="896">
        <f>VLOOKUP(B15,[2]Hoja1!$C$2:$E$279,3,FALSE)</f>
        <v>21312.16</v>
      </c>
      <c r="G15" s="851">
        <f t="shared" si="0"/>
        <v>8.1786427388677563</v>
      </c>
      <c r="H15" s="880">
        <v>9565.2099999999991</v>
      </c>
      <c r="I15" s="851">
        <f t="shared" si="1"/>
        <v>3.6706948198702172</v>
      </c>
      <c r="J15" s="250">
        <f t="shared" si="2"/>
        <v>122.80911762522729</v>
      </c>
      <c r="K15" s="100">
        <f t="shared" si="3"/>
        <v>3.8375475497874249E-4</v>
      </c>
      <c r="L15" s="1">
        <f t="shared" si="4"/>
        <v>100</v>
      </c>
    </row>
    <row r="16" spans="2:12" x14ac:dyDescent="0.25">
      <c r="B16" s="6">
        <f>VLOOKUP(C16,[1]Hoja1!$B$2:$C$260,2,FALSE)</f>
        <v>1220005</v>
      </c>
      <c r="C16" s="6" t="s">
        <v>1135</v>
      </c>
      <c r="D16" s="7">
        <v>3.8375475497874249E-4</v>
      </c>
      <c r="E16" s="797">
        <v>4.9725267894880784E-2</v>
      </c>
      <c r="F16" s="896">
        <f>VLOOKUP(B16,[2]Hoja1!$C$2:$E$279,3,FALSE)</f>
        <v>17429.990000000002</v>
      </c>
      <c r="G16" s="851">
        <f t="shared" si="0"/>
        <v>6.6888415417319322</v>
      </c>
      <c r="H16" s="95">
        <v>4500</v>
      </c>
      <c r="I16" s="851">
        <f t="shared" si="1"/>
        <v>1.7268963974043412</v>
      </c>
      <c r="J16" s="250">
        <f>((F16/H16)*100)-100</f>
        <v>287.33311111111112</v>
      </c>
      <c r="K16" s="100">
        <f t="shared" si="3"/>
        <v>3.8375475497874249E-4</v>
      </c>
      <c r="L16" s="1">
        <f t="shared" si="4"/>
        <v>100</v>
      </c>
    </row>
    <row r="17" spans="2:12" x14ac:dyDescent="0.25">
      <c r="B17" s="6">
        <f>VLOOKUP(C17,[1]Hoja1!$B$2:$C$260,2,FALSE)</f>
        <v>1260009</v>
      </c>
      <c r="C17" s="6" t="s">
        <v>1027</v>
      </c>
      <c r="D17" s="7">
        <v>3.07003803982994E-2</v>
      </c>
      <c r="E17" s="797">
        <v>3.978021431590463</v>
      </c>
      <c r="F17" s="896">
        <f>VLOOKUP(B17,[2]Hoja1!$C$2:$E$279,3,FALSE)</f>
        <v>7033.69</v>
      </c>
      <c r="G17" s="851">
        <f t="shared" si="0"/>
        <v>215.93695860371449</v>
      </c>
      <c r="H17" s="896">
        <v>12278.37</v>
      </c>
      <c r="I17" s="851">
        <f t="shared" si="1"/>
        <v>376.95062967106742</v>
      </c>
      <c r="J17" s="250">
        <f>((F17/H17)*100)-100</f>
        <v>-42.714790318258864</v>
      </c>
      <c r="K17" s="100">
        <f t="shared" si="3"/>
        <v>3.07003803982994E-2</v>
      </c>
      <c r="L17" s="1">
        <f t="shared" si="4"/>
        <v>8000</v>
      </c>
    </row>
    <row r="18" spans="2:12" x14ac:dyDescent="0.25">
      <c r="B18" s="6">
        <f>VLOOKUP(C18,[1]Hoja1!$B$2:$C$260,2,FALSE)</f>
        <v>1260011</v>
      </c>
      <c r="C18" s="30" t="s">
        <v>739</v>
      </c>
      <c r="D18" s="321">
        <v>6.7528124999999994E-2</v>
      </c>
      <c r="E18" s="797">
        <v>8.75</v>
      </c>
      <c r="F18" s="896">
        <f>VLOOKUP(B18,[2]Hoja1!$C$2:$E$279,3,FALSE)</f>
        <v>4450.01</v>
      </c>
      <c r="G18" s="851">
        <f t="shared" si="0"/>
        <v>300.50083153125001</v>
      </c>
      <c r="H18" s="95">
        <v>53849.37</v>
      </c>
      <c r="I18" s="851">
        <f t="shared" si="1"/>
        <v>3636.3469885312497</v>
      </c>
      <c r="J18" s="250">
        <f>((F18/H18)*100)-100</f>
        <v>-91.736189299893383</v>
      </c>
      <c r="K18" s="100">
        <f t="shared" si="3"/>
        <v>6.7528124999999994E-2</v>
      </c>
      <c r="L18" s="1">
        <f t="shared" si="4"/>
        <v>17596.6875</v>
      </c>
    </row>
    <row r="19" spans="2:12" x14ac:dyDescent="0.25">
      <c r="B19" s="6">
        <f>VLOOKUP(C19,[1]Hoja1!$B$2:$C$260,2,FALSE)</f>
        <v>1270009</v>
      </c>
      <c r="C19" s="6" t="s">
        <v>1225</v>
      </c>
      <c r="D19" s="798">
        <v>7.2913403445961072E-4</v>
      </c>
      <c r="E19" s="925">
        <v>9.4478009000273491E-2</v>
      </c>
      <c r="F19" s="896">
        <f>VLOOKUP(B19,[2]Hoja1!$C$2:$E$279,3,FALSE)</f>
        <v>57046.53</v>
      </c>
      <c r="G19" s="851">
        <f t="shared" si="0"/>
        <v>41.594566570821215</v>
      </c>
      <c r="I19" s="851" t="e">
        <f>#REF!*D19</f>
        <v>#REF!</v>
      </c>
      <c r="J19" s="250" t="e">
        <f>((F19/#REF!)*100)-100</f>
        <v>#REF!</v>
      </c>
      <c r="K19" s="100">
        <f t="shared" si="3"/>
        <v>7.2913403445961072E-4</v>
      </c>
      <c r="L19" s="1">
        <f t="shared" si="4"/>
        <v>190</v>
      </c>
    </row>
    <row r="20" spans="2:12" s="38" customFormat="1" x14ac:dyDescent="0.25">
      <c r="B20" s="1752" t="s">
        <v>37</v>
      </c>
      <c r="C20" s="1752"/>
      <c r="D20" s="1245">
        <f>SUM(D5:D19)</f>
        <v>0.77190396240769743</v>
      </c>
      <c r="E20" s="1246">
        <f>SUM(E5:E19)</f>
        <v>100.01994977747943</v>
      </c>
      <c r="F20" s="1246"/>
      <c r="G20" s="1247">
        <f>SUM(G5:G19)</f>
        <v>2979.9300807647596</v>
      </c>
      <c r="H20" s="1248"/>
      <c r="I20" s="1247" t="e">
        <f>SUM(I5:I19)</f>
        <v>#REF!</v>
      </c>
      <c r="J20" s="1248" t="e">
        <f>((G20/I20)*100)-100</f>
        <v>#REF!</v>
      </c>
      <c r="K20" s="1252"/>
      <c r="L20" s="1262">
        <f>SUM(L5:L19)</f>
        <v>199536.28</v>
      </c>
    </row>
    <row r="22" spans="2:12" ht="25.5" x14ac:dyDescent="0.35">
      <c r="B22" s="1760" t="s">
        <v>50</v>
      </c>
      <c r="C22" s="1754"/>
      <c r="D22" s="38">
        <f>+C25+(C25*C31%)</f>
        <v>771.75</v>
      </c>
      <c r="E22" s="97"/>
      <c r="F22" s="97"/>
      <c r="G22" s="97"/>
      <c r="H22" s="97"/>
      <c r="I22" s="97"/>
      <c r="J22" s="97"/>
      <c r="K22" s="97"/>
    </row>
    <row r="23" spans="2:12" x14ac:dyDescent="0.25">
      <c r="B23" s="1264" t="s">
        <v>38</v>
      </c>
      <c r="C23" s="93" t="s">
        <v>151</v>
      </c>
      <c r="D23" s="38"/>
      <c r="H23" s="38"/>
    </row>
    <row r="24" spans="2:12" x14ac:dyDescent="0.25">
      <c r="B24" s="1265" t="s">
        <v>39</v>
      </c>
      <c r="C24" s="21" t="s">
        <v>152</v>
      </c>
      <c r="D24" s="38"/>
      <c r="H24" s="38"/>
    </row>
    <row r="25" spans="2:12" x14ac:dyDescent="0.25">
      <c r="B25" s="1265" t="s">
        <v>40</v>
      </c>
      <c r="C25" s="21">
        <v>750</v>
      </c>
      <c r="D25" s="38"/>
      <c r="H25" s="38"/>
    </row>
    <row r="26" spans="2:12" x14ac:dyDescent="0.25">
      <c r="B26" s="1265" t="s">
        <v>41</v>
      </c>
      <c r="C26" s="21">
        <v>0</v>
      </c>
      <c r="D26" s="38"/>
      <c r="H26" s="38"/>
    </row>
    <row r="27" spans="2:12" x14ac:dyDescent="0.25">
      <c r="B27" s="1265" t="s">
        <v>42</v>
      </c>
      <c r="C27" s="21">
        <v>0.3</v>
      </c>
      <c r="D27" s="38"/>
      <c r="H27" s="38"/>
    </row>
    <row r="28" spans="2:12" x14ac:dyDescent="0.25">
      <c r="B28" s="1265" t="s">
        <v>43</v>
      </c>
      <c r="C28" s="21">
        <v>0.3</v>
      </c>
      <c r="D28" s="38"/>
      <c r="H28" s="38"/>
    </row>
    <row r="29" spans="2:12" x14ac:dyDescent="0.25">
      <c r="B29" s="1265" t="s">
        <v>44</v>
      </c>
      <c r="C29" s="21">
        <v>0.3</v>
      </c>
      <c r="D29" s="38"/>
      <c r="H29" s="38"/>
    </row>
    <row r="30" spans="2:12" x14ac:dyDescent="0.25">
      <c r="B30" s="1265" t="s">
        <v>45</v>
      </c>
      <c r="C30" s="21">
        <v>2</v>
      </c>
      <c r="D30" s="38"/>
      <c r="H30" s="38"/>
    </row>
    <row r="31" spans="2:12" x14ac:dyDescent="0.25">
      <c r="B31" s="1265" t="s">
        <v>46</v>
      </c>
      <c r="C31" s="21">
        <f>C30+C29+C28+C27</f>
        <v>2.8999999999999995</v>
      </c>
      <c r="D31" s="38"/>
      <c r="H31" s="38"/>
    </row>
    <row r="32" spans="2:12" x14ac:dyDescent="0.25">
      <c r="H32" s="97"/>
      <c r="I32" s="97"/>
      <c r="J32" s="97"/>
    </row>
    <row r="33" spans="2:11" ht="25.5" x14ac:dyDescent="0.35">
      <c r="B33" s="1761" t="s">
        <v>47</v>
      </c>
      <c r="C33" s="1762"/>
      <c r="D33" s="1762"/>
      <c r="E33" s="1762"/>
      <c r="F33" s="1762"/>
      <c r="G33" s="1762"/>
      <c r="H33" s="1762"/>
      <c r="I33" s="1762"/>
    </row>
    <row r="34" spans="2:11" s="120" customFormat="1" ht="25.5" x14ac:dyDescent="0.25">
      <c r="B34" s="1266" t="s">
        <v>0</v>
      </c>
      <c r="C34" s="1266" t="s">
        <v>1</v>
      </c>
      <c r="D34" s="1267" t="s">
        <v>2</v>
      </c>
      <c r="E34" s="1243" t="str">
        <f>+'CIF Y PV'!$F$4</f>
        <v xml:space="preserve">JUN-COP/UMB </v>
      </c>
      <c r="F34" s="1243" t="str">
        <f>+'CIF Y PV'!$G$4</f>
        <v>JUN-COP/APP</v>
      </c>
      <c r="G34" s="1243" t="str">
        <f>+'CIF Y PV'!$H$4</f>
        <v xml:space="preserve">MAY-COP/UMB </v>
      </c>
      <c r="H34" s="1243" t="str">
        <f>+'CIF Y PV'!$I$4</f>
        <v>MAY-COP/APP</v>
      </c>
      <c r="I34" s="1242" t="s">
        <v>3</v>
      </c>
      <c r="J34" s="146">
        <v>14931</v>
      </c>
    </row>
    <row r="35" spans="2:11" x14ac:dyDescent="0.25">
      <c r="B35" s="4">
        <v>1380005</v>
      </c>
      <c r="C35" s="4" t="s">
        <v>1029</v>
      </c>
      <c r="D35" s="24">
        <v>2</v>
      </c>
      <c r="E35" s="24">
        <f>VLOOKUP(B35,[2]Hoja1!$C$2:$E$279,3,FALSE)</f>
        <v>29.02</v>
      </c>
      <c r="F35" s="24">
        <f>D35*E35</f>
        <v>58.04</v>
      </c>
      <c r="G35" s="24">
        <v>31.68</v>
      </c>
      <c r="H35" s="24">
        <f>G35*D35</f>
        <v>63.36</v>
      </c>
      <c r="I35" s="901">
        <f>((E35/G35)*100)-100</f>
        <v>-8.3964646464646506</v>
      </c>
      <c r="J35" s="38">
        <f>J34*D35</f>
        <v>29862</v>
      </c>
    </row>
    <row r="36" spans="2:11" x14ac:dyDescent="0.25">
      <c r="B36" s="4">
        <v>1380003</v>
      </c>
      <c r="C36" s="4" t="s">
        <v>1137</v>
      </c>
      <c r="D36" s="24">
        <v>1</v>
      </c>
      <c r="E36" s="24">
        <f>VLOOKUP(B36,[2]Hoja1!$C$2:$E$279,3,FALSE)</f>
        <v>56.19</v>
      </c>
      <c r="F36" s="24">
        <f>D36*E36</f>
        <v>56.19</v>
      </c>
      <c r="G36" s="24">
        <v>57.87</v>
      </c>
      <c r="H36" s="24">
        <f>G36*D36</f>
        <v>57.87</v>
      </c>
      <c r="I36" s="901">
        <f>((E36/G36)*100)-100</f>
        <v>-2.9030585795749175</v>
      </c>
      <c r="J36" s="38">
        <f>J34*D36</f>
        <v>14931</v>
      </c>
    </row>
    <row r="37" spans="2:11" x14ac:dyDescent="0.25">
      <c r="B37" s="4">
        <v>1370015</v>
      </c>
      <c r="C37" s="4" t="s">
        <v>1370</v>
      </c>
      <c r="D37" s="24">
        <v>0.39</v>
      </c>
      <c r="E37" s="24">
        <f>VLOOKUP(B37,[2]Hoja1!$C$2:$E$279,3,FALSE)</f>
        <v>552.94000000000005</v>
      </c>
      <c r="F37" s="24">
        <f>D37*E37</f>
        <v>215.64660000000003</v>
      </c>
      <c r="G37" s="24">
        <v>555.72</v>
      </c>
      <c r="H37" s="24">
        <f>G37*D37</f>
        <v>216.73080000000002</v>
      </c>
      <c r="I37" s="901">
        <f>((E37/G37)*100)-100</f>
        <v>-0.5002519254300779</v>
      </c>
      <c r="J37" s="38">
        <f>J34*D37</f>
        <v>5823.09</v>
      </c>
    </row>
    <row r="38" spans="2:11" x14ac:dyDescent="0.25">
      <c r="B38" s="1256"/>
      <c r="C38" s="1256" t="s">
        <v>37</v>
      </c>
      <c r="D38" s="1257"/>
      <c r="E38" s="1257"/>
      <c r="F38" s="1257">
        <f>SUM(F35:F37)</f>
        <v>329.87660000000005</v>
      </c>
      <c r="G38" s="1257"/>
      <c r="H38" s="1257">
        <f>SUM(H35:H37)</f>
        <v>337.96080000000001</v>
      </c>
      <c r="I38" s="1268">
        <f>((F38/H38)*100)-100</f>
        <v>-2.39205256941041</v>
      </c>
    </row>
    <row r="39" spans="2:11" x14ac:dyDescent="0.25">
      <c r="H39" s="1" t="str">
        <f>+'CIF Y PV'!$G$1</f>
        <v>MAYO</v>
      </c>
      <c r="J39" s="38"/>
    </row>
    <row r="40" spans="2:11" x14ac:dyDescent="0.25">
      <c r="B40" s="1750" t="s">
        <v>161</v>
      </c>
      <c r="C40" s="1750"/>
      <c r="E40" s="882"/>
      <c r="F40" s="882"/>
      <c r="G40" s="882"/>
      <c r="H40" s="1270">
        <f>+F38+G20</f>
        <v>3309.8066807647597</v>
      </c>
      <c r="I40" s="28"/>
      <c r="J40" s="881"/>
      <c r="K40" s="28"/>
    </row>
    <row r="41" spans="2:11" x14ac:dyDescent="0.25">
      <c r="B41" s="1758" t="s">
        <v>48</v>
      </c>
      <c r="C41" s="1759"/>
      <c r="E41" s="881"/>
      <c r="F41" s="881"/>
      <c r="G41" s="881"/>
      <c r="H41" s="1269">
        <f>+('CIF Y PV'!C3/1000)*750</f>
        <v>1417.5</v>
      </c>
      <c r="J41" s="881"/>
    </row>
    <row r="42" spans="2:11" x14ac:dyDescent="0.25">
      <c r="B42" s="1758" t="s">
        <v>162</v>
      </c>
      <c r="C42" s="1759"/>
      <c r="E42" s="881"/>
      <c r="F42" s="881"/>
      <c r="G42" s="881"/>
      <c r="H42" s="1269">
        <f>+H41+H40</f>
        <v>4727.3066807647592</v>
      </c>
      <c r="I42" s="136"/>
      <c r="J42" s="881"/>
      <c r="K42" s="136"/>
    </row>
    <row r="43" spans="2:11" x14ac:dyDescent="0.25">
      <c r="B43" s="1750" t="s">
        <v>49</v>
      </c>
      <c r="C43" s="1750"/>
      <c r="E43" s="881"/>
      <c r="F43" s="881"/>
      <c r="G43" s="881"/>
      <c r="H43" s="1269">
        <f>'CIF Y PV'!C58</f>
        <v>11287.900800000001</v>
      </c>
      <c r="J43" s="881"/>
      <c r="K43" s="402"/>
    </row>
    <row r="44" spans="2:11" x14ac:dyDescent="0.25">
      <c r="B44" s="1750" t="s">
        <v>805</v>
      </c>
      <c r="C44" s="1750"/>
      <c r="E44" s="881"/>
      <c r="F44" s="881"/>
      <c r="G44" s="881"/>
      <c r="H44" s="1229">
        <f>+(H43-H42)/H43</f>
        <v>0.58120586240758254</v>
      </c>
      <c r="I44" s="137"/>
      <c r="J44" s="38"/>
      <c r="K44" s="137"/>
    </row>
    <row r="45" spans="2:11" x14ac:dyDescent="0.25">
      <c r="H45" s="38"/>
      <c r="J45" s="38"/>
    </row>
    <row r="46" spans="2:11" x14ac:dyDescent="0.25">
      <c r="H46" s="38"/>
    </row>
  </sheetData>
  <mergeCells count="9">
    <mergeCell ref="B44:C44"/>
    <mergeCell ref="B43:C43"/>
    <mergeCell ref="B2:J2"/>
    <mergeCell ref="B41:C41"/>
    <mergeCell ref="B42:C42"/>
    <mergeCell ref="B20:C20"/>
    <mergeCell ref="B22:C22"/>
    <mergeCell ref="B40:C40"/>
    <mergeCell ref="B33:I33"/>
  </mergeCells>
  <pageMargins left="0.7" right="0.7" top="0.75" bottom="0.75" header="0.3" footer="0.3"/>
  <pageSetup scale="4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79F2-B10E-4656-9378-0730CD5BBD00}">
  <sheetPr codeName="Hoja15"/>
  <dimension ref="B2:K87"/>
  <sheetViews>
    <sheetView view="pageBreakPreview" topLeftCell="A25" zoomScale="90" zoomScaleNormal="100" zoomScaleSheetLayoutView="90" workbookViewId="0">
      <selection activeCell="F19" sqref="F19"/>
    </sheetView>
  </sheetViews>
  <sheetFormatPr baseColWidth="10" defaultColWidth="11.5703125" defaultRowHeight="13.5" x14ac:dyDescent="0.25"/>
  <cols>
    <col min="1" max="1" width="15.42578125" style="1" customWidth="1"/>
    <col min="2" max="2" width="11.5703125" style="1"/>
    <col min="3" max="3" width="67.42578125" style="1" bestFit="1" customWidth="1"/>
    <col min="4" max="6" width="11.5703125" style="1"/>
    <col min="7" max="7" width="11.5703125" style="1" customWidth="1"/>
    <col min="8" max="8" width="12.5703125" style="1" bestFit="1" customWidth="1"/>
    <col min="9" max="9" width="14.42578125" style="1" bestFit="1" customWidth="1"/>
    <col min="10" max="10" width="12.5703125" style="1" bestFit="1" customWidth="1"/>
    <col min="11" max="12" width="11.5703125" style="1" customWidth="1"/>
    <col min="13" max="16384" width="11.5703125" style="1"/>
  </cols>
  <sheetData>
    <row r="2" spans="2:11" ht="25.5" x14ac:dyDescent="0.35">
      <c r="B2" s="1751" t="s">
        <v>490</v>
      </c>
      <c r="C2" s="1751"/>
      <c r="D2" s="1751"/>
      <c r="E2" s="1751"/>
      <c r="F2" s="1751"/>
      <c r="G2" s="1751"/>
      <c r="H2" s="1751"/>
      <c r="I2" s="1751"/>
      <c r="J2" s="1751"/>
    </row>
    <row r="4" spans="2:11" s="120" customFormat="1" ht="25.5" x14ac:dyDescent="0.25">
      <c r="B4" s="1242" t="s">
        <v>0</v>
      </c>
      <c r="C4" s="1242" t="s">
        <v>1</v>
      </c>
      <c r="D4" s="1242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4" t="s">
        <v>3</v>
      </c>
      <c r="K4" s="1249">
        <f>+D22/1000</f>
        <v>1.3286</v>
      </c>
    </row>
    <row r="5" spans="2:11" x14ac:dyDescent="0.25">
      <c r="B5" s="6">
        <f>VLOOKUP(C5,[1]Hoja1!$B$2:$C$260,2,FALSE)</f>
        <v>1112001</v>
      </c>
      <c r="C5" s="30" t="s">
        <v>797</v>
      </c>
      <c r="D5" s="1595">
        <v>0.46514285999999994</v>
      </c>
      <c r="E5" s="1596">
        <v>35.01</v>
      </c>
      <c r="F5" s="896">
        <f>VLOOKUP(B5,[2]Hoja1!$C$2:$E$279,3,FALSE)</f>
        <v>3663.96</v>
      </c>
      <c r="G5" s="249">
        <f>D5*F5</f>
        <v>1704.2648333255997</v>
      </c>
      <c r="H5" s="896">
        <v>4222.72</v>
      </c>
      <c r="I5" s="249">
        <f>H5*D5</f>
        <v>1964.1680577791999</v>
      </c>
      <c r="J5" s="270">
        <f>((F5/H5)*100)-100</f>
        <v>-13.232229463473786</v>
      </c>
      <c r="K5" s="852">
        <f>$K$4*E5%</f>
        <v>0.46514285999999994</v>
      </c>
    </row>
    <row r="6" spans="2:11" x14ac:dyDescent="0.25">
      <c r="B6" s="6">
        <f>VLOOKUP(C6,[1]Hoja1!$B$2:$C$260,2,FALSE)</f>
        <v>1121009</v>
      </c>
      <c r="C6" s="30" t="s">
        <v>1272</v>
      </c>
      <c r="D6" s="31">
        <v>5.8192679999999997E-2</v>
      </c>
      <c r="E6" s="1596">
        <v>4.38</v>
      </c>
      <c r="F6" s="896">
        <f>VLOOKUP(B6,[2]Hoja1!$C$2:$E$279,3,FALSE)</f>
        <v>8741.6200000000008</v>
      </c>
      <c r="G6" s="1597">
        <f t="shared" ref="G6:G19" si="0">D6*F6</f>
        <v>508.69829534160004</v>
      </c>
      <c r="H6" s="896">
        <v>2033.73</v>
      </c>
      <c r="I6" s="249">
        <f t="shared" ref="I6:I19" si="1">H6*D6</f>
        <v>118.34819909639999</v>
      </c>
      <c r="J6" s="250">
        <f t="shared" ref="J6:J15" si="2">((F6/H6)*100)-100</f>
        <v>329.83188525517153</v>
      </c>
      <c r="K6" s="852">
        <f t="shared" ref="K6:K19" si="3">$K$4*E6%</f>
        <v>5.8192679999999997E-2</v>
      </c>
    </row>
    <row r="7" spans="2:11" x14ac:dyDescent="0.25">
      <c r="B7" s="6">
        <f>VLOOKUP(C7,[1]Hoja1!$B$2:$C$260,2,FALSE)</f>
        <v>1122007</v>
      </c>
      <c r="C7" s="30" t="s">
        <v>1067</v>
      </c>
      <c r="D7" s="31">
        <v>0.10642086000000001</v>
      </c>
      <c r="E7" s="1596">
        <v>8.01</v>
      </c>
      <c r="F7" s="896">
        <f>VLOOKUP(B7,[2]Hoja1!$C$2:$E$279,3,FALSE)</f>
        <v>11229.33</v>
      </c>
      <c r="G7" s="1597">
        <f t="shared" si="0"/>
        <v>1195.0349558238001</v>
      </c>
      <c r="H7" s="234">
        <v>0</v>
      </c>
      <c r="I7" s="249">
        <f t="shared" si="1"/>
        <v>0</v>
      </c>
      <c r="J7" s="250" t="e">
        <f t="shared" si="2"/>
        <v>#DIV/0!</v>
      </c>
      <c r="K7" s="852">
        <f>$K$4*E7%</f>
        <v>0.10642086000000001</v>
      </c>
    </row>
    <row r="8" spans="2:11" x14ac:dyDescent="0.25">
      <c r="B8" s="6">
        <f>VLOOKUP(C8,[1]Hoja1!$B$2:$C$260,2,FALSE)</f>
        <v>2906001</v>
      </c>
      <c r="C8" s="30" t="s">
        <v>831</v>
      </c>
      <c r="D8" s="31">
        <v>0.126217</v>
      </c>
      <c r="E8" s="1596">
        <v>9.5</v>
      </c>
      <c r="F8" s="896">
        <f>VLOOKUP(B8,[2]Hoja1!$C$2:$E$279,3,FALSE)</f>
        <v>1956.71</v>
      </c>
      <c r="G8" s="1597">
        <f t="shared" si="0"/>
        <v>246.97006607</v>
      </c>
      <c r="H8" s="914">
        <v>8910.1</v>
      </c>
      <c r="I8" s="249">
        <f t="shared" si="1"/>
        <v>1124.6060917</v>
      </c>
      <c r="J8" s="250">
        <f t="shared" si="2"/>
        <v>-78.039415943704341</v>
      </c>
      <c r="K8" s="852">
        <f t="shared" si="3"/>
        <v>0.126217</v>
      </c>
    </row>
    <row r="9" spans="2:11" x14ac:dyDescent="0.25">
      <c r="B9" s="6">
        <f>VLOOKUP(C9,[1]Hoja1!$B$2:$C$260,2,FALSE)</f>
        <v>1131002</v>
      </c>
      <c r="C9" s="30" t="s">
        <v>663</v>
      </c>
      <c r="D9" s="31">
        <v>0.36217636000000003</v>
      </c>
      <c r="E9" s="1596">
        <v>27.26</v>
      </c>
      <c r="F9" s="896">
        <f>VLOOKUP(B9,[2]Hoja1!$C$2:$E$279,3,FALSE)</f>
        <v>0</v>
      </c>
      <c r="G9" s="1597">
        <f t="shared" si="0"/>
        <v>0</v>
      </c>
      <c r="H9" s="914">
        <v>3508.01</v>
      </c>
      <c r="I9" s="249">
        <f t="shared" si="1"/>
        <v>1270.5182926436003</v>
      </c>
      <c r="J9" s="250">
        <f>((F9/H9)*100)-100</f>
        <v>-100</v>
      </c>
      <c r="K9" s="852">
        <f t="shared" si="3"/>
        <v>0.36217636000000003</v>
      </c>
    </row>
    <row r="10" spans="2:11" x14ac:dyDescent="0.25">
      <c r="B10" s="6">
        <v>1210005</v>
      </c>
      <c r="C10" s="30" t="s">
        <v>1155</v>
      </c>
      <c r="D10" s="31">
        <v>1.0628800000000001E-2</v>
      </c>
      <c r="E10" s="1596">
        <v>0.8</v>
      </c>
      <c r="F10" s="896">
        <f>VLOOKUP(B10,[2]Hoja1!$C$2:$E$279,3,FALSE)</f>
        <v>1356</v>
      </c>
      <c r="G10" s="1597">
        <f t="shared" si="0"/>
        <v>14.412652800000002</v>
      </c>
      <c r="H10" s="914">
        <v>3508.01</v>
      </c>
      <c r="I10" s="249"/>
      <c r="J10" s="250"/>
      <c r="K10" s="852">
        <f t="shared" si="3"/>
        <v>1.0628800000000001E-2</v>
      </c>
    </row>
    <row r="11" spans="2:11" x14ac:dyDescent="0.25">
      <c r="B11" s="6">
        <v>1210010</v>
      </c>
      <c r="C11" s="30" t="s">
        <v>1351</v>
      </c>
      <c r="D11" s="31">
        <v>7.0415800000000004E-3</v>
      </c>
      <c r="E11" s="1596">
        <v>0.53</v>
      </c>
      <c r="F11" s="896">
        <f>VLOOKUP(B11,[2]Hoja1!$C$2:$E$279,3,FALSE)</f>
        <v>11600</v>
      </c>
      <c r="G11" s="1597">
        <f t="shared" si="0"/>
        <v>81.682327999999998</v>
      </c>
      <c r="H11" s="914">
        <v>16100</v>
      </c>
      <c r="I11" s="249">
        <f t="shared" si="1"/>
        <v>113.369438</v>
      </c>
      <c r="J11" s="250">
        <f t="shared" si="2"/>
        <v>-27.950310559006212</v>
      </c>
      <c r="K11" s="852">
        <f t="shared" si="3"/>
        <v>7.0415800000000004E-3</v>
      </c>
    </row>
    <row r="12" spans="2:11" x14ac:dyDescent="0.25">
      <c r="B12" s="6">
        <f>VLOOKUP(C12,[1]Hoja1!$B$2:$C$260,2,FALSE)</f>
        <v>1210004</v>
      </c>
      <c r="C12" s="30" t="s">
        <v>1131</v>
      </c>
      <c r="D12" s="31">
        <v>2.12576E-3</v>
      </c>
      <c r="E12" s="1596">
        <v>0.16</v>
      </c>
      <c r="F12" s="896">
        <f>VLOOKUP(B12,[2]Hoja1!$C$2:$E$279,3,FALSE)</f>
        <v>3841</v>
      </c>
      <c r="G12" s="1597">
        <f t="shared" si="0"/>
        <v>8.1650441600000008</v>
      </c>
      <c r="H12" s="914">
        <v>19145.990000000002</v>
      </c>
      <c r="I12" s="249">
        <f t="shared" si="1"/>
        <v>40.699779702400001</v>
      </c>
      <c r="J12" s="250">
        <f t="shared" si="2"/>
        <v>-79.938357849346005</v>
      </c>
      <c r="K12" s="852">
        <f t="shared" si="3"/>
        <v>2.12576E-3</v>
      </c>
    </row>
    <row r="13" spans="2:11" x14ac:dyDescent="0.25">
      <c r="B13" s="6">
        <f>VLOOKUP(C13,[1]Hoja1!$B$2:$C$260,2,FALSE)</f>
        <v>121007</v>
      </c>
      <c r="C13" s="30" t="s">
        <v>821</v>
      </c>
      <c r="D13" s="31">
        <v>6.6064990925138612E-4</v>
      </c>
      <c r="E13" s="1596">
        <v>4.9725267894880784E-2</v>
      </c>
      <c r="F13" s="896">
        <f>VLOOKUP(B13,[2]Hoja1!$C$2:$E$279,3,FALSE)</f>
        <v>16905</v>
      </c>
      <c r="G13" s="1597">
        <f t="shared" si="0"/>
        <v>11.168286715894682</v>
      </c>
      <c r="H13" s="234">
        <v>20299</v>
      </c>
      <c r="I13" s="249">
        <f t="shared" si="1"/>
        <v>13.410532507893887</v>
      </c>
      <c r="J13" s="250">
        <f t="shared" si="2"/>
        <v>-16.720035469727563</v>
      </c>
      <c r="K13" s="852">
        <f t="shared" si="3"/>
        <v>6.6064990925138612E-4</v>
      </c>
    </row>
    <row r="14" spans="2:11" x14ac:dyDescent="0.25">
      <c r="B14" s="6">
        <f>VLOOKUP(C14,[1]Hoja1!$B$2:$C$260,2,FALSE)</f>
        <v>1230003</v>
      </c>
      <c r="C14" s="30" t="s">
        <v>1132</v>
      </c>
      <c r="D14" s="31">
        <v>1.8577475448148979E-2</v>
      </c>
      <c r="E14" s="1596">
        <v>1.3982745332040478</v>
      </c>
      <c r="F14" s="896">
        <f>VLOOKUP(B14,[2]Hoja1!$C$2:$E$279,3,FALSE)</f>
        <v>20099.990000000002</v>
      </c>
      <c r="G14" s="1597">
        <f t="shared" si="0"/>
        <v>373.40707073304003</v>
      </c>
      <c r="H14" s="234">
        <v>17430</v>
      </c>
      <c r="I14" s="249">
        <f t="shared" si="1"/>
        <v>323.8053970612367</v>
      </c>
      <c r="J14" s="250">
        <f>((F14/H14)*100)-100</f>
        <v>15.318359150889279</v>
      </c>
      <c r="K14" s="852">
        <f t="shared" si="3"/>
        <v>1.8577475448148979E-2</v>
      </c>
    </row>
    <row r="15" spans="2:11" x14ac:dyDescent="0.25">
      <c r="B15" s="6">
        <f>VLOOKUP(C15,[1]Hoja1!$B$2:$C$260,2,FALSE)</f>
        <v>1220009</v>
      </c>
      <c r="C15" s="30" t="s">
        <v>1133</v>
      </c>
      <c r="D15" s="31">
        <v>6.6064990925138612E-4</v>
      </c>
      <c r="E15" s="1596">
        <v>4.9725267894880784E-2</v>
      </c>
      <c r="F15" s="896">
        <f>VLOOKUP(B15,[2]Hoja1!$C$2:$E$279,3,FALSE)</f>
        <v>21312.16</v>
      </c>
      <c r="G15" s="1597">
        <f t="shared" si="0"/>
        <v>14.079876569951022</v>
      </c>
      <c r="H15" s="914">
        <v>9565.2099999999991</v>
      </c>
      <c r="I15" s="249">
        <f t="shared" si="1"/>
        <v>6.3192551184704504</v>
      </c>
      <c r="J15" s="250">
        <f t="shared" si="2"/>
        <v>122.80911762522729</v>
      </c>
      <c r="K15" s="852">
        <f t="shared" si="3"/>
        <v>6.6064990925138612E-4</v>
      </c>
    </row>
    <row r="16" spans="2:11" x14ac:dyDescent="0.25">
      <c r="B16" s="6">
        <f>VLOOKUP(C16,[1]Hoja1!$B$2:$C$260,2,FALSE)</f>
        <v>1220005</v>
      </c>
      <c r="C16" s="30" t="s">
        <v>1135</v>
      </c>
      <c r="D16" s="31">
        <v>6.6064990925138612E-4</v>
      </c>
      <c r="E16" s="1596">
        <v>4.9725267894880784E-2</v>
      </c>
      <c r="F16" s="896">
        <f>VLOOKUP(B16,[2]Hoja1!$C$2:$E$279,3,FALSE)</f>
        <v>17429.990000000002</v>
      </c>
      <c r="G16" s="1597">
        <f t="shared" si="0"/>
        <v>11.515121311752569</v>
      </c>
      <c r="H16" s="234">
        <v>4500</v>
      </c>
      <c r="I16" s="249">
        <f t="shared" si="1"/>
        <v>2.9729245916312377</v>
      </c>
      <c r="J16" s="250">
        <f>((F16/H16)*100)-100</f>
        <v>287.33311111111112</v>
      </c>
      <c r="K16" s="852">
        <f t="shared" si="3"/>
        <v>6.6064990925138612E-4</v>
      </c>
    </row>
    <row r="17" spans="2:11" x14ac:dyDescent="0.25">
      <c r="B17" s="6">
        <f>VLOOKUP(C17,[1]Hoja1!$B$2:$C$260,2,FALSE)</f>
        <v>1260009</v>
      </c>
      <c r="C17" s="30" t="s">
        <v>1027</v>
      </c>
      <c r="D17" s="31">
        <v>5.285199274011089E-2</v>
      </c>
      <c r="E17" s="1596">
        <v>3.978021431590463</v>
      </c>
      <c r="F17" s="896">
        <f>VLOOKUP(B17,[2]Hoja1!$C$2:$E$279,3,FALSE)</f>
        <v>7033.69</v>
      </c>
      <c r="G17" s="1597">
        <f t="shared" si="0"/>
        <v>371.74453281619054</v>
      </c>
      <c r="H17" s="896">
        <v>12278.37</v>
      </c>
      <c r="I17" s="249">
        <f t="shared" si="1"/>
        <v>648.93632210039539</v>
      </c>
      <c r="J17" s="250">
        <f>((F17/H17)*100)-100</f>
        <v>-42.714790318258864</v>
      </c>
      <c r="K17" s="852">
        <f t="shared" si="3"/>
        <v>5.285199274011089E-2</v>
      </c>
    </row>
    <row r="18" spans="2:11" x14ac:dyDescent="0.25">
      <c r="B18" s="6">
        <f>VLOOKUP(C18,[1]Hoja1!$B$2:$C$260,2,FALSE)</f>
        <v>1260011</v>
      </c>
      <c r="C18" s="30" t="s">
        <v>739</v>
      </c>
      <c r="D18" s="321">
        <v>0.11625249999999999</v>
      </c>
      <c r="E18" s="797">
        <v>8.75</v>
      </c>
      <c r="F18" s="896">
        <f>VLOOKUP(B18,[2]Hoja1!$C$2:$E$279,3,FALSE)</f>
        <v>4450.01</v>
      </c>
      <c r="G18" s="851">
        <f t="shared" si="0"/>
        <v>517.32478752500003</v>
      </c>
      <c r="H18" s="95">
        <v>53849.37</v>
      </c>
      <c r="I18" s="245">
        <f t="shared" si="1"/>
        <v>6260.1238859249997</v>
      </c>
      <c r="J18" s="250">
        <f>((F18/H18)*100)-100</f>
        <v>-91.736189299893383</v>
      </c>
      <c r="K18" s="852">
        <f t="shared" si="3"/>
        <v>0.11625249999999999</v>
      </c>
    </row>
    <row r="19" spans="2:11" x14ac:dyDescent="0.25">
      <c r="B19" s="6">
        <f>VLOOKUP(C19,[1]Hoja1!$B$2:$C$260,2,FALSE)</f>
        <v>1270009</v>
      </c>
      <c r="C19" s="6" t="s">
        <v>1225</v>
      </c>
      <c r="D19" s="798">
        <v>1.2552348275776336E-3</v>
      </c>
      <c r="E19" s="925">
        <v>9.4478009000273491E-2</v>
      </c>
      <c r="F19" s="896">
        <f>VLOOKUP(B19,[2]Hoja1!$C$2:$E$279,3,FALSE)</f>
        <v>57046.53</v>
      </c>
      <c r="G19" s="851">
        <f t="shared" si="0"/>
        <v>71.606791248452296</v>
      </c>
      <c r="H19" s="799">
        <v>8850.84</v>
      </c>
      <c r="I19" s="245">
        <f t="shared" si="1"/>
        <v>11.109882621317222</v>
      </c>
      <c r="J19" s="250">
        <f>((F19/H19)*100)-100</f>
        <v>544.53238336700247</v>
      </c>
      <c r="K19" s="852">
        <f t="shared" si="3"/>
        <v>1.2552348275776336E-3</v>
      </c>
    </row>
    <row r="20" spans="2:11" s="38" customFormat="1" x14ac:dyDescent="0.25">
      <c r="B20" s="1752" t="s">
        <v>37</v>
      </c>
      <c r="C20" s="1752"/>
      <c r="D20" s="1245">
        <f>SUM(D5:D19)</f>
        <v>1.3288650527435921</v>
      </c>
      <c r="E20" s="1246">
        <f>SUM(E5:E19)</f>
        <v>100.01994977747943</v>
      </c>
      <c r="F20" s="1246"/>
      <c r="G20" s="1247">
        <f>SUM(G5:G19)</f>
        <v>5130.07464244128</v>
      </c>
      <c r="H20" s="1248"/>
      <c r="I20" s="1247">
        <f>SUM(I5:I19)</f>
        <v>11898.388058847542</v>
      </c>
      <c r="J20" s="1248">
        <f>((G20/I20)*100)-100</f>
        <v>-56.884288719877482</v>
      </c>
      <c r="K20" s="1250"/>
    </row>
    <row r="21" spans="2:11" x14ac:dyDescent="0.25">
      <c r="J21" s="873"/>
    </row>
    <row r="22" spans="2:11" ht="25.5" x14ac:dyDescent="0.35">
      <c r="B22" s="1760" t="s">
        <v>50</v>
      </c>
      <c r="C22" s="1754"/>
      <c r="D22" s="947">
        <f>+C25+(C25*C31%)</f>
        <v>1328.6</v>
      </c>
      <c r="E22" s="97"/>
      <c r="F22" s="97"/>
      <c r="G22" s="97"/>
      <c r="H22" s="97"/>
      <c r="I22" s="97"/>
      <c r="J22" s="97"/>
    </row>
    <row r="23" spans="2:11" x14ac:dyDescent="0.25">
      <c r="B23" s="1264" t="s">
        <v>38</v>
      </c>
      <c r="C23" s="93" t="s">
        <v>151</v>
      </c>
      <c r="D23" s="38"/>
      <c r="H23" s="38"/>
    </row>
    <row r="24" spans="2:11" x14ac:dyDescent="0.25">
      <c r="B24" s="1265" t="s">
        <v>39</v>
      </c>
      <c r="C24" s="21" t="s">
        <v>152</v>
      </c>
      <c r="D24" s="38"/>
      <c r="H24" s="38"/>
    </row>
    <row r="25" spans="2:11" x14ac:dyDescent="0.25">
      <c r="B25" s="1265" t="s">
        <v>40</v>
      </c>
      <c r="C25" s="21">
        <v>1300</v>
      </c>
      <c r="D25" s="38"/>
      <c r="H25" s="38"/>
    </row>
    <row r="26" spans="2:11" x14ac:dyDescent="0.25">
      <c r="B26" s="1265" t="s">
        <v>41</v>
      </c>
      <c r="C26" s="21">
        <v>0</v>
      </c>
      <c r="D26" s="38"/>
      <c r="H26" s="38"/>
    </row>
    <row r="27" spans="2:11" ht="25.5" x14ac:dyDescent="0.35">
      <c r="B27" s="1265" t="s">
        <v>42</v>
      </c>
      <c r="C27" s="21">
        <v>0.5</v>
      </c>
      <c r="D27" s="340"/>
      <c r="E27" s="340"/>
      <c r="F27" s="340"/>
      <c r="H27" s="38"/>
    </row>
    <row r="28" spans="2:11" x14ac:dyDescent="0.25">
      <c r="B28" s="1265" t="s">
        <v>43</v>
      </c>
      <c r="C28" s="21">
        <v>0.5</v>
      </c>
      <c r="D28" s="38"/>
      <c r="H28" s="38"/>
    </row>
    <row r="29" spans="2:11" x14ac:dyDescent="0.25">
      <c r="B29" s="1265" t="s">
        <v>44</v>
      </c>
      <c r="C29" s="21">
        <v>0.5</v>
      </c>
      <c r="D29" s="38"/>
      <c r="H29" s="38"/>
    </row>
    <row r="30" spans="2:11" x14ac:dyDescent="0.25">
      <c r="B30" s="1265" t="s">
        <v>45</v>
      </c>
      <c r="C30" s="21">
        <v>0.7</v>
      </c>
      <c r="D30" s="38"/>
      <c r="H30" s="38"/>
    </row>
    <row r="31" spans="2:11" x14ac:dyDescent="0.25">
      <c r="B31" s="1265" t="s">
        <v>46</v>
      </c>
      <c r="C31" s="21">
        <f>C30+C29+C28+C27</f>
        <v>2.2000000000000002</v>
      </c>
      <c r="D31" s="38"/>
      <c r="H31" s="38"/>
    </row>
    <row r="32" spans="2:11" x14ac:dyDescent="0.25">
      <c r="H32" s="97"/>
      <c r="I32" s="97"/>
    </row>
    <row r="33" spans="2:11" ht="25.5" x14ac:dyDescent="0.35">
      <c r="B33" s="1761" t="s">
        <v>47</v>
      </c>
      <c r="C33" s="1762"/>
      <c r="D33" s="1762"/>
      <c r="E33" s="1762"/>
      <c r="F33" s="1762"/>
      <c r="G33" s="1762"/>
      <c r="H33" s="1762"/>
      <c r="I33" s="1762"/>
    </row>
    <row r="34" spans="2:11" s="28" customFormat="1" ht="25.5" x14ac:dyDescent="0.25">
      <c r="B34" s="1255" t="s">
        <v>0</v>
      </c>
      <c r="C34" s="1255" t="s">
        <v>1</v>
      </c>
      <c r="D34" s="1242" t="s">
        <v>2</v>
      </c>
      <c r="E34" s="1243" t="str">
        <f>+'CIF Y PV'!$F$4</f>
        <v xml:space="preserve">JUN-COP/UMB </v>
      </c>
      <c r="F34" s="1243" t="str">
        <f>+'CIF Y PV'!$G$4</f>
        <v>JUN-COP/APP</v>
      </c>
      <c r="G34" s="1243" t="str">
        <f>+'CIF Y PV'!$H$4</f>
        <v xml:space="preserve">MAY-COP/UMB </v>
      </c>
      <c r="H34" s="1243" t="str">
        <f>+'CIF Y PV'!$I$4</f>
        <v>MAY-COP/APP</v>
      </c>
      <c r="I34" s="1244" t="s">
        <v>3</v>
      </c>
      <c r="J34" s="28">
        <v>4119</v>
      </c>
    </row>
    <row r="35" spans="2:11" x14ac:dyDescent="0.25">
      <c r="B35" s="4">
        <v>1380005</v>
      </c>
      <c r="C35" s="4" t="s">
        <v>1029</v>
      </c>
      <c r="D35" s="24">
        <v>2</v>
      </c>
      <c r="E35" s="24">
        <f>VLOOKUP(B35,[2]Hoja1!$C$2:$E$279,3,FALSE)</f>
        <v>29.02</v>
      </c>
      <c r="F35" s="24">
        <f>D35*E35</f>
        <v>58.04</v>
      </c>
      <c r="G35" s="24">
        <v>31.68</v>
      </c>
      <c r="H35" s="24">
        <f>G35*D35</f>
        <v>63.36</v>
      </c>
      <c r="I35" s="643">
        <f>((E35/G35)*100)-100</f>
        <v>-8.3964646464646506</v>
      </c>
      <c r="J35" s="153">
        <f>J34*D35</f>
        <v>8238</v>
      </c>
    </row>
    <row r="36" spans="2:11" x14ac:dyDescent="0.25">
      <c r="B36" s="4">
        <v>1380003</v>
      </c>
      <c r="C36" s="4" t="s">
        <v>1137</v>
      </c>
      <c r="D36" s="24">
        <v>1</v>
      </c>
      <c r="E36" s="24">
        <f>VLOOKUP(B36,[2]Hoja1!$C$2:$E$279,3,FALSE)</f>
        <v>56.19</v>
      </c>
      <c r="F36" s="24">
        <f>D36*E36</f>
        <v>56.19</v>
      </c>
      <c r="G36" s="24">
        <v>57.87</v>
      </c>
      <c r="H36" s="24">
        <f>G36*D36</f>
        <v>57.87</v>
      </c>
      <c r="I36" s="643">
        <f>((E36/G36)*100)-100</f>
        <v>-2.9030585795749175</v>
      </c>
      <c r="J36" s="153">
        <f>J34*D36</f>
        <v>4119</v>
      </c>
    </row>
    <row r="37" spans="2:11" x14ac:dyDescent="0.25">
      <c r="B37" s="4">
        <v>1370025</v>
      </c>
      <c r="C37" s="4" t="s">
        <v>1031</v>
      </c>
      <c r="D37" s="24">
        <v>0.59</v>
      </c>
      <c r="E37" s="24">
        <f>VLOOKUP(B37,[2]Hoja1!$C$2:$E$279,3,FALSE)</f>
        <v>555.04</v>
      </c>
      <c r="F37" s="24">
        <f>D37*E37</f>
        <v>327.47359999999998</v>
      </c>
      <c r="G37" s="643">
        <v>600.79999999999995</v>
      </c>
      <c r="H37" s="24">
        <f>G37*D37</f>
        <v>354.47199999999998</v>
      </c>
      <c r="I37" s="643">
        <f>((E37/G37)*100)-100</f>
        <v>-7.6165113182423454</v>
      </c>
      <c r="J37" s="153">
        <f>J34*D37</f>
        <v>2430.21</v>
      </c>
    </row>
    <row r="38" spans="2:11" x14ac:dyDescent="0.25">
      <c r="B38" s="1256"/>
      <c r="C38" s="1256" t="s">
        <v>37</v>
      </c>
      <c r="D38" s="1257"/>
      <c r="E38" s="1257"/>
      <c r="F38" s="1257">
        <f>SUM(F35:F37)</f>
        <v>441.70359999999994</v>
      </c>
      <c r="G38" s="1257"/>
      <c r="H38" s="1257">
        <f>SUM(H35:H37)</f>
        <v>475.702</v>
      </c>
      <c r="I38" s="1268">
        <f>((F38/H38)*100)-100</f>
        <v>-7.1469953878688983</v>
      </c>
    </row>
    <row r="39" spans="2:11" x14ac:dyDescent="0.25">
      <c r="H39" s="1" t="str">
        <f>+'CIF Y PV'!$G$1</f>
        <v>MAYO</v>
      </c>
      <c r="J39" s="38"/>
    </row>
    <row r="40" spans="2:11" x14ac:dyDescent="0.25">
      <c r="B40" s="1750" t="s">
        <v>537</v>
      </c>
      <c r="C40" s="1750"/>
      <c r="E40" s="881"/>
      <c r="F40" s="881"/>
      <c r="G40" s="881"/>
      <c r="H40" s="1269">
        <f>F38+G20</f>
        <v>5571.7782424412799</v>
      </c>
      <c r="I40" s="28"/>
      <c r="J40" s="881"/>
      <c r="K40" s="28"/>
    </row>
    <row r="41" spans="2:11" x14ac:dyDescent="0.25">
      <c r="B41" s="1758" t="s">
        <v>48</v>
      </c>
      <c r="C41" s="1759"/>
      <c r="E41" s="881"/>
      <c r="F41" s="881"/>
      <c r="G41" s="881"/>
      <c r="H41" s="1269">
        <f>+('CIF Y PV'!C3/1000)*1300</f>
        <v>2457</v>
      </c>
      <c r="I41" s="139"/>
      <c r="J41" s="881"/>
      <c r="K41" s="139"/>
    </row>
    <row r="42" spans="2:11" x14ac:dyDescent="0.25">
      <c r="B42" s="1758" t="s">
        <v>538</v>
      </c>
      <c r="C42" s="1759"/>
      <c r="E42" s="881"/>
      <c r="F42" s="881"/>
      <c r="G42" s="881"/>
      <c r="H42" s="1269">
        <f>+H40+H41</f>
        <v>8028.7782424412799</v>
      </c>
      <c r="I42" s="140"/>
      <c r="J42" s="881"/>
      <c r="K42" s="140"/>
    </row>
    <row r="43" spans="2:11" x14ac:dyDescent="0.25">
      <c r="B43" s="1750" t="s">
        <v>49</v>
      </c>
      <c r="C43" s="1750"/>
      <c r="E43" s="881"/>
      <c r="F43" s="881"/>
      <c r="G43" s="881"/>
      <c r="H43" s="1269">
        <f>'CIF Y PV'!C56</f>
        <v>17701.480800000001</v>
      </c>
      <c r="J43" s="881"/>
      <c r="K43" s="339"/>
    </row>
    <row r="44" spans="2:11" x14ac:dyDescent="0.25">
      <c r="B44" s="1750" t="s">
        <v>805</v>
      </c>
      <c r="C44" s="1750"/>
      <c r="E44" s="881"/>
      <c r="F44" s="881"/>
      <c r="G44" s="881"/>
      <c r="H44" s="1229">
        <f>+(H43-H42)/H43</f>
        <v>0.54643465520459289</v>
      </c>
      <c r="I44" s="27"/>
      <c r="J44" s="38"/>
      <c r="K44" s="27">
        <f>1-K43</f>
        <v>1</v>
      </c>
    </row>
    <row r="45" spans="2:11" x14ac:dyDescent="0.25">
      <c r="H45" s="38"/>
      <c r="J45" s="38"/>
    </row>
    <row r="46" spans="2:11" x14ac:dyDescent="0.25">
      <c r="H46" s="38"/>
      <c r="I46" s="853"/>
    </row>
    <row r="47" spans="2:11" ht="25.5" x14ac:dyDescent="0.35">
      <c r="D47" s="340"/>
      <c r="E47" s="340"/>
      <c r="F47" s="340"/>
    </row>
    <row r="56" spans="4:6" ht="25.5" x14ac:dyDescent="0.35">
      <c r="D56" s="340"/>
      <c r="E56" s="340"/>
      <c r="F56" s="340"/>
    </row>
    <row r="72" spans="4:6" ht="25.5" x14ac:dyDescent="0.35">
      <c r="D72" s="340"/>
      <c r="E72" s="340"/>
      <c r="F72" s="340"/>
    </row>
    <row r="78" spans="4:6" ht="25.5" x14ac:dyDescent="0.35">
      <c r="D78" s="340"/>
      <c r="E78" s="340"/>
      <c r="F78" s="340"/>
    </row>
    <row r="83" spans="4:6" ht="25.5" x14ac:dyDescent="0.35">
      <c r="D83" s="340"/>
      <c r="E83" s="340"/>
      <c r="F83" s="340"/>
    </row>
    <row r="87" spans="4:6" ht="25.5" x14ac:dyDescent="0.35">
      <c r="D87" s="340"/>
      <c r="E87" s="340"/>
      <c r="F87" s="340"/>
    </row>
  </sheetData>
  <mergeCells count="9">
    <mergeCell ref="B44:C44"/>
    <mergeCell ref="B41:C41"/>
    <mergeCell ref="B42:C42"/>
    <mergeCell ref="B43:C43"/>
    <mergeCell ref="B2:J2"/>
    <mergeCell ref="B20:C20"/>
    <mergeCell ref="B22:C22"/>
    <mergeCell ref="B33:I33"/>
    <mergeCell ref="B40:C40"/>
  </mergeCells>
  <pageMargins left="0.7" right="0.7" top="0.75" bottom="0.75" header="0.3" footer="0.3"/>
  <pageSetup scale="4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CF6D-35BD-4324-8E45-322A1507BE12}">
  <sheetPr codeName="Hoja16"/>
  <dimension ref="B2:K52"/>
  <sheetViews>
    <sheetView view="pageBreakPreview" zoomScaleNormal="85" zoomScaleSheetLayoutView="100" workbookViewId="0">
      <selection activeCell="F19" sqref="F19"/>
    </sheetView>
  </sheetViews>
  <sheetFormatPr baseColWidth="10" defaultColWidth="11.5703125" defaultRowHeight="13.5" x14ac:dyDescent="0.25"/>
  <cols>
    <col min="1" max="1" width="14.7109375" style="1" customWidth="1"/>
    <col min="2" max="2" width="11.5703125" style="1"/>
    <col min="3" max="3" width="67.42578125" style="1" bestFit="1" customWidth="1"/>
    <col min="4" max="7" width="11.5703125" style="1"/>
    <col min="8" max="8" width="12.5703125" style="1" bestFit="1" customWidth="1"/>
    <col min="9" max="9" width="14.42578125" style="1" bestFit="1" customWidth="1"/>
    <col min="10" max="10" width="12.5703125" style="1" bestFit="1" customWidth="1"/>
    <col min="11" max="16384" width="11.5703125" style="1"/>
  </cols>
  <sheetData>
    <row r="2" spans="2:11" ht="25.5" x14ac:dyDescent="0.25">
      <c r="B2" s="1743" t="s">
        <v>163</v>
      </c>
      <c r="C2" s="1743"/>
      <c r="D2" s="1743"/>
      <c r="E2" s="1743"/>
      <c r="F2" s="1743"/>
      <c r="G2" s="1743"/>
      <c r="H2" s="1743"/>
      <c r="I2" s="1743"/>
      <c r="J2" s="1743"/>
    </row>
    <row r="4" spans="2:11" s="120" customFormat="1" ht="25.5" x14ac:dyDescent="0.25">
      <c r="B4" s="1271" t="s">
        <v>0</v>
      </c>
      <c r="C4" s="1271" t="s">
        <v>1</v>
      </c>
      <c r="D4" s="1271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4" t="s">
        <v>3</v>
      </c>
      <c r="K4" s="1272">
        <f>+D22/1000</f>
        <v>1.5329999999999999</v>
      </c>
    </row>
    <row r="5" spans="2:11" x14ac:dyDescent="0.25">
      <c r="B5" s="6">
        <f>VLOOKUP(C5,[1]Hoja1!$B$2:$C$260,2,FALSE)</f>
        <v>1112001</v>
      </c>
      <c r="C5" s="6" t="s">
        <v>797</v>
      </c>
      <c r="D5" s="103">
        <v>0.53670329999999988</v>
      </c>
      <c r="E5" s="797">
        <v>35.01</v>
      </c>
      <c r="F5" s="896">
        <f>VLOOKUP(B5,[2]Hoja1!$C$2:$E$279,3,FALSE)</f>
        <v>3663.96</v>
      </c>
      <c r="G5" s="851">
        <f>D5*F5</f>
        <v>1966.4594230679995</v>
      </c>
      <c r="H5" s="896">
        <v>4222.72</v>
      </c>
      <c r="I5" s="245">
        <f>H5*D5</f>
        <v>2266.3477589759996</v>
      </c>
      <c r="J5" s="270">
        <f>((F5/H5)*100)-100</f>
        <v>-13.232229463473786</v>
      </c>
      <c r="K5" s="852">
        <f>$K$4*E5%</f>
        <v>0.53670329999999988</v>
      </c>
    </row>
    <row r="6" spans="2:11" x14ac:dyDescent="0.25">
      <c r="B6" s="6">
        <f>VLOOKUP(C6,[1]Hoja1!$B$2:$C$260,2,FALSE)</f>
        <v>1121009</v>
      </c>
      <c r="C6" s="6" t="s">
        <v>1272</v>
      </c>
      <c r="D6" s="7">
        <v>6.7145399999999994E-2</v>
      </c>
      <c r="E6" s="797">
        <v>4.38</v>
      </c>
      <c r="F6" s="896">
        <f>VLOOKUP(B6,[2]Hoja1!$C$2:$E$279,3,FALSE)</f>
        <v>8741.6200000000008</v>
      </c>
      <c r="G6" s="851">
        <f t="shared" ref="G6:G19" si="0">D6*F6</f>
        <v>586.95957154799999</v>
      </c>
      <c r="H6" s="896">
        <v>2033.73</v>
      </c>
      <c r="I6" s="245">
        <f t="shared" ref="I6:I19" si="1">H6*D6</f>
        <v>136.55561434199998</v>
      </c>
      <c r="J6" s="250">
        <f t="shared" ref="J6:J15" si="2">((F6/H6)*100)-100</f>
        <v>329.83188525517153</v>
      </c>
      <c r="K6" s="852">
        <f t="shared" ref="K6:K19" si="3">$K$4*E6%</f>
        <v>6.7145399999999994E-2</v>
      </c>
    </row>
    <row r="7" spans="2:11" x14ac:dyDescent="0.25">
      <c r="B7" s="6">
        <f>VLOOKUP(C7,[1]Hoja1!$B$2:$C$260,2,FALSE)</f>
        <v>1122007</v>
      </c>
      <c r="C7" s="6" t="s">
        <v>1067</v>
      </c>
      <c r="D7" s="7">
        <v>0.12279329999999999</v>
      </c>
      <c r="E7" s="797">
        <v>8.01</v>
      </c>
      <c r="F7" s="896">
        <f>VLOOKUP(B7,[2]Hoja1!$C$2:$E$279,3,FALSE)</f>
        <v>11229.33</v>
      </c>
      <c r="G7" s="851">
        <f t="shared" si="0"/>
        <v>1378.8864874889998</v>
      </c>
      <c r="H7" s="95">
        <v>0</v>
      </c>
      <c r="I7" s="245">
        <f t="shared" si="1"/>
        <v>0</v>
      </c>
      <c r="J7" s="250" t="e">
        <f t="shared" si="2"/>
        <v>#DIV/0!</v>
      </c>
      <c r="K7" s="852">
        <f t="shared" si="3"/>
        <v>0.12279329999999999</v>
      </c>
    </row>
    <row r="8" spans="2:11" x14ac:dyDescent="0.25">
      <c r="B8" s="6">
        <f>VLOOKUP(C8,[1]Hoja1!$B$2:$C$260,2,FALSE)</f>
        <v>2906001</v>
      </c>
      <c r="C8" s="6" t="s">
        <v>831</v>
      </c>
      <c r="D8" s="7">
        <v>0.14563499999999999</v>
      </c>
      <c r="E8" s="797">
        <v>9.5</v>
      </c>
      <c r="F8" s="896">
        <f>VLOOKUP(B8,[2]Hoja1!$C$2:$E$279,3,FALSE)</f>
        <v>1956.71</v>
      </c>
      <c r="G8" s="851">
        <f t="shared" si="0"/>
        <v>284.96546085</v>
      </c>
      <c r="H8" s="914">
        <v>8910.1</v>
      </c>
      <c r="I8" s="245">
        <f t="shared" si="1"/>
        <v>1297.6224135</v>
      </c>
      <c r="J8" s="250">
        <f t="shared" si="2"/>
        <v>-78.039415943704341</v>
      </c>
      <c r="K8" s="852">
        <f t="shared" si="3"/>
        <v>0.14563499999999999</v>
      </c>
    </row>
    <row r="9" spans="2:11" x14ac:dyDescent="0.25">
      <c r="B9" s="6">
        <f>VLOOKUP(C9,[1]Hoja1!$B$2:$C$260,2,FALSE)</f>
        <v>1131002</v>
      </c>
      <c r="C9" s="6" t="s">
        <v>663</v>
      </c>
      <c r="D9" s="7">
        <v>0.41789579999999998</v>
      </c>
      <c r="E9" s="797">
        <v>27.26</v>
      </c>
      <c r="F9" s="896">
        <f>VLOOKUP(B9,[2]Hoja1!$C$2:$E$279,3,FALSE)</f>
        <v>0</v>
      </c>
      <c r="G9" s="851">
        <f t="shared" si="0"/>
        <v>0</v>
      </c>
      <c r="H9" s="914">
        <v>3508.01</v>
      </c>
      <c r="I9" s="245">
        <f t="shared" si="1"/>
        <v>1465.9826453580001</v>
      </c>
      <c r="J9" s="250">
        <f>((F9/H9)*100)-100</f>
        <v>-100</v>
      </c>
      <c r="K9" s="852">
        <f t="shared" si="3"/>
        <v>0.41789579999999998</v>
      </c>
    </row>
    <row r="10" spans="2:11" x14ac:dyDescent="0.25">
      <c r="B10" s="6">
        <v>1210005</v>
      </c>
      <c r="C10" s="6" t="s">
        <v>1155</v>
      </c>
      <c r="D10" s="7">
        <v>1.2263999999999999E-2</v>
      </c>
      <c r="E10" s="797">
        <v>0.8</v>
      </c>
      <c r="F10" s="896">
        <f>VLOOKUP(B10,[2]Hoja1!$C$2:$E$279,3,FALSE)</f>
        <v>1356</v>
      </c>
      <c r="G10" s="851">
        <f t="shared" si="0"/>
        <v>16.629983999999997</v>
      </c>
      <c r="H10" s="914"/>
      <c r="I10" s="245"/>
      <c r="J10" s="250"/>
      <c r="K10" s="852">
        <f t="shared" si="3"/>
        <v>1.2263999999999999E-2</v>
      </c>
    </row>
    <row r="11" spans="2:11" x14ac:dyDescent="0.25">
      <c r="B11" s="6">
        <v>1210010</v>
      </c>
      <c r="C11" s="6" t="s">
        <v>1351</v>
      </c>
      <c r="D11" s="7">
        <v>8.1248999999999991E-3</v>
      </c>
      <c r="E11" s="797">
        <v>0.53</v>
      </c>
      <c r="F11" s="896">
        <f>VLOOKUP(B11,[2]Hoja1!$C$2:$E$279,3,FALSE)</f>
        <v>11600</v>
      </c>
      <c r="G11" s="851">
        <f t="shared" si="0"/>
        <v>94.248839999999987</v>
      </c>
      <c r="H11" s="880">
        <v>16100</v>
      </c>
      <c r="I11" s="245">
        <f t="shared" si="1"/>
        <v>130.81088999999997</v>
      </c>
      <c r="J11" s="250">
        <f t="shared" si="2"/>
        <v>-27.950310559006212</v>
      </c>
      <c r="K11" s="852">
        <f t="shared" si="3"/>
        <v>8.1248999999999991E-3</v>
      </c>
    </row>
    <row r="12" spans="2:11" x14ac:dyDescent="0.25">
      <c r="B12" s="6">
        <f>VLOOKUP(C12,[1]Hoja1!$B$2:$C$260,2,FALSE)</f>
        <v>1210004</v>
      </c>
      <c r="C12" s="6" t="s">
        <v>1131</v>
      </c>
      <c r="D12" s="7">
        <v>2.4527999999999998E-3</v>
      </c>
      <c r="E12" s="797">
        <v>0.16</v>
      </c>
      <c r="F12" s="896">
        <f>VLOOKUP(B12,[2]Hoja1!$C$2:$E$279,3,FALSE)</f>
        <v>3841</v>
      </c>
      <c r="G12" s="851">
        <f t="shared" si="0"/>
        <v>9.4212047999999999</v>
      </c>
      <c r="H12" s="880">
        <v>19145.990000000002</v>
      </c>
      <c r="I12" s="245">
        <f t="shared" si="1"/>
        <v>46.961284272</v>
      </c>
      <c r="J12" s="250">
        <f t="shared" si="2"/>
        <v>-79.938357849346005</v>
      </c>
      <c r="K12" s="852">
        <f t="shared" si="3"/>
        <v>2.4527999999999998E-3</v>
      </c>
    </row>
    <row r="13" spans="2:11" x14ac:dyDescent="0.25">
      <c r="B13" s="6">
        <f>VLOOKUP(C13,[1]Hoja1!$B$2:$C$260,2,FALSE)</f>
        <v>121007</v>
      </c>
      <c r="C13" s="6" t="s">
        <v>821</v>
      </c>
      <c r="D13" s="7">
        <v>7.6228835682852242E-4</v>
      </c>
      <c r="E13" s="797">
        <v>4.9725267894880784E-2</v>
      </c>
      <c r="F13" s="896">
        <f>VLOOKUP(B13,[2]Hoja1!$C$2:$E$279,3,FALSE)</f>
        <v>16905</v>
      </c>
      <c r="G13" s="851">
        <f t="shared" si="0"/>
        <v>12.886484672186171</v>
      </c>
      <c r="H13" s="95">
        <v>20299</v>
      </c>
      <c r="I13" s="245">
        <f t="shared" si="1"/>
        <v>15.473691355262176</v>
      </c>
      <c r="J13" s="250">
        <f t="shared" si="2"/>
        <v>-16.720035469727563</v>
      </c>
      <c r="K13" s="852">
        <f t="shared" si="3"/>
        <v>7.6228835682852242E-4</v>
      </c>
    </row>
    <row r="14" spans="2:11" x14ac:dyDescent="0.25">
      <c r="B14" s="6">
        <f>VLOOKUP(C14,[1]Hoja1!$B$2:$C$260,2,FALSE)</f>
        <v>1230003</v>
      </c>
      <c r="C14" s="6" t="s">
        <v>1132</v>
      </c>
      <c r="D14" s="7">
        <v>2.1435548594018052E-2</v>
      </c>
      <c r="E14" s="797">
        <v>1.3982745332040478</v>
      </c>
      <c r="F14" s="896">
        <f>VLOOKUP(B14,[2]Hoja1!$C$2:$E$279,3,FALSE)</f>
        <v>20099.990000000002</v>
      </c>
      <c r="G14" s="851">
        <f t="shared" si="0"/>
        <v>430.85431238427697</v>
      </c>
      <c r="H14" s="95">
        <v>17430</v>
      </c>
      <c r="I14" s="245">
        <f t="shared" si="1"/>
        <v>373.62161199373463</v>
      </c>
      <c r="J14" s="250">
        <f>((F14/H14)*100)-100</f>
        <v>15.318359150889279</v>
      </c>
      <c r="K14" s="852">
        <f t="shared" si="3"/>
        <v>2.1435548594018052E-2</v>
      </c>
    </row>
    <row r="15" spans="2:11" x14ac:dyDescent="0.25">
      <c r="B15" s="6">
        <f>VLOOKUP(C15,[1]Hoja1!$B$2:$C$260,2,FALSE)</f>
        <v>1220009</v>
      </c>
      <c r="C15" s="6" t="s">
        <v>1133</v>
      </c>
      <c r="D15" s="7">
        <v>7.6228835682852242E-4</v>
      </c>
      <c r="E15" s="797">
        <v>4.9725267894880784E-2</v>
      </c>
      <c r="F15" s="896">
        <f>VLOOKUP(B15,[2]Hoja1!$C$2:$E$279,3,FALSE)</f>
        <v>21312.16</v>
      </c>
      <c r="G15" s="851">
        <f t="shared" si="0"/>
        <v>16.246011426866563</v>
      </c>
      <c r="H15" s="880">
        <v>9565.2099999999991</v>
      </c>
      <c r="I15" s="245">
        <f t="shared" si="1"/>
        <v>7.2914482136197503</v>
      </c>
      <c r="J15" s="250">
        <f t="shared" si="2"/>
        <v>122.80911762522729</v>
      </c>
      <c r="K15" s="852">
        <f t="shared" si="3"/>
        <v>7.6228835682852242E-4</v>
      </c>
    </row>
    <row r="16" spans="2:11" x14ac:dyDescent="0.25">
      <c r="B16" s="6">
        <f>VLOOKUP(C16,[1]Hoja1!$B$2:$C$260,2,FALSE)</f>
        <v>1220005</v>
      </c>
      <c r="C16" s="6" t="s">
        <v>1135</v>
      </c>
      <c r="D16" s="7">
        <v>7.6228835682852242E-4</v>
      </c>
      <c r="E16" s="797">
        <v>4.9725267894880784E-2</v>
      </c>
      <c r="F16" s="896">
        <f>VLOOKUP(B16,[2]Hoja1!$C$2:$E$279,3,FALSE)</f>
        <v>17429.990000000002</v>
      </c>
      <c r="G16" s="851">
        <f t="shared" si="0"/>
        <v>13.28667843663758</v>
      </c>
      <c r="H16" s="95">
        <v>4500</v>
      </c>
      <c r="I16" s="245">
        <f t="shared" si="1"/>
        <v>3.430297605728351</v>
      </c>
      <c r="J16" s="250">
        <f>((F16/H16)*100)-100</f>
        <v>287.33311111111112</v>
      </c>
      <c r="K16" s="852">
        <f t="shared" si="3"/>
        <v>7.6228835682852242E-4</v>
      </c>
    </row>
    <row r="17" spans="2:11" x14ac:dyDescent="0.25">
      <c r="B17" s="6">
        <f>VLOOKUP(C17,[1]Hoja1!$B$2:$C$260,2,FALSE)</f>
        <v>1260009</v>
      </c>
      <c r="C17" s="6" t="s">
        <v>1027</v>
      </c>
      <c r="D17" s="7">
        <v>6.0983068546281792E-2</v>
      </c>
      <c r="E17" s="797">
        <v>3.978021431590463</v>
      </c>
      <c r="F17" s="896">
        <f>VLOOKUP(B17,[2]Hoja1!$C$2:$E$279,3,FALSE)</f>
        <v>7033.69</v>
      </c>
      <c r="G17" s="851">
        <f t="shared" si="0"/>
        <v>428.93599940329676</v>
      </c>
      <c r="H17" s="896">
        <v>12278.37</v>
      </c>
      <c r="I17" s="245">
        <f t="shared" si="1"/>
        <v>748.77267934661006</v>
      </c>
      <c r="J17" s="250">
        <f>((F17/H17)*100)-100</f>
        <v>-42.714790318258864</v>
      </c>
      <c r="K17" s="852">
        <f t="shared" si="3"/>
        <v>6.0983068546281792E-2</v>
      </c>
    </row>
    <row r="18" spans="2:11" x14ac:dyDescent="0.25">
      <c r="B18" s="6">
        <f>VLOOKUP(C18,[1]Hoja1!$B$2:$C$260,2,FALSE)</f>
        <v>1260011</v>
      </c>
      <c r="C18" s="30" t="s">
        <v>739</v>
      </c>
      <c r="D18" s="7">
        <v>0.13413749999999999</v>
      </c>
      <c r="E18" s="797">
        <v>8.75</v>
      </c>
      <c r="F18" s="896">
        <f>VLOOKUP(B18,[2]Hoja1!$C$2:$E$279,3,FALSE)</f>
        <v>4450.01</v>
      </c>
      <c r="G18" s="851">
        <f t="shared" si="0"/>
        <v>596.91321637500005</v>
      </c>
      <c r="H18" s="95">
        <v>53849.37</v>
      </c>
      <c r="I18" s="245">
        <f t="shared" si="1"/>
        <v>7223.2198683750003</v>
      </c>
      <c r="J18" s="250">
        <f>((F18/H18)*100)-100</f>
        <v>-91.736189299893383</v>
      </c>
      <c r="K18" s="852">
        <f t="shared" si="3"/>
        <v>0.13413749999999999</v>
      </c>
    </row>
    <row r="19" spans="2:11" x14ac:dyDescent="0.25">
      <c r="B19" s="6">
        <f>VLOOKUP(C19,[1]Hoja1!$B$2:$C$260,2,FALSE)</f>
        <v>1270009</v>
      </c>
      <c r="C19" s="6" t="s">
        <v>1225</v>
      </c>
      <c r="D19" s="10">
        <v>1.4483478779741927E-3</v>
      </c>
      <c r="E19" s="925">
        <v>9.4478009000273491E-2</v>
      </c>
      <c r="F19" s="896">
        <f>VLOOKUP(B19,[2]Hoja1!$C$2:$E$279,3,FALSE)</f>
        <v>57046.53</v>
      </c>
      <c r="G19" s="851">
        <f t="shared" si="0"/>
        <v>82.623220671291122</v>
      </c>
      <c r="H19" s="799">
        <v>8850.84</v>
      </c>
      <c r="I19" s="245">
        <f t="shared" si="1"/>
        <v>12.819095332289104</v>
      </c>
      <c r="J19" s="250">
        <f>((F19/H19)*100)-100</f>
        <v>544.53238336700247</v>
      </c>
      <c r="K19" s="852">
        <f t="shared" si="3"/>
        <v>1.4483478779741927E-3</v>
      </c>
    </row>
    <row r="20" spans="2:11" s="38" customFormat="1" x14ac:dyDescent="0.25">
      <c r="B20" s="1763" t="s">
        <v>37</v>
      </c>
      <c r="C20" s="1763"/>
      <c r="D20" s="1273">
        <f>SUM(D5:D19)</f>
        <v>1.5333058300887596</v>
      </c>
      <c r="E20" s="1274">
        <f>SUM(E5:E19)</f>
        <v>100.01994977747943</v>
      </c>
      <c r="F20" s="1246"/>
      <c r="G20" s="1247">
        <f>SUM(G5:G19)</f>
        <v>5919.3168951245561</v>
      </c>
      <c r="H20" s="1248"/>
      <c r="I20" s="1247">
        <f>SUM(I5:I19)</f>
        <v>13728.909298670242</v>
      </c>
      <c r="J20" s="1248">
        <f>((G20/I20)*100)-100</f>
        <v>-56.884288719877475</v>
      </c>
      <c r="K20" s="1250"/>
    </row>
    <row r="21" spans="2:11" x14ac:dyDescent="0.25">
      <c r="J21" s="873"/>
    </row>
    <row r="22" spans="2:11" ht="25.5" x14ac:dyDescent="0.35">
      <c r="B22" s="1760" t="s">
        <v>50</v>
      </c>
      <c r="C22" s="1754"/>
      <c r="D22" s="38">
        <f>+C25+(C25*C31%)</f>
        <v>1533</v>
      </c>
      <c r="E22" s="97" t="s">
        <v>885</v>
      </c>
      <c r="F22" s="97"/>
      <c r="G22" s="97"/>
      <c r="H22" s="815"/>
      <c r="I22" s="97"/>
      <c r="J22" s="97"/>
    </row>
    <row r="23" spans="2:11" x14ac:dyDescent="0.25">
      <c r="B23" s="1264" t="s">
        <v>38</v>
      </c>
      <c r="C23" s="93" t="s">
        <v>151</v>
      </c>
      <c r="D23" s="38"/>
      <c r="H23" s="38"/>
    </row>
    <row r="24" spans="2:11" x14ac:dyDescent="0.25">
      <c r="B24" s="1265" t="s">
        <v>39</v>
      </c>
      <c r="C24" s="21" t="s">
        <v>152</v>
      </c>
      <c r="D24" s="38"/>
      <c r="H24" s="38"/>
    </row>
    <row r="25" spans="2:11" x14ac:dyDescent="0.25">
      <c r="B25" s="1265" t="s">
        <v>40</v>
      </c>
      <c r="C25" s="21">
        <v>1500</v>
      </c>
      <c r="D25" s="38"/>
      <c r="E25" s="263"/>
      <c r="H25" s="38"/>
    </row>
    <row r="26" spans="2:11" x14ac:dyDescent="0.25">
      <c r="B26" s="1265" t="s">
        <v>41</v>
      </c>
      <c r="C26" s="21">
        <v>0</v>
      </c>
      <c r="D26" s="38"/>
      <c r="H26" s="38"/>
    </row>
    <row r="27" spans="2:11" x14ac:dyDescent="0.25">
      <c r="B27" s="1265" t="s">
        <v>42</v>
      </c>
      <c r="C27" s="21">
        <v>0.5</v>
      </c>
      <c r="D27" s="38"/>
      <c r="H27" s="38"/>
    </row>
    <row r="28" spans="2:11" x14ac:dyDescent="0.25">
      <c r="B28" s="1265" t="s">
        <v>43</v>
      </c>
      <c r="C28" s="21">
        <v>0.5</v>
      </c>
      <c r="D28" s="38"/>
      <c r="H28" s="38"/>
    </row>
    <row r="29" spans="2:11" x14ac:dyDescent="0.25">
      <c r="B29" s="1265" t="s">
        <v>44</v>
      </c>
      <c r="C29" s="21">
        <v>0.5</v>
      </c>
      <c r="D29" s="38"/>
      <c r="H29" s="38"/>
    </row>
    <row r="30" spans="2:11" x14ac:dyDescent="0.25">
      <c r="B30" s="1265" t="s">
        <v>45</v>
      </c>
      <c r="C30" s="21">
        <v>0.7</v>
      </c>
      <c r="D30" s="38"/>
      <c r="H30" s="38"/>
    </row>
    <row r="31" spans="2:11" x14ac:dyDescent="0.25">
      <c r="B31" s="1265" t="s">
        <v>46</v>
      </c>
      <c r="C31" s="21">
        <f>C30+C29+C28+C27</f>
        <v>2.2000000000000002</v>
      </c>
      <c r="D31" s="38"/>
      <c r="H31" s="38"/>
    </row>
    <row r="32" spans="2:11" x14ac:dyDescent="0.25">
      <c r="H32" s="97"/>
      <c r="I32" s="97"/>
    </row>
    <row r="33" spans="2:11" ht="25.5" x14ac:dyDescent="0.35">
      <c r="B33" s="1761" t="s">
        <v>47</v>
      </c>
      <c r="C33" s="1762"/>
      <c r="D33" s="1762"/>
      <c r="E33" s="1762"/>
      <c r="F33" s="1762"/>
      <c r="G33" s="1762"/>
      <c r="H33" s="1762"/>
      <c r="I33" s="1762"/>
    </row>
    <row r="34" spans="2:11" s="28" customFormat="1" ht="25.5" x14ac:dyDescent="0.25">
      <c r="B34" s="1255" t="s">
        <v>0</v>
      </c>
      <c r="C34" s="1255" t="s">
        <v>1</v>
      </c>
      <c r="D34" s="1242" t="s">
        <v>2</v>
      </c>
      <c r="E34" s="1243" t="str">
        <f>+'CIF Y PV'!$F$4</f>
        <v xml:space="preserve">JUN-COP/UMB </v>
      </c>
      <c r="F34" s="1243" t="str">
        <f>+'CIF Y PV'!$G$4</f>
        <v>JUN-COP/APP</v>
      </c>
      <c r="G34" s="1243" t="str">
        <f>+'CIF Y PV'!$H$4</f>
        <v xml:space="preserve">MAY-COP/UMB </v>
      </c>
      <c r="H34" s="1243" t="str">
        <f>+'CIF Y PV'!$I$4</f>
        <v>MAY-COP/APP</v>
      </c>
      <c r="I34" s="1244" t="s">
        <v>3</v>
      </c>
      <c r="J34" s="269">
        <v>34604</v>
      </c>
    </row>
    <row r="35" spans="2:11" x14ac:dyDescent="0.25">
      <c r="B35" s="6">
        <v>1380005</v>
      </c>
      <c r="C35" s="4" t="s">
        <v>1029</v>
      </c>
      <c r="D35" s="24">
        <v>2</v>
      </c>
      <c r="E35" s="24">
        <f>VLOOKUP(B35,[2]Hoja1!$C$2:$E$279,3,FALSE)</f>
        <v>29.02</v>
      </c>
      <c r="F35" s="24">
        <f>D35*E35</f>
        <v>58.04</v>
      </c>
      <c r="G35" s="24">
        <v>31.68</v>
      </c>
      <c r="H35" s="24">
        <f>G35*D35</f>
        <v>63.36</v>
      </c>
      <c r="I35" s="643">
        <f>((E35/G35)*100)-100</f>
        <v>-8.3964646464646506</v>
      </c>
      <c r="J35" s="38">
        <f>J34*D35</f>
        <v>69208</v>
      </c>
    </row>
    <row r="36" spans="2:11" x14ac:dyDescent="0.25">
      <c r="B36" s="6">
        <v>1380003</v>
      </c>
      <c r="C36" s="4" t="s">
        <v>1137</v>
      </c>
      <c r="D36" s="24">
        <v>1</v>
      </c>
      <c r="E36" s="24">
        <f>VLOOKUP(B36,[2]Hoja1!$C$2:$E$279,3,FALSE)</f>
        <v>56.19</v>
      </c>
      <c r="F36" s="24">
        <f>D36*E36</f>
        <v>56.19</v>
      </c>
      <c r="G36" s="24">
        <v>57.87</v>
      </c>
      <c r="H36" s="24">
        <f>G36*D36</f>
        <v>57.87</v>
      </c>
      <c r="I36" s="643">
        <f>((E36/G36)*100)-100</f>
        <v>-2.9030585795749175</v>
      </c>
      <c r="J36" s="38">
        <f>J34*D36</f>
        <v>34604</v>
      </c>
    </row>
    <row r="37" spans="2:11" x14ac:dyDescent="0.25">
      <c r="B37" s="6">
        <v>1370014</v>
      </c>
      <c r="C37" s="4" t="s">
        <v>1139</v>
      </c>
      <c r="D37" s="24">
        <v>0.7</v>
      </c>
      <c r="E37" s="24">
        <f>VLOOKUP(B37,[2]Hoja1!$C$2:$E$279,3,FALSE)</f>
        <v>555.02</v>
      </c>
      <c r="F37" s="24">
        <f>D37*E37</f>
        <v>388.51399999999995</v>
      </c>
      <c r="G37" s="643">
        <v>587.08000000000004</v>
      </c>
      <c r="H37" s="24">
        <f>G37*D37</f>
        <v>410.95600000000002</v>
      </c>
      <c r="I37" s="643">
        <f>((E37/G37)*100)-100</f>
        <v>-5.4609252572051616</v>
      </c>
      <c r="J37" s="38">
        <f>J34*D37</f>
        <v>24222.799999999999</v>
      </c>
    </row>
    <row r="38" spans="2:11" x14ac:dyDescent="0.25">
      <c r="B38" s="1256"/>
      <c r="C38" s="1256" t="s">
        <v>37</v>
      </c>
      <c r="D38" s="1257"/>
      <c r="E38" s="1257"/>
      <c r="F38" s="1257">
        <f>SUM(F35:F37)</f>
        <v>502.74399999999991</v>
      </c>
      <c r="G38" s="1257"/>
      <c r="H38" s="1257">
        <f>SUM(H35:H37)</f>
        <v>532.18600000000004</v>
      </c>
      <c r="I38" s="1268">
        <f>((F38/H38)*100)-100</f>
        <v>-5.5322763094106477</v>
      </c>
    </row>
    <row r="39" spans="2:11" x14ac:dyDescent="0.25">
      <c r="H39" s="1" t="str">
        <f>+'CIF Y PV'!$G$1</f>
        <v>MAYO</v>
      </c>
      <c r="I39" s="873"/>
      <c r="J39" s="38"/>
      <c r="K39" s="873"/>
    </row>
    <row r="40" spans="2:11" x14ac:dyDescent="0.25">
      <c r="B40" s="1750" t="s">
        <v>299</v>
      </c>
      <c r="C40" s="1750"/>
      <c r="E40" s="881">
        <v>46.28</v>
      </c>
      <c r="F40" s="881"/>
      <c r="G40" s="881"/>
      <c r="H40" s="1269">
        <f>F38+G20</f>
        <v>6422.0608951245558</v>
      </c>
      <c r="I40" s="28"/>
      <c r="J40" s="881"/>
      <c r="K40" s="28"/>
    </row>
    <row r="41" spans="2:11" x14ac:dyDescent="0.25">
      <c r="B41" s="1758" t="s">
        <v>48</v>
      </c>
      <c r="C41" s="1759"/>
      <c r="E41" s="881"/>
      <c r="F41" s="881"/>
      <c r="G41" s="881"/>
      <c r="H41" s="1269">
        <f>+('CIF Y PV'!C3/1000)*1500</f>
        <v>2835</v>
      </c>
      <c r="I41" s="139"/>
      <c r="J41" s="881"/>
      <c r="K41" s="139"/>
    </row>
    <row r="42" spans="2:11" x14ac:dyDescent="0.25">
      <c r="B42" s="1758" t="s">
        <v>300</v>
      </c>
      <c r="C42" s="1759"/>
      <c r="E42" s="881"/>
      <c r="F42" s="881"/>
      <c r="G42" s="881"/>
      <c r="H42" s="1269">
        <f>+H40+H41</f>
        <v>9257.0608951245558</v>
      </c>
      <c r="I42" s="140"/>
      <c r="J42" s="881"/>
      <c r="K42" s="140"/>
    </row>
    <row r="43" spans="2:11" x14ac:dyDescent="0.25">
      <c r="B43" s="1750" t="s">
        <v>49</v>
      </c>
      <c r="C43" s="1750"/>
      <c r="E43" s="881"/>
      <c r="F43" s="881"/>
      <c r="G43" s="881"/>
      <c r="H43" s="1269">
        <f>'CIF Y PV'!C55</f>
        <v>21036.542400000002</v>
      </c>
      <c r="J43" s="881"/>
      <c r="K43" s="339"/>
    </row>
    <row r="44" spans="2:11" x14ac:dyDescent="0.25">
      <c r="B44" s="1750" t="s">
        <v>805</v>
      </c>
      <c r="C44" s="1750"/>
      <c r="E44" s="881"/>
      <c r="F44" s="881"/>
      <c r="G44" s="881"/>
      <c r="H44" s="1229">
        <f>+(H43-H42)/H43</f>
        <v>0.55995330795784415</v>
      </c>
      <c r="I44" s="27"/>
      <c r="J44" s="38"/>
      <c r="K44" s="27">
        <f>1-K43</f>
        <v>1</v>
      </c>
    </row>
    <row r="45" spans="2:11" x14ac:dyDescent="0.25">
      <c r="H45" s="38"/>
      <c r="J45" s="38"/>
    </row>
    <row r="46" spans="2:11" x14ac:dyDescent="0.25">
      <c r="H46" s="38"/>
    </row>
    <row r="52" spans="5:6" x14ac:dyDescent="0.25">
      <c r="E52" s="318">
        <f>'CERVECERO 1500'!H44</f>
        <v>0.55995330795784415</v>
      </c>
      <c r="F52" s="318">
        <v>0.49809999999999999</v>
      </c>
    </row>
  </sheetData>
  <autoFilter ref="A4:J17" xr:uid="{F524CF6D-35BD-4324-8E45-322A1507BE12}"/>
  <mergeCells count="9">
    <mergeCell ref="B44:C44"/>
    <mergeCell ref="B43:C43"/>
    <mergeCell ref="B2:J2"/>
    <mergeCell ref="B41:C41"/>
    <mergeCell ref="B42:C42"/>
    <mergeCell ref="B20:C20"/>
    <mergeCell ref="B22:C22"/>
    <mergeCell ref="B40:C40"/>
    <mergeCell ref="B33:I33"/>
  </mergeCells>
  <pageMargins left="0.7" right="0.7" top="0.75" bottom="0.75" header="0.3" footer="0.3"/>
  <pageSetup scale="3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D947-C0AD-4DCF-949C-5AFD1B6970C6}">
  <sheetPr codeName="Hoja17"/>
  <dimension ref="B2:M48"/>
  <sheetViews>
    <sheetView view="pageBreakPreview" zoomScaleNormal="100" zoomScaleSheetLayoutView="100" workbookViewId="0">
      <selection activeCell="M10" sqref="M10:M11"/>
    </sheetView>
  </sheetViews>
  <sheetFormatPr baseColWidth="10" defaultColWidth="11.5703125" defaultRowHeight="13.5" x14ac:dyDescent="0.25"/>
  <cols>
    <col min="1" max="1" width="11.85546875" style="120" customWidth="1"/>
    <col min="2" max="2" width="11.5703125" style="120"/>
    <col min="3" max="3" width="57.140625" style="120" customWidth="1"/>
    <col min="4" max="4" width="11.5703125" style="119" customWidth="1"/>
    <col min="5" max="5" width="11.5703125" style="120" customWidth="1"/>
    <col min="6" max="7" width="13.28515625" style="120" customWidth="1"/>
    <col min="8" max="8" width="12.5703125" style="120" customWidth="1"/>
    <col min="9" max="9" width="14.42578125" style="120" customWidth="1"/>
    <col min="10" max="10" width="12.28515625" style="120" bestFit="1" customWidth="1"/>
    <col min="11" max="11" width="12.42578125" style="120" customWidth="1"/>
    <col min="12" max="12" width="11.5703125" style="120"/>
    <col min="13" max="13" width="14.42578125" style="120" customWidth="1"/>
    <col min="14" max="16384" width="11.5703125" style="120"/>
  </cols>
  <sheetData>
    <row r="2" spans="2:13" ht="25.5" x14ac:dyDescent="0.25">
      <c r="B2" s="1743" t="s">
        <v>429</v>
      </c>
      <c r="C2" s="1743"/>
      <c r="D2" s="1743"/>
      <c r="E2" s="1743"/>
      <c r="F2" s="1743"/>
      <c r="G2" s="1743"/>
      <c r="H2" s="1743"/>
      <c r="I2" s="1743"/>
    </row>
    <row r="4" spans="2:13" ht="25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76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277">
        <f>+D22/1000</f>
        <v>7.0499999999999993E-2</v>
      </c>
      <c r="L4" s="120">
        <v>250</v>
      </c>
    </row>
    <row r="5" spans="2:13" x14ac:dyDescent="0.25">
      <c r="B5" s="4">
        <f>VLOOKUP(C5,[1]Hoja1!$B$2:$C$260,2,FALSE)</f>
        <v>2903003</v>
      </c>
      <c r="C5" s="6" t="s">
        <v>1039</v>
      </c>
      <c r="D5" s="166">
        <v>3.8873699999999997E-2</v>
      </c>
      <c r="E5" s="1141">
        <v>55.14</v>
      </c>
      <c r="F5" s="950">
        <f>VLOOKUP(B5,[2]Hoja1!$C$2:$E$279,3,FALSE)</f>
        <v>11506.13</v>
      </c>
      <c r="G5" s="1166">
        <f>D5*F5</f>
        <v>447.28584578099992</v>
      </c>
      <c r="H5" s="38">
        <v>14000</v>
      </c>
      <c r="I5" s="805">
        <f>H5*D5</f>
        <v>544.23179999999991</v>
      </c>
      <c r="J5" s="248">
        <f>((F5/H5)*100)-100</f>
        <v>-17.813357142857143</v>
      </c>
      <c r="K5" s="277">
        <f>$K$4*E5%</f>
        <v>3.8873699999999997E-2</v>
      </c>
      <c r="L5" s="1586">
        <f>$L$4*E5%</f>
        <v>137.85</v>
      </c>
      <c r="M5" s="1217">
        <f>L5*F5</f>
        <v>1586120.0204999999</v>
      </c>
    </row>
    <row r="6" spans="2:13" x14ac:dyDescent="0.25">
      <c r="B6" s="4">
        <f>VLOOKUP(C6,[1]Hoja1!$B$2:$C$260,2,FALSE)</f>
        <v>1121009</v>
      </c>
      <c r="C6" s="6" t="s">
        <v>1272</v>
      </c>
      <c r="D6" s="143">
        <v>1.014495E-2</v>
      </c>
      <c r="E6" s="1140">
        <v>14.39</v>
      </c>
      <c r="F6" s="950">
        <f>VLOOKUP(B6,[2]Hoja1!$C$2:$E$279,3,FALSE)</f>
        <v>8741.6200000000008</v>
      </c>
      <c r="G6" s="1166">
        <f t="shared" ref="G6:G18" si="0">D6*F6</f>
        <v>88.683297819000003</v>
      </c>
      <c r="H6" s="95">
        <v>8754.2800000000007</v>
      </c>
      <c r="I6" s="805">
        <f t="shared" ref="I6:I19" si="1">H6*D6</f>
        <v>88.811732886000001</v>
      </c>
      <c r="J6" s="233">
        <f t="shared" ref="J6:J14" si="2">((F6/H6)*100)-100</f>
        <v>-0.14461497690273006</v>
      </c>
      <c r="K6" s="277">
        <f t="shared" ref="K6:K18" si="3">$K$4*E6%</f>
        <v>1.014495E-2</v>
      </c>
      <c r="L6" s="1586">
        <f t="shared" ref="L6:L18" si="4">$L$4*E6%</f>
        <v>35.975000000000001</v>
      </c>
      <c r="M6" s="1217">
        <f t="shared" ref="M6:M19" si="5">L6*F6</f>
        <v>314479.77950000006</v>
      </c>
    </row>
    <row r="7" spans="2:13" x14ac:dyDescent="0.25">
      <c r="B7" s="4">
        <f>VLOOKUP(C7,[1]Hoja1!$B$2:$C$260,2,FALSE)</f>
        <v>1131002</v>
      </c>
      <c r="C7" s="6" t="s">
        <v>663</v>
      </c>
      <c r="D7" s="143">
        <v>1.7462849999999999E-2</v>
      </c>
      <c r="E7" s="1140">
        <v>24.77</v>
      </c>
      <c r="F7" s="950">
        <f>VLOOKUP(B7,[2]Hoja1!$C$2:$E$279,3,FALSE)</f>
        <v>0</v>
      </c>
      <c r="G7" s="1166">
        <f t="shared" si="0"/>
        <v>0</v>
      </c>
      <c r="H7" s="879">
        <v>0</v>
      </c>
      <c r="I7" s="805">
        <f t="shared" si="1"/>
        <v>0</v>
      </c>
      <c r="J7" s="233" t="e">
        <f>((F7/H7)*100)-100</f>
        <v>#DIV/0!</v>
      </c>
      <c r="K7" s="277">
        <f t="shared" si="3"/>
        <v>1.7462849999999999E-2</v>
      </c>
      <c r="L7" s="1586">
        <f t="shared" si="4"/>
        <v>61.925000000000004</v>
      </c>
      <c r="M7" s="1217">
        <f t="shared" si="5"/>
        <v>0</v>
      </c>
    </row>
    <row r="8" spans="2:13" x14ac:dyDescent="0.25">
      <c r="B8" s="4">
        <f>VLOOKUP(C8,[1]Hoja1!$B$2:$C$260,2,FALSE)</f>
        <v>1250009</v>
      </c>
      <c r="C8" s="6" t="s">
        <v>1279</v>
      </c>
      <c r="D8" s="1161">
        <v>2.7071999999999998E-5</v>
      </c>
      <c r="E8" s="1140">
        <v>3.8400000000000004E-2</v>
      </c>
      <c r="F8" s="950">
        <f>VLOOKUP(B8,[2]Hoja1!$C$2:$E$279,3,FALSE)</f>
        <v>83551.55</v>
      </c>
      <c r="G8" s="1166">
        <f t="shared" si="0"/>
        <v>2.2619075615999997</v>
      </c>
      <c r="H8" s="388">
        <v>71910.02</v>
      </c>
      <c r="I8" s="805">
        <f t="shared" si="1"/>
        <v>1.9467480614399999</v>
      </c>
      <c r="J8" s="233">
        <f t="shared" si="2"/>
        <v>16.18902344902699</v>
      </c>
      <c r="K8" s="277">
        <f t="shared" si="3"/>
        <v>2.7071999999999998E-5</v>
      </c>
      <c r="L8" s="1586">
        <f t="shared" si="4"/>
        <v>9.6000000000000002E-2</v>
      </c>
      <c r="M8" s="1217">
        <f t="shared" si="5"/>
        <v>8020.9488000000001</v>
      </c>
    </row>
    <row r="9" spans="2:13" x14ac:dyDescent="0.25">
      <c r="B9" s="4">
        <f>VLOOKUP(C9,[1]Hoja1!$B$2:$C$260,2,FALSE)</f>
        <v>1250003</v>
      </c>
      <c r="C9" s="6" t="s">
        <v>914</v>
      </c>
      <c r="D9" s="1161">
        <v>4.2299999999999991E-5</v>
      </c>
      <c r="E9" s="1140">
        <v>0.06</v>
      </c>
      <c r="F9" s="950">
        <f>VLOOKUP(B9,[2]Hoja1!$C$2:$E$279,3,FALSE)</f>
        <v>50952.79</v>
      </c>
      <c r="G9" s="1166">
        <f t="shared" si="0"/>
        <v>2.1553030169999996</v>
      </c>
      <c r="H9" s="388">
        <v>47385.41</v>
      </c>
      <c r="I9" s="805">
        <f t="shared" si="1"/>
        <v>2.0044028429999998</v>
      </c>
      <c r="J9" s="233">
        <f t="shared" si="2"/>
        <v>7.5284354403602123</v>
      </c>
      <c r="K9" s="277">
        <f t="shared" si="3"/>
        <v>4.2299999999999991E-5</v>
      </c>
      <c r="L9" s="1586">
        <f t="shared" si="4"/>
        <v>0.15</v>
      </c>
      <c r="M9" s="1217">
        <f t="shared" si="5"/>
        <v>7642.9184999999998</v>
      </c>
    </row>
    <row r="10" spans="2:13" x14ac:dyDescent="0.25">
      <c r="B10" s="4">
        <f>VLOOKUP(C10,[1]Hoja1!$B$2:$C$260,2,FALSE)</f>
        <v>1210005</v>
      </c>
      <c r="C10" s="6" t="s">
        <v>1155</v>
      </c>
      <c r="D10" s="1161">
        <v>5.0759999999999998E-4</v>
      </c>
      <c r="E10" s="1140">
        <v>0.72</v>
      </c>
      <c r="F10" s="950">
        <f>VLOOKUP(B10,[2]Hoja1!$C$2:$E$279,3,FALSE)</f>
        <v>1356</v>
      </c>
      <c r="G10" s="1166">
        <f t="shared" si="0"/>
        <v>0.68830559999999996</v>
      </c>
      <c r="H10" s="914">
        <v>8910.1</v>
      </c>
      <c r="I10" s="805">
        <f t="shared" si="1"/>
        <v>4.5227667599999997</v>
      </c>
      <c r="J10" s="233">
        <f t="shared" si="2"/>
        <v>-84.781315585683672</v>
      </c>
      <c r="K10" s="277">
        <f t="shared" si="3"/>
        <v>5.0759999999999998E-4</v>
      </c>
      <c r="L10" s="1586">
        <f t="shared" si="4"/>
        <v>1.8</v>
      </c>
      <c r="M10" s="1217">
        <f t="shared" si="5"/>
        <v>2440.8000000000002</v>
      </c>
    </row>
    <row r="11" spans="2:13" x14ac:dyDescent="0.25">
      <c r="B11" s="4">
        <v>1210010</v>
      </c>
      <c r="C11" s="6" t="s">
        <v>1351</v>
      </c>
      <c r="D11" s="1161">
        <v>3.3839999999999993E-4</v>
      </c>
      <c r="E11" s="1140">
        <v>0.48</v>
      </c>
      <c r="F11" s="950">
        <f>VLOOKUP(B11,[2]Hoja1!$C$2:$E$279,3,FALSE)</f>
        <v>11600</v>
      </c>
      <c r="G11" s="1166">
        <f t="shared" si="0"/>
        <v>3.9254399999999992</v>
      </c>
      <c r="H11" s="914"/>
      <c r="I11" s="805"/>
      <c r="J11" s="233"/>
      <c r="K11" s="277">
        <f t="shared" si="3"/>
        <v>3.3839999999999993E-4</v>
      </c>
      <c r="L11" s="1586">
        <f t="shared" si="4"/>
        <v>1.2</v>
      </c>
      <c r="M11" s="1217">
        <f t="shared" si="5"/>
        <v>13920</v>
      </c>
    </row>
    <row r="12" spans="2:13" x14ac:dyDescent="0.25">
      <c r="B12" s="4">
        <f>VLOOKUP(C12,[1]Hoja1!$B$2:$C$260,2,FALSE)</f>
        <v>1210004</v>
      </c>
      <c r="C12" s="6" t="s">
        <v>1131</v>
      </c>
      <c r="D12" s="1161">
        <v>5.6399999999999995E-5</v>
      </c>
      <c r="E12" s="1140">
        <v>0.16</v>
      </c>
      <c r="F12" s="950">
        <f>VLOOKUP(B12,[2]Hoja1!$C$2:$E$279,3,FALSE)</f>
        <v>3841</v>
      </c>
      <c r="G12" s="1166">
        <f t="shared" si="0"/>
        <v>0.21663239999999997</v>
      </c>
      <c r="H12" s="914">
        <v>3508.01</v>
      </c>
      <c r="I12" s="805">
        <f t="shared" si="1"/>
        <v>0.19785176399999999</v>
      </c>
      <c r="J12" s="233">
        <f t="shared" si="2"/>
        <v>9.4922762477871885</v>
      </c>
      <c r="K12" s="277">
        <f t="shared" si="3"/>
        <v>1.1279999999999999E-4</v>
      </c>
      <c r="L12" s="1586">
        <f t="shared" si="4"/>
        <v>0.4</v>
      </c>
      <c r="M12" s="1217">
        <f t="shared" si="5"/>
        <v>1536.4</v>
      </c>
    </row>
    <row r="13" spans="2:13" x14ac:dyDescent="0.25">
      <c r="B13" s="4">
        <v>1240007</v>
      </c>
      <c r="C13" s="6" t="s">
        <v>1352</v>
      </c>
      <c r="D13" s="1161">
        <v>2.0867999999999999E-4</v>
      </c>
      <c r="E13" s="1140">
        <v>0.29599999999999999</v>
      </c>
      <c r="F13" s="950">
        <f>VLOOKUP(B13,[2]Hoja1!$C$2:$E$279,3,FALSE)</f>
        <v>25921.42</v>
      </c>
      <c r="G13" s="1166">
        <f t="shared" si="0"/>
        <v>5.4092819255999993</v>
      </c>
      <c r="H13" s="914">
        <v>47900</v>
      </c>
      <c r="I13" s="805">
        <f t="shared" si="1"/>
        <v>9.9957719999999988</v>
      </c>
      <c r="J13" s="233">
        <f t="shared" si="2"/>
        <v>-45.884300626304807</v>
      </c>
      <c r="K13" s="277">
        <f t="shared" si="3"/>
        <v>2.0867999999999999E-4</v>
      </c>
      <c r="L13" s="1586">
        <f t="shared" si="4"/>
        <v>0.74</v>
      </c>
      <c r="M13" s="1217">
        <f t="shared" si="5"/>
        <v>19181.8508</v>
      </c>
    </row>
    <row r="14" spans="2:13" x14ac:dyDescent="0.25">
      <c r="B14" s="4">
        <f>VLOOKUP(C14,[1]Hoja1!$B$2:$C$260,2,FALSE)</f>
        <v>1230009</v>
      </c>
      <c r="C14" s="6" t="s">
        <v>1268</v>
      </c>
      <c r="D14" s="143">
        <v>1.4381999999999999E-3</v>
      </c>
      <c r="E14" s="1140">
        <v>2.04</v>
      </c>
      <c r="F14" s="950">
        <f>VLOOKUP(B14,[2]Hoja1!$C$2:$E$279,3,FALSE)</f>
        <v>36960</v>
      </c>
      <c r="G14" s="1166">
        <f t="shared" si="0"/>
        <v>53.155871999999995</v>
      </c>
      <c r="H14" s="914">
        <v>47900</v>
      </c>
      <c r="I14" s="805">
        <f t="shared" si="1"/>
        <v>68.889780000000002</v>
      </c>
      <c r="J14" s="233">
        <f t="shared" si="2"/>
        <v>-22.839248434237987</v>
      </c>
      <c r="K14" s="277">
        <f t="shared" si="3"/>
        <v>1.4381999999999999E-3</v>
      </c>
      <c r="L14" s="1586">
        <f t="shared" si="4"/>
        <v>5.1000000000000005</v>
      </c>
      <c r="M14" s="1217">
        <f t="shared" si="5"/>
        <v>188496.00000000003</v>
      </c>
    </row>
    <row r="15" spans="2:13" x14ac:dyDescent="0.25">
      <c r="B15" s="4">
        <f>VLOOKUP(C15,[1]Hoja1!$B$2:$C$260,2,FALSE)</f>
        <v>1210003</v>
      </c>
      <c r="C15" s="6" t="s">
        <v>1143</v>
      </c>
      <c r="D15" s="1161">
        <v>3.5249999999999996E-5</v>
      </c>
      <c r="E15" s="1140">
        <v>0.05</v>
      </c>
      <c r="F15" s="950">
        <f>VLOOKUP(B15,[2]Hoja1!$C$2:$E$279,3,FALSE)</f>
        <v>16235.45</v>
      </c>
      <c r="G15" s="1166">
        <f t="shared" si="0"/>
        <v>0.57229961249999994</v>
      </c>
      <c r="H15" s="950">
        <v>12852.58</v>
      </c>
      <c r="I15" s="805"/>
      <c r="J15" s="233"/>
      <c r="K15" s="277">
        <f t="shared" si="3"/>
        <v>3.5249999999999996E-5</v>
      </c>
      <c r="L15" s="1586">
        <f t="shared" si="4"/>
        <v>0.125</v>
      </c>
      <c r="M15" s="1217">
        <f t="shared" si="5"/>
        <v>2029.4312500000001</v>
      </c>
    </row>
    <row r="16" spans="2:13" x14ac:dyDescent="0.25">
      <c r="B16" s="4">
        <f>VLOOKUP(C16,[1]Hoja1!$B$2:$C$260,2,FALSE)</f>
        <v>1270004</v>
      </c>
      <c r="C16" s="6" t="s">
        <v>1032</v>
      </c>
      <c r="D16" s="1161">
        <v>1.6919999999999997E-5</v>
      </c>
      <c r="E16" s="1140">
        <v>2.3999999999999997E-2</v>
      </c>
      <c r="F16" s="950">
        <f>VLOOKUP(B16,[2]Hoja1!$C$2:$E$279,3,FALSE)</f>
        <v>50662</v>
      </c>
      <c r="G16" s="1166">
        <f t="shared" si="0"/>
        <v>0.85720103999999986</v>
      </c>
      <c r="H16" s="95">
        <v>53849.37</v>
      </c>
      <c r="I16" s="805">
        <f t="shared" si="1"/>
        <v>0.91113134039999988</v>
      </c>
      <c r="J16" s="233">
        <f>((F16/H16)*100)-100</f>
        <v>-5.9190478922966179</v>
      </c>
      <c r="K16" s="277">
        <f t="shared" si="3"/>
        <v>1.6919999999999997E-5</v>
      </c>
      <c r="L16" s="1586">
        <f t="shared" si="4"/>
        <v>0.06</v>
      </c>
      <c r="M16" s="1217">
        <f t="shared" si="5"/>
        <v>3039.72</v>
      </c>
    </row>
    <row r="17" spans="2:13" x14ac:dyDescent="0.25">
      <c r="B17" s="4">
        <f>VLOOKUP(C17,[1]Hoja1!$B$2:$C$260,2,FALSE)</f>
        <v>1260022</v>
      </c>
      <c r="C17" s="6" t="s">
        <v>974</v>
      </c>
      <c r="D17" s="1202">
        <v>3.3839999999999993E-4</v>
      </c>
      <c r="E17" s="1140">
        <v>0.48</v>
      </c>
      <c r="F17" s="950">
        <f>VLOOKUP(B17,[2]Hoja1!$C$2:$E$279,3,FALSE)</f>
        <v>22988.01</v>
      </c>
      <c r="G17" s="1166">
        <f t="shared" si="0"/>
        <v>7.7791425839999979</v>
      </c>
      <c r="H17" s="237">
        <v>27066.49</v>
      </c>
      <c r="I17" s="805">
        <f t="shared" si="1"/>
        <v>9.1593002159999983</v>
      </c>
      <c r="J17" s="233">
        <f>((F17/H17)*100)-100</f>
        <v>-15.068374214757824</v>
      </c>
      <c r="K17" s="277">
        <f t="shared" si="3"/>
        <v>3.3839999999999993E-4</v>
      </c>
      <c r="L17" s="1586">
        <f t="shared" si="4"/>
        <v>1.2</v>
      </c>
      <c r="M17" s="1217">
        <f t="shared" si="5"/>
        <v>27585.611999999997</v>
      </c>
    </row>
    <row r="18" spans="2:13" x14ac:dyDescent="0.25">
      <c r="B18" s="4">
        <f>VLOOKUP(C18,[1]Hoja1!$B$2:$C$260,2,FALSE)</f>
        <v>1260009</v>
      </c>
      <c r="C18" s="6" t="s">
        <v>1027</v>
      </c>
      <c r="D18" s="143">
        <v>9.8700000000000003E-4</v>
      </c>
      <c r="E18" s="1140">
        <v>1.4000000000000001</v>
      </c>
      <c r="F18" s="950">
        <f>VLOOKUP(B18,[2]Hoja1!$C$2:$E$279,3,FALSE)</f>
        <v>7033.69</v>
      </c>
      <c r="G18" s="1166">
        <f t="shared" si="0"/>
        <v>6.9422520299999997</v>
      </c>
      <c r="H18" s="880">
        <v>9565.2099999999991</v>
      </c>
      <c r="I18" s="805">
        <f t="shared" si="1"/>
        <v>9.4408622700000002</v>
      </c>
      <c r="J18" s="233">
        <f>((F18/H18)*100)-100</f>
        <v>-26.465911360022403</v>
      </c>
      <c r="K18" s="277">
        <f t="shared" si="3"/>
        <v>9.8700000000000003E-4</v>
      </c>
      <c r="L18" s="1586">
        <f t="shared" si="4"/>
        <v>3.5000000000000004</v>
      </c>
      <c r="M18" s="1217">
        <f t="shared" si="5"/>
        <v>24617.915000000001</v>
      </c>
    </row>
    <row r="19" spans="2:13" hidden="1" x14ac:dyDescent="0.25">
      <c r="B19" s="154"/>
      <c r="C19" s="154"/>
      <c r="D19" s="143"/>
      <c r="E19" s="154"/>
      <c r="F19" s="950" t="e">
        <f>VLOOKUP(B19,[2]Hoja1!$C$2:$E$279,3,FALSE)</f>
        <v>#N/A</v>
      </c>
      <c r="G19" s="154"/>
      <c r="H19" s="95"/>
      <c r="I19" s="805">
        <f t="shared" si="1"/>
        <v>0</v>
      </c>
      <c r="J19" s="231"/>
      <c r="M19" s="1217" t="e">
        <f t="shared" si="5"/>
        <v>#N/A</v>
      </c>
    </row>
    <row r="20" spans="2:13" s="146" customFormat="1" x14ac:dyDescent="0.25">
      <c r="B20" s="1764" t="s">
        <v>37</v>
      </c>
      <c r="C20" s="1764"/>
      <c r="D20" s="1278">
        <f>SUM(D5:D18)</f>
        <v>7.0477722000000007E-2</v>
      </c>
      <c r="E20" s="1279">
        <f>SUM(E5:E18)</f>
        <v>100.04840000000002</v>
      </c>
      <c r="F20" s="1280"/>
      <c r="G20" s="1280">
        <f>SUM(G5:G18)</f>
        <v>619.9327813706999</v>
      </c>
      <c r="H20" s="1281"/>
      <c r="I20" s="1280">
        <f>SUM(I5:I18)</f>
        <v>740.11214814083974</v>
      </c>
      <c r="J20" s="1282">
        <f>((G20/I20)*100)-100</f>
        <v>-16.237994075901895</v>
      </c>
      <c r="K20" s="1283"/>
      <c r="M20" s="146">
        <f>SUM(M5:M18)</f>
        <v>2199111.3963500001</v>
      </c>
    </row>
    <row r="21" spans="2:13" x14ac:dyDescent="0.25">
      <c r="J21" s="775"/>
    </row>
    <row r="22" spans="2:13" ht="25.5" x14ac:dyDescent="0.25">
      <c r="B22" s="1765" t="s">
        <v>50</v>
      </c>
      <c r="C22" s="1766"/>
      <c r="D22" s="38">
        <f>+C25+(C25*C31%)</f>
        <v>70.5</v>
      </c>
      <c r="E22" s="159"/>
      <c r="F22" s="854"/>
      <c r="G22" s="159"/>
      <c r="H22" s="159"/>
      <c r="I22" s="159"/>
      <c r="J22" s="159"/>
    </row>
    <row r="23" spans="2:13" x14ac:dyDescent="0.25">
      <c r="B23" s="1284" t="s">
        <v>38</v>
      </c>
      <c r="C23" s="161" t="s">
        <v>430</v>
      </c>
      <c r="H23" s="146"/>
    </row>
    <row r="24" spans="2:13" x14ac:dyDescent="0.25">
      <c r="B24" s="1285" t="s">
        <v>39</v>
      </c>
      <c r="C24" s="163" t="s">
        <v>431</v>
      </c>
      <c r="H24" s="146"/>
    </row>
    <row r="25" spans="2:13" x14ac:dyDescent="0.25">
      <c r="B25" s="1285" t="s">
        <v>40</v>
      </c>
      <c r="C25" s="163">
        <v>50</v>
      </c>
      <c r="H25" s="146"/>
    </row>
    <row r="26" spans="2:13" x14ac:dyDescent="0.25">
      <c r="B26" s="1285" t="s">
        <v>41</v>
      </c>
      <c r="C26" s="163">
        <v>0</v>
      </c>
      <c r="H26" s="146"/>
    </row>
    <row r="27" spans="2:13" x14ac:dyDescent="0.25">
      <c r="B27" s="1285" t="s">
        <v>42</v>
      </c>
      <c r="C27" s="163">
        <v>9</v>
      </c>
      <c r="H27" s="146"/>
    </row>
    <row r="28" spans="2:13" x14ac:dyDescent="0.25">
      <c r="B28" s="1285" t="s">
        <v>43</v>
      </c>
      <c r="C28" s="163">
        <v>2</v>
      </c>
      <c r="H28" s="146"/>
    </row>
    <row r="29" spans="2:13" x14ac:dyDescent="0.25">
      <c r="B29" s="1285" t="s">
        <v>44</v>
      </c>
      <c r="C29" s="163">
        <v>10</v>
      </c>
      <c r="H29" s="146"/>
    </row>
    <row r="30" spans="2:13" x14ac:dyDescent="0.25">
      <c r="B30" s="1285" t="s">
        <v>45</v>
      </c>
      <c r="C30" s="163">
        <v>20</v>
      </c>
      <c r="H30" s="146"/>
    </row>
    <row r="31" spans="2:13" x14ac:dyDescent="0.25">
      <c r="B31" s="1285" t="s">
        <v>46</v>
      </c>
      <c r="C31" s="163">
        <f>C30+C29+C28+C27</f>
        <v>41</v>
      </c>
      <c r="H31" s="146"/>
    </row>
    <row r="32" spans="2:13" x14ac:dyDescent="0.25">
      <c r="H32" s="159"/>
      <c r="I32" s="159"/>
    </row>
    <row r="33" spans="2:11" ht="25.5" x14ac:dyDescent="0.25">
      <c r="B33" s="1767" t="s">
        <v>47</v>
      </c>
      <c r="C33" s="1768"/>
      <c r="D33" s="1768"/>
      <c r="E33" s="1768"/>
      <c r="F33" s="1768"/>
      <c r="G33" s="1768"/>
      <c r="H33" s="1768"/>
      <c r="I33" s="1768"/>
    </row>
    <row r="34" spans="2:11" ht="25.5" x14ac:dyDescent="0.25">
      <c r="B34" s="1266" t="s">
        <v>0</v>
      </c>
      <c r="C34" s="1266" t="s">
        <v>1</v>
      </c>
      <c r="D34" s="1286" t="s">
        <v>2</v>
      </c>
      <c r="E34" s="1243" t="str">
        <f>+'CIF Y PV'!$F$4</f>
        <v xml:space="preserve">JUN-COP/UMB </v>
      </c>
      <c r="F34" s="1243" t="str">
        <f>+'CIF Y PV'!$G$4</f>
        <v>JUN-COP/APP</v>
      </c>
      <c r="G34" s="1243" t="str">
        <f>+'CIF Y PV'!$H$4</f>
        <v xml:space="preserve">MAY-COP/UMB </v>
      </c>
      <c r="H34" s="1243" t="str">
        <f>+'CIF Y PV'!$I$4</f>
        <v>MAY-COP/APP</v>
      </c>
      <c r="I34" s="1244" t="s">
        <v>3</v>
      </c>
      <c r="J34" s="146">
        <v>4194</v>
      </c>
      <c r="K34" s="178"/>
    </row>
    <row r="35" spans="2:11" x14ac:dyDescent="0.25">
      <c r="B35" s="165">
        <v>1370048</v>
      </c>
      <c r="C35" s="1197" t="s">
        <v>1294</v>
      </c>
      <c r="D35" s="166">
        <v>3.5000000000000003E-2</v>
      </c>
      <c r="E35" s="883">
        <f>VLOOKUP(B35,[2]Hoja1!$C$2:$E$279,3,FALSE)</f>
        <v>1806.94</v>
      </c>
      <c r="F35" s="167">
        <f>D35*E35</f>
        <v>63.242900000000006</v>
      </c>
      <c r="G35" s="883">
        <v>1573.56</v>
      </c>
      <c r="H35" s="167">
        <f t="shared" ref="H35:H40" si="6">G35*D35</f>
        <v>55.074600000000004</v>
      </c>
      <c r="I35" s="270">
        <f>((E35/G35)*100)-100</f>
        <v>14.831337858105201</v>
      </c>
      <c r="J35" s="146">
        <f>J34*D35</f>
        <v>146.79000000000002</v>
      </c>
      <c r="K35" s="178"/>
    </row>
    <row r="36" spans="2:11" x14ac:dyDescent="0.25">
      <c r="B36" s="165">
        <v>1380003</v>
      </c>
      <c r="C36" s="165" t="s">
        <v>1137</v>
      </c>
      <c r="D36" s="166">
        <v>1</v>
      </c>
      <c r="E36" s="883">
        <f>VLOOKUP(B36,[2]Hoja1!$C$2:$E$279,3,FALSE)</f>
        <v>56.19</v>
      </c>
      <c r="F36" s="167">
        <f>D36*E36</f>
        <v>56.19</v>
      </c>
      <c r="G36" s="24">
        <v>57.87</v>
      </c>
      <c r="H36" s="167">
        <f t="shared" si="6"/>
        <v>57.87</v>
      </c>
      <c r="I36" s="270">
        <f>((E36/G36)*100)-100</f>
        <v>-2.9030585795749175</v>
      </c>
      <c r="J36" s="146">
        <f>J35*D36</f>
        <v>146.79000000000002</v>
      </c>
      <c r="K36" s="178"/>
    </row>
    <row r="37" spans="2:11" x14ac:dyDescent="0.25">
      <c r="B37" s="165">
        <v>1310018</v>
      </c>
      <c r="C37" s="246" t="s">
        <v>890</v>
      </c>
      <c r="D37" s="921">
        <v>1.8700000000000001E-2</v>
      </c>
      <c r="E37" s="883">
        <f>VLOOKUP(B37,[2]Hoja1!$C$2:$E$279,3,FALSE)</f>
        <v>478.26</v>
      </c>
      <c r="F37" s="167">
        <f>D37*E37</f>
        <v>8.9434620000000002</v>
      </c>
      <c r="G37" s="24">
        <v>503.51</v>
      </c>
      <c r="H37" s="167">
        <f t="shared" si="6"/>
        <v>9.4156370000000003</v>
      </c>
      <c r="I37" s="270">
        <f>((E37/G37)*100)-100</f>
        <v>-5.0147961311592582</v>
      </c>
      <c r="J37" s="146"/>
      <c r="K37" s="178"/>
    </row>
    <row r="38" spans="2:11" x14ac:dyDescent="0.25">
      <c r="B38" s="165">
        <v>1320004</v>
      </c>
      <c r="C38" s="918" t="s">
        <v>1141</v>
      </c>
      <c r="D38" s="921">
        <v>1.8700000000000001E-2</v>
      </c>
      <c r="E38" s="883">
        <f>VLOOKUP(B38,[2]Hoja1!$C$2:$E$279,3,FALSE)</f>
        <v>1481.51</v>
      </c>
      <c r="F38" s="167">
        <f>D38*E38</f>
        <v>27.704237000000003</v>
      </c>
      <c r="G38" s="24">
        <v>1575.9</v>
      </c>
      <c r="H38" s="167">
        <f t="shared" si="6"/>
        <v>29.469330000000003</v>
      </c>
      <c r="I38" s="270">
        <f>((E38/G38)*100)-100</f>
        <v>-5.9895932483025547</v>
      </c>
      <c r="J38" s="146"/>
      <c r="K38" s="178"/>
    </row>
    <row r="39" spans="2:11" x14ac:dyDescent="0.25">
      <c r="B39" s="165">
        <v>1330043</v>
      </c>
      <c r="C39" s="775" t="s">
        <v>1084</v>
      </c>
      <c r="D39" s="921">
        <v>1</v>
      </c>
      <c r="E39" s="883">
        <f>VLOOKUP(B39,[2]Hoja1!$C$2:$E$279,3,FALSE)</f>
        <v>85.1</v>
      </c>
      <c r="F39" s="167">
        <f>E39*D39</f>
        <v>85.1</v>
      </c>
      <c r="G39" s="24">
        <v>85.28</v>
      </c>
      <c r="H39" s="167">
        <f t="shared" si="6"/>
        <v>85.28</v>
      </c>
      <c r="I39" s="270"/>
      <c r="J39" s="146"/>
      <c r="K39" s="178"/>
    </row>
    <row r="40" spans="2:11" x14ac:dyDescent="0.25">
      <c r="B40" s="165">
        <v>1380005</v>
      </c>
      <c r="C40" s="165" t="s">
        <v>1029</v>
      </c>
      <c r="D40" s="166">
        <v>0.13</v>
      </c>
      <c r="E40" s="883">
        <f>VLOOKUP(B40,[2]Hoja1!$C$2:$E$279,3,FALSE)</f>
        <v>29.02</v>
      </c>
      <c r="F40" s="167">
        <f>D40*E40</f>
        <v>3.7726000000000002</v>
      </c>
      <c r="G40" s="24">
        <v>31.68</v>
      </c>
      <c r="H40" s="167">
        <f t="shared" si="6"/>
        <v>4.1184000000000003</v>
      </c>
      <c r="I40" s="270">
        <f>((E40/G40)*100)-100</f>
        <v>-8.3964646464646506</v>
      </c>
      <c r="J40" s="146">
        <f>J36*D40</f>
        <v>19.082700000000003</v>
      </c>
    </row>
    <row r="41" spans="2:11" x14ac:dyDescent="0.25">
      <c r="B41" s="1266"/>
      <c r="C41" s="1266" t="s">
        <v>37</v>
      </c>
      <c r="D41" s="1286"/>
      <c r="E41" s="1267"/>
      <c r="F41" s="1267">
        <f>SUM(F35:F40)</f>
        <v>244.95319900000001</v>
      </c>
      <c r="G41" s="1267"/>
      <c r="H41" s="1267">
        <f>SUM(H35:H40)</f>
        <v>241.22796700000004</v>
      </c>
      <c r="I41" s="1287">
        <f>((F41/H41)*100)-100</f>
        <v>1.5442786532292843</v>
      </c>
    </row>
    <row r="42" spans="2:11" x14ac:dyDescent="0.25">
      <c r="H42" s="1" t="str">
        <f>+'CIF Y PV'!$G$1</f>
        <v>MAYO</v>
      </c>
      <c r="J42" s="146"/>
    </row>
    <row r="43" spans="2:11" x14ac:dyDescent="0.25">
      <c r="B43" s="1735" t="s">
        <v>439</v>
      </c>
      <c r="C43" s="1735"/>
      <c r="E43" s="884"/>
      <c r="F43" s="884"/>
      <c r="G43" s="884"/>
      <c r="H43" s="884">
        <f>+F41+G20</f>
        <v>864.88598037069994</v>
      </c>
      <c r="I43" s="337"/>
      <c r="J43" s="884"/>
      <c r="K43" s="337"/>
    </row>
    <row r="44" spans="2:11" x14ac:dyDescent="0.25">
      <c r="B44" s="1736" t="s">
        <v>48</v>
      </c>
      <c r="C44" s="1737"/>
      <c r="E44" s="884"/>
      <c r="F44" s="884"/>
      <c r="G44" s="884"/>
      <c r="H44" s="884">
        <f>+('CIF Y PV'!C3/1000)*50</f>
        <v>94.5</v>
      </c>
      <c r="I44" s="170"/>
      <c r="J44" s="884"/>
      <c r="K44" s="170"/>
    </row>
    <row r="45" spans="2:11" x14ac:dyDescent="0.25">
      <c r="B45" s="1736" t="s">
        <v>440</v>
      </c>
      <c r="C45" s="1737"/>
      <c r="D45" s="119">
        <v>48.53</v>
      </c>
      <c r="E45" s="884"/>
      <c r="F45" s="884"/>
      <c r="G45" s="884"/>
      <c r="H45" s="884">
        <f>+H43+H44</f>
        <v>959.38598037069994</v>
      </c>
      <c r="I45" s="338"/>
      <c r="J45" s="884"/>
      <c r="K45" s="338"/>
    </row>
    <row r="46" spans="2:11" ht="14.45" customHeight="1" x14ac:dyDescent="0.25">
      <c r="D46" s="119">
        <v>47.41</v>
      </c>
      <c r="H46" s="146"/>
      <c r="I46" s="172" t="e">
        <f>1-#REF!</f>
        <v>#REF!</v>
      </c>
      <c r="J46" s="146"/>
      <c r="K46" s="172" t="e">
        <f>1-#REF!</f>
        <v>#REF!</v>
      </c>
    </row>
    <row r="47" spans="2:11" x14ac:dyDescent="0.25">
      <c r="D47" s="119">
        <v>32.65</v>
      </c>
      <c r="H47" s="146"/>
    </row>
    <row r="48" spans="2:11" x14ac:dyDescent="0.25">
      <c r="H48" s="146"/>
    </row>
  </sheetData>
  <autoFilter ref="A4:K4" xr:uid="{226CD947-C0AD-4DCF-949C-5AFD1B6970C6}"/>
  <mergeCells count="7">
    <mergeCell ref="B44:C44"/>
    <mergeCell ref="B45:C45"/>
    <mergeCell ref="B2:I2"/>
    <mergeCell ref="B20:C20"/>
    <mergeCell ref="B22:C22"/>
    <mergeCell ref="B33:I33"/>
    <mergeCell ref="B43:C43"/>
  </mergeCells>
  <pageMargins left="0.7" right="0.7" top="0.75" bottom="0.75" header="0.3" footer="0.3"/>
  <pageSetup scale="3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4122-C2CB-4A9D-90B0-ABD3B23B601E}">
  <sheetPr codeName="Hoja18"/>
  <dimension ref="B2:K32"/>
  <sheetViews>
    <sheetView view="pageBreakPreview" topLeftCell="A8" zoomScale="90" zoomScaleNormal="100" zoomScaleSheetLayoutView="90" workbookViewId="0">
      <selection activeCell="G7" sqref="G7"/>
    </sheetView>
  </sheetViews>
  <sheetFormatPr baseColWidth="10" defaultColWidth="11.5703125" defaultRowHeight="13.5" x14ac:dyDescent="0.25"/>
  <cols>
    <col min="1" max="1" width="25.42578125" style="1" bestFit="1" customWidth="1"/>
    <col min="2" max="2" width="16" style="1" customWidth="1"/>
    <col min="3" max="3" width="47.85546875" style="1" customWidth="1"/>
    <col min="4" max="4" width="11.140625" style="1" customWidth="1"/>
    <col min="5" max="6" width="13.140625" style="1" customWidth="1"/>
    <col min="7" max="7" width="14.28515625" style="1" bestFit="1" customWidth="1"/>
    <col min="8" max="8" width="11.7109375" style="1" bestFit="1" customWidth="1"/>
    <col min="9" max="9" width="12.28515625" style="1" bestFit="1" customWidth="1"/>
    <col min="10" max="16384" width="11.5703125" style="1"/>
  </cols>
  <sheetData>
    <row r="2" spans="2:10" ht="30" customHeight="1" x14ac:dyDescent="0.35">
      <c r="B2" s="1769" t="s">
        <v>487</v>
      </c>
      <c r="C2" s="1769"/>
      <c r="D2" s="1769"/>
      <c r="E2" s="1769"/>
      <c r="F2" s="1769"/>
      <c r="G2" s="1769"/>
      <c r="H2" s="1769"/>
      <c r="I2" s="1769"/>
    </row>
    <row r="4" spans="2:10" s="3" customFormat="1" ht="25.5" x14ac:dyDescent="0.25">
      <c r="B4" s="1244" t="s">
        <v>0</v>
      </c>
      <c r="C4" s="1244" t="s">
        <v>1</v>
      </c>
      <c r="D4" s="1244" t="s">
        <v>2</v>
      </c>
      <c r="E4" s="1244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</row>
    <row r="5" spans="2:10" s="112" customFormat="1" ht="14.25" x14ac:dyDescent="0.3">
      <c r="B5" s="833">
        <v>30046</v>
      </c>
      <c r="C5" s="835" t="s">
        <v>488</v>
      </c>
      <c r="D5" s="823">
        <v>6</v>
      </c>
      <c r="E5" s="848">
        <f>(D5*100)/$D$7</f>
        <v>100</v>
      </c>
      <c r="F5" s="884">
        <f>'SCHON CERV PREM X 50 G'!H45</f>
        <v>959.38598037069994</v>
      </c>
      <c r="G5" s="825">
        <f>F5*D5</f>
        <v>5756.3158822241994</v>
      </c>
      <c r="H5" s="884">
        <v>1150.4460866634802</v>
      </c>
      <c r="I5" s="823">
        <v>6222</v>
      </c>
      <c r="J5" s="248">
        <f>((F5/H5)*100)-100</f>
        <v>-16.607480220728306</v>
      </c>
    </row>
    <row r="6" spans="2:10" hidden="1" x14ac:dyDescent="0.25">
      <c r="B6" s="834"/>
      <c r="C6" s="834"/>
      <c r="D6" s="849"/>
      <c r="E6" s="849"/>
      <c r="F6" s="849"/>
      <c r="G6" s="849"/>
      <c r="H6" s="826"/>
      <c r="I6" s="824"/>
      <c r="J6" s="233" t="e">
        <f>((F6/H6)*100)-100</f>
        <v>#DIV/0!</v>
      </c>
    </row>
    <row r="7" spans="2:10" x14ac:dyDescent="0.25">
      <c r="B7" s="1770" t="s">
        <v>37</v>
      </c>
      <c r="C7" s="1770"/>
      <c r="D7" s="1288">
        <f>SUM(D5:D5)</f>
        <v>6</v>
      </c>
      <c r="E7" s="1288">
        <f>SUM(E5:E5)</f>
        <v>100</v>
      </c>
      <c r="F7" s="1288"/>
      <c r="G7" s="1288">
        <f>SUM(G5:G6)</f>
        <v>5756.3158822241994</v>
      </c>
      <c r="H7" s="1288"/>
      <c r="I7" s="1288">
        <f>SUM(I5:I6)</f>
        <v>6222</v>
      </c>
      <c r="J7" s="1289">
        <f>((G7/I7)*100)-100</f>
        <v>-7.4844763384088822</v>
      </c>
    </row>
    <row r="8" spans="2:10" x14ac:dyDescent="0.25">
      <c r="B8" s="16"/>
      <c r="C8" s="16"/>
      <c r="D8" s="17"/>
      <c r="E8" s="18"/>
      <c r="F8" s="18"/>
      <c r="G8" s="18"/>
      <c r="I8" s="19"/>
    </row>
    <row r="9" spans="2:10" ht="25.5" x14ac:dyDescent="0.35">
      <c r="B9" s="1771" t="s">
        <v>50</v>
      </c>
      <c r="C9" s="1772"/>
      <c r="D9" s="91"/>
      <c r="E9" s="91"/>
      <c r="F9" s="91"/>
      <c r="G9" s="91"/>
      <c r="H9" s="91"/>
      <c r="I9" s="91"/>
    </row>
    <row r="10" spans="2:10" x14ac:dyDescent="0.25">
      <c r="B10" s="1265" t="s">
        <v>38</v>
      </c>
      <c r="C10" s="21" t="s">
        <v>294</v>
      </c>
    </row>
    <row r="11" spans="2:10" x14ac:dyDescent="0.25">
      <c r="B11" s="1265" t="s">
        <v>39</v>
      </c>
      <c r="C11" s="21" t="s">
        <v>489</v>
      </c>
    </row>
    <row r="12" spans="2:10" x14ac:dyDescent="0.25">
      <c r="B12" s="1265" t="s">
        <v>40</v>
      </c>
      <c r="C12" s="21">
        <v>300</v>
      </c>
    </row>
    <row r="13" spans="2:10" x14ac:dyDescent="0.25">
      <c r="B13" s="1265" t="s">
        <v>41</v>
      </c>
      <c r="C13" s="21">
        <v>0</v>
      </c>
    </row>
    <row r="14" spans="2:10" x14ac:dyDescent="0.25">
      <c r="B14" s="1265" t="s">
        <v>42</v>
      </c>
      <c r="C14" s="21">
        <v>0</v>
      </c>
      <c r="I14" s="1" t="s">
        <v>85</v>
      </c>
    </row>
    <row r="15" spans="2:10" x14ac:dyDescent="0.25">
      <c r="B15" s="1265" t="s">
        <v>43</v>
      </c>
      <c r="C15" s="21">
        <v>0</v>
      </c>
    </row>
    <row r="16" spans="2:10" x14ac:dyDescent="0.25">
      <c r="B16" s="1265" t="s">
        <v>44</v>
      </c>
      <c r="C16" s="21">
        <v>0</v>
      </c>
    </row>
    <row r="17" spans="2:11" x14ac:dyDescent="0.25">
      <c r="B17" s="1265" t="s">
        <v>45</v>
      </c>
      <c r="C17" s="21">
        <v>0</v>
      </c>
    </row>
    <row r="18" spans="2:11" x14ac:dyDescent="0.25">
      <c r="B18" s="1265" t="s">
        <v>46</v>
      </c>
      <c r="C18" s="21">
        <f>C17+C16+C15+C14</f>
        <v>0</v>
      </c>
    </row>
    <row r="20" spans="2:11" ht="25.5" x14ac:dyDescent="0.35">
      <c r="B20" s="1756" t="s">
        <v>47</v>
      </c>
      <c r="C20" s="1756"/>
      <c r="D20" s="1756"/>
      <c r="E20" s="1756"/>
      <c r="F20" s="1756"/>
      <c r="G20" s="836"/>
      <c r="H20" s="827"/>
      <c r="I20" s="827"/>
    </row>
    <row r="21" spans="2:11" ht="25.5" x14ac:dyDescent="0.25">
      <c r="B21" s="1290" t="s">
        <v>0</v>
      </c>
      <c r="C21" s="1290" t="s">
        <v>1</v>
      </c>
      <c r="D21" s="1290" t="s">
        <v>2</v>
      </c>
      <c r="E21" s="1243" t="str">
        <f>+'CIF Y PV'!$F$4</f>
        <v xml:space="preserve">JUN-COP/UMB </v>
      </c>
      <c r="F21" s="1243" t="str">
        <f>+'CIF Y PV'!$G$4</f>
        <v>JUN-COP/APP</v>
      </c>
      <c r="G21" s="1243" t="str">
        <f>+'CIF Y PV'!$H$4</f>
        <v xml:space="preserve">MAY-COP/UMB </v>
      </c>
      <c r="H21" s="1243" t="str">
        <f>+'CIF Y PV'!$I$4</f>
        <v>MAY-COP/APP</v>
      </c>
      <c r="I21" s="828"/>
    </row>
    <row r="22" spans="2:11" x14ac:dyDescent="0.25">
      <c r="B22" s="831">
        <v>1340009</v>
      </c>
      <c r="C22" s="831" t="s">
        <v>1085</v>
      </c>
      <c r="D22" s="832">
        <v>1</v>
      </c>
      <c r="E22" s="885">
        <f>VLOOKUP(B22,[2]Hoja1!$C$2:$E$279,3,FALSE)</f>
        <v>373.7</v>
      </c>
      <c r="F22" s="832">
        <f>D22*E22</f>
        <v>373.7</v>
      </c>
      <c r="G22" s="885">
        <v>372.57</v>
      </c>
      <c r="H22" s="830">
        <f>G22*D22</f>
        <v>372.57</v>
      </c>
      <c r="I22" s="829"/>
    </row>
    <row r="23" spans="2:11" x14ac:dyDescent="0.25">
      <c r="B23" s="1290"/>
      <c r="C23" s="1290" t="s">
        <v>37</v>
      </c>
      <c r="D23" s="1291"/>
      <c r="E23" s="1292"/>
      <c r="F23" s="1292">
        <f>F22</f>
        <v>373.7</v>
      </c>
      <c r="G23" s="1292"/>
      <c r="H23" s="1292">
        <f>SUM(H22)</f>
        <v>372.57</v>
      </c>
      <c r="I23" s="802"/>
    </row>
    <row r="25" spans="2:11" x14ac:dyDescent="0.25">
      <c r="H25" s="1" t="str">
        <f>+'CIF Y PV'!$G$1</f>
        <v>MAYO</v>
      </c>
      <c r="I25" s="182"/>
      <c r="K25" s="182"/>
    </row>
    <row r="26" spans="2:11" x14ac:dyDescent="0.25">
      <c r="B26" s="1750" t="s">
        <v>397</v>
      </c>
      <c r="C26" s="1750"/>
      <c r="E26" s="881"/>
      <c r="F26" s="881"/>
      <c r="G26" s="881"/>
      <c r="H26" s="881">
        <f>F23+G7</f>
        <v>6130.0158822241992</v>
      </c>
      <c r="I26" s="181"/>
      <c r="J26" s="881"/>
      <c r="K26" s="181"/>
    </row>
    <row r="27" spans="2:11" x14ac:dyDescent="0.25">
      <c r="B27" s="1758" t="s">
        <v>48</v>
      </c>
      <c r="C27" s="1759"/>
      <c r="E27" s="881"/>
      <c r="F27" s="881"/>
      <c r="G27" s="881"/>
      <c r="H27" s="881">
        <v>0</v>
      </c>
      <c r="I27" s="182"/>
      <c r="J27" s="881"/>
      <c r="K27" s="182"/>
    </row>
    <row r="28" spans="2:11" x14ac:dyDescent="0.25">
      <c r="B28" s="1758" t="s">
        <v>820</v>
      </c>
      <c r="C28" s="1759"/>
      <c r="E28" s="881"/>
      <c r="F28" s="881"/>
      <c r="G28" s="881"/>
      <c r="H28" s="881">
        <f>H27+H26</f>
        <v>6130.0158822241992</v>
      </c>
      <c r="I28" s="152"/>
      <c r="J28" s="881"/>
      <c r="K28" s="152"/>
    </row>
    <row r="29" spans="2:11" x14ac:dyDescent="0.25">
      <c r="B29" s="1750" t="s">
        <v>49</v>
      </c>
      <c r="C29" s="1750"/>
      <c r="E29" s="881"/>
      <c r="F29" s="881"/>
      <c r="G29" s="881"/>
      <c r="H29" s="881">
        <f>'CIF Y PV'!C6</f>
        <v>12007.44</v>
      </c>
      <c r="J29" s="881"/>
      <c r="K29" s="339"/>
    </row>
    <row r="30" spans="2:11" x14ac:dyDescent="0.25">
      <c r="B30" s="1750" t="s">
        <v>805</v>
      </c>
      <c r="C30" s="1750"/>
      <c r="E30" s="881"/>
      <c r="F30" s="881"/>
      <c r="G30" s="881"/>
      <c r="H30" s="1229">
        <f>+(H29-H28)/H29</f>
        <v>0.48948186439206032</v>
      </c>
      <c r="I30" s="137"/>
      <c r="K30" s="137"/>
    </row>
    <row r="31" spans="2:11" x14ac:dyDescent="0.25">
      <c r="I31" s="182"/>
      <c r="K31" s="182"/>
    </row>
    <row r="32" spans="2:11" x14ac:dyDescent="0.25">
      <c r="I32" s="182"/>
    </row>
  </sheetData>
  <mergeCells count="9">
    <mergeCell ref="B30:C30"/>
    <mergeCell ref="B27:C27"/>
    <mergeCell ref="B28:C28"/>
    <mergeCell ref="B29:C29"/>
    <mergeCell ref="B2:I2"/>
    <mergeCell ref="B7:C7"/>
    <mergeCell ref="B9:C9"/>
    <mergeCell ref="B26:C26"/>
    <mergeCell ref="B20:F20"/>
  </mergeCells>
  <pageMargins left="0.7" right="0.7" top="0.75" bottom="0.75" header="0.3" footer="0.3"/>
  <pageSetup scale="4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9D6F-DBB4-4086-97B6-867B0232F690}">
  <sheetPr codeName="Hoja19"/>
  <dimension ref="B2:M50"/>
  <sheetViews>
    <sheetView view="pageBreakPreview" topLeftCell="A4" zoomScaleNormal="100" zoomScaleSheetLayoutView="100" workbookViewId="0">
      <selection activeCell="E13" sqref="E13"/>
    </sheetView>
  </sheetViews>
  <sheetFormatPr baseColWidth="10" defaultColWidth="11.5703125" defaultRowHeight="13.5" x14ac:dyDescent="0.25"/>
  <cols>
    <col min="1" max="1" width="5.140625" style="120" customWidth="1"/>
    <col min="2" max="2" width="18.42578125" style="120" customWidth="1"/>
    <col min="3" max="3" width="48.140625" style="120" customWidth="1"/>
    <col min="4" max="4" width="13.28515625" style="120" customWidth="1"/>
    <col min="5" max="5" width="12" style="120" customWidth="1"/>
    <col min="6" max="7" width="13.140625" style="120" customWidth="1"/>
    <col min="8" max="8" width="14" style="120" bestFit="1" customWidth="1"/>
    <col min="9" max="9" width="13.140625" style="120" customWidth="1"/>
    <col min="10" max="10" width="11.140625" style="120" customWidth="1"/>
    <col min="11" max="11" width="15.5703125" style="170" bestFit="1" customWidth="1"/>
    <col min="12" max="12" width="11.5703125" style="120"/>
    <col min="13" max="13" width="15.42578125" style="120" bestFit="1" customWidth="1"/>
    <col min="14" max="14" width="8.85546875" style="120" customWidth="1"/>
    <col min="15" max="16384" width="11.5703125" style="120"/>
  </cols>
  <sheetData>
    <row r="2" spans="2:13" ht="30" customHeight="1" x14ac:dyDescent="0.25">
      <c r="B2" s="1738" t="s">
        <v>809</v>
      </c>
      <c r="C2" s="1738"/>
      <c r="D2" s="1738"/>
      <c r="E2" s="1738"/>
      <c r="F2" s="1738"/>
      <c r="G2" s="1738"/>
      <c r="H2" s="855"/>
      <c r="I2" s="855"/>
      <c r="J2" s="855"/>
    </row>
    <row r="3" spans="2:13" ht="14.25" x14ac:dyDescent="0.25">
      <c r="M3" s="47" t="s">
        <v>967</v>
      </c>
    </row>
    <row r="4" spans="2:13" s="3" customFormat="1" ht="25.5" x14ac:dyDescent="0.25">
      <c r="B4" s="1244" t="s">
        <v>0</v>
      </c>
      <c r="C4" s="1244" t="s">
        <v>1</v>
      </c>
      <c r="D4" s="1244" t="s">
        <v>2</v>
      </c>
      <c r="E4" s="1244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303">
        <f>+D26/1000</f>
        <v>1.3680000000000001</v>
      </c>
      <c r="L4" s="1304">
        <v>250</v>
      </c>
      <c r="M4" s="1305"/>
    </row>
    <row r="5" spans="2:13" x14ac:dyDescent="0.25">
      <c r="B5" s="1182">
        <f>VLOOKUP(C5,[1]Hoja1!$B$2:$C$260,2,FALSE)</f>
        <v>1112001</v>
      </c>
      <c r="C5" s="6" t="s">
        <v>797</v>
      </c>
      <c r="D5" s="103">
        <v>0.34200000000000003</v>
      </c>
      <c r="E5" s="248">
        <v>25</v>
      </c>
      <c r="F5" s="896">
        <f>VLOOKUP(B5,[2]Hoja1!$C$2:$E$279,3,FALSE)</f>
        <v>3663.96</v>
      </c>
      <c r="G5" s="248">
        <f>F5*D5</f>
        <v>1253.0743200000002</v>
      </c>
      <c r="H5" s="896">
        <v>4222.72</v>
      </c>
      <c r="I5" s="856">
        <f>H5*D5</f>
        <v>1444.1702400000001</v>
      </c>
      <c r="J5" s="32">
        <f>((F5/H5)*100)-100</f>
        <v>-13.232229463473786</v>
      </c>
      <c r="K5" s="776">
        <f>$K$4*E5%</f>
        <v>0.34200000000000003</v>
      </c>
      <c r="L5" s="277">
        <f>$L$4*E5%</f>
        <v>62.5</v>
      </c>
      <c r="M5" s="281">
        <f>L5*F5</f>
        <v>228997.5</v>
      </c>
    </row>
    <row r="6" spans="2:13" x14ac:dyDescent="0.25">
      <c r="B6" s="1182">
        <f>VLOOKUP(C6,[1]Hoja1!$B$2:$C$260,2,FALSE)</f>
        <v>1122001</v>
      </c>
      <c r="C6" s="6" t="s">
        <v>1030</v>
      </c>
      <c r="D6" s="7">
        <v>0.30096000000000001</v>
      </c>
      <c r="E6" s="248">
        <v>22</v>
      </c>
      <c r="F6" s="896">
        <f>VLOOKUP(B6,[2]Hoja1!$C$2:$E$279,3,FALSE)</f>
        <v>11506.13</v>
      </c>
      <c r="G6" s="248">
        <f t="shared" ref="G6:G23" si="0">F6*D6</f>
        <v>3462.8848847999998</v>
      </c>
      <c r="H6" s="38">
        <v>14000</v>
      </c>
      <c r="I6" s="856">
        <f t="shared" ref="I6:I23" si="1">H6*D6</f>
        <v>4213.4400000000005</v>
      </c>
      <c r="J6" s="32">
        <f t="shared" ref="J6:J23" si="2">((F6/H6)*100)-100</f>
        <v>-17.813357142857143</v>
      </c>
      <c r="K6" s="776">
        <f t="shared" ref="K6:K23" si="3">$K$4*E6%</f>
        <v>0.30096000000000001</v>
      </c>
      <c r="L6" s="277">
        <f t="shared" ref="L6:L23" si="4">$L$4*E6%</f>
        <v>55</v>
      </c>
      <c r="M6" s="120">
        <f t="shared" ref="M6:M23" si="5">L6*F6</f>
        <v>632837.14999999991</v>
      </c>
    </row>
    <row r="7" spans="2:13" x14ac:dyDescent="0.25">
      <c r="B7" s="1182">
        <v>1122008</v>
      </c>
      <c r="C7" s="6" t="s">
        <v>1142</v>
      </c>
      <c r="D7" s="7">
        <v>0.30096000000000001</v>
      </c>
      <c r="E7" s="248">
        <v>22</v>
      </c>
      <c r="F7" s="896">
        <f>VLOOKUP(B7,[2]Hoja1!$C$2:$E$279,3,FALSE)</f>
        <v>12059.2</v>
      </c>
      <c r="G7" s="248">
        <f t="shared" si="0"/>
        <v>3629.3368320000004</v>
      </c>
      <c r="H7" s="896">
        <v>12498.76</v>
      </c>
      <c r="I7" s="856">
        <f t="shared" si="1"/>
        <v>3761.6268096000003</v>
      </c>
      <c r="J7" s="32">
        <f t="shared" si="2"/>
        <v>-3.5168288694238328</v>
      </c>
      <c r="K7" s="776">
        <f t="shared" si="3"/>
        <v>0.30096000000000001</v>
      </c>
      <c r="L7" s="277">
        <f t="shared" si="4"/>
        <v>55</v>
      </c>
      <c r="M7" s="120">
        <f t="shared" si="5"/>
        <v>663256</v>
      </c>
    </row>
    <row r="8" spans="2:13" ht="16.5" x14ac:dyDescent="0.25">
      <c r="B8" s="1182">
        <f>VLOOKUP(C8,[1]Hoja1!$B$2:$C$260,2,FALSE)</f>
        <v>1131002</v>
      </c>
      <c r="C8" s="6" t="s">
        <v>663</v>
      </c>
      <c r="D8" s="7">
        <v>0.20574719999999999</v>
      </c>
      <c r="E8" s="248">
        <v>15.04</v>
      </c>
      <c r="F8" s="896">
        <f>VLOOKUP(B8,[2]Hoja1!$C$2:$E$279,3,FALSE)</f>
        <v>0</v>
      </c>
      <c r="G8" s="248">
        <f t="shared" si="0"/>
        <v>0</v>
      </c>
      <c r="H8" s="72">
        <v>0</v>
      </c>
      <c r="I8" s="856">
        <f t="shared" si="1"/>
        <v>0</v>
      </c>
      <c r="J8" s="32" t="e">
        <f t="shared" si="2"/>
        <v>#DIV/0!</v>
      </c>
      <c r="K8" s="776">
        <f t="shared" si="3"/>
        <v>0.20574719999999999</v>
      </c>
      <c r="L8" s="277">
        <f t="shared" si="4"/>
        <v>37.599999999999994</v>
      </c>
      <c r="M8" s="120">
        <f t="shared" si="5"/>
        <v>0</v>
      </c>
    </row>
    <row r="9" spans="2:13" x14ac:dyDescent="0.25">
      <c r="B9" s="1182">
        <f>VLOOKUP(C9,[1]Hoja1!$B$2:$C$260,2,FALSE)</f>
        <v>1270004</v>
      </c>
      <c r="C9" s="30" t="s">
        <v>1032</v>
      </c>
      <c r="D9" s="7">
        <v>5.4720000000000007E-4</v>
      </c>
      <c r="E9" s="248">
        <v>0.04</v>
      </c>
      <c r="F9" s="896">
        <f>VLOOKUP(B9,[2]Hoja1!$C$2:$E$279,3,FALSE)</f>
        <v>50662</v>
      </c>
      <c r="G9" s="248">
        <f t="shared" si="0"/>
        <v>27.722246400000003</v>
      </c>
      <c r="H9" s="879">
        <v>53849.37</v>
      </c>
      <c r="I9" s="856">
        <f t="shared" si="1"/>
        <v>29.466375264000007</v>
      </c>
      <c r="J9" s="32">
        <f t="shared" si="2"/>
        <v>-5.9190478922966179</v>
      </c>
      <c r="K9" s="776">
        <f t="shared" si="3"/>
        <v>5.4720000000000007E-4</v>
      </c>
      <c r="L9" s="277">
        <f t="shared" si="4"/>
        <v>0.1</v>
      </c>
      <c r="M9" s="120">
        <f t="shared" si="5"/>
        <v>5066.2000000000007</v>
      </c>
    </row>
    <row r="10" spans="2:13" x14ac:dyDescent="0.25">
      <c r="B10" s="1182">
        <f>VLOOKUP(C10,[1]Hoja1!$B$2:$C$260,2,FALSE)</f>
        <v>1210006</v>
      </c>
      <c r="C10" s="6" t="s">
        <v>1130</v>
      </c>
      <c r="D10" s="7">
        <v>2.7360000000000002E-2</v>
      </c>
      <c r="E10" s="248">
        <v>2</v>
      </c>
      <c r="F10" s="896">
        <f>VLOOKUP(B10,[2]Hoja1!$C$2:$E$279,3,FALSE)</f>
        <v>8904.4500000000007</v>
      </c>
      <c r="G10" s="248">
        <f t="shared" si="0"/>
        <v>243.62575200000003</v>
      </c>
      <c r="H10" s="914">
        <v>8910.1</v>
      </c>
      <c r="I10" s="856">
        <f t="shared" si="1"/>
        <v>243.78033600000003</v>
      </c>
      <c r="J10" s="32">
        <f t="shared" si="2"/>
        <v>-6.3411185059649711E-2</v>
      </c>
      <c r="K10" s="776">
        <f t="shared" si="3"/>
        <v>2.7360000000000002E-2</v>
      </c>
      <c r="L10" s="277">
        <f t="shared" si="4"/>
        <v>5</v>
      </c>
      <c r="M10" s="120">
        <f t="shared" si="5"/>
        <v>44522.25</v>
      </c>
    </row>
    <row r="11" spans="2:13" x14ac:dyDescent="0.25">
      <c r="B11" s="1182">
        <f>VLOOKUP(C11,[1]Hoja1!$B$2:$C$260,2,FALSE)</f>
        <v>1210004</v>
      </c>
      <c r="C11" s="6" t="s">
        <v>1131</v>
      </c>
      <c r="D11" s="7">
        <v>1.2312E-3</v>
      </c>
      <c r="E11" s="248">
        <v>0.09</v>
      </c>
      <c r="F11" s="896">
        <f>VLOOKUP(B11,[2]Hoja1!$C$2:$E$279,3,FALSE)</f>
        <v>3841</v>
      </c>
      <c r="G11" s="248">
        <f t="shared" si="0"/>
        <v>4.7290391999999999</v>
      </c>
      <c r="H11" s="914">
        <v>3508.01</v>
      </c>
      <c r="I11" s="856">
        <f t="shared" si="1"/>
        <v>4.3190619120000004</v>
      </c>
      <c r="J11" s="32">
        <f t="shared" si="2"/>
        <v>9.4922762477871885</v>
      </c>
      <c r="K11" s="776">
        <f t="shared" si="3"/>
        <v>1.2312E-3</v>
      </c>
      <c r="L11" s="277">
        <f t="shared" si="4"/>
        <v>0.22500000000000001</v>
      </c>
      <c r="M11" s="120">
        <f t="shared" si="5"/>
        <v>864.22500000000002</v>
      </c>
    </row>
    <row r="12" spans="2:13" x14ac:dyDescent="0.25">
      <c r="B12" s="1182">
        <f>VLOOKUP(C12,[1]Hoja1!$B$2:$C$260,2,FALSE)</f>
        <v>1210002</v>
      </c>
      <c r="C12" s="6" t="s">
        <v>1033</v>
      </c>
      <c r="D12" s="7">
        <v>4.104E-3</v>
      </c>
      <c r="E12" s="248">
        <v>0.3</v>
      </c>
      <c r="F12" s="896">
        <f>VLOOKUP(B12,[2]Hoja1!$C$2:$E$279,3,FALSE)</f>
        <v>12886</v>
      </c>
      <c r="G12" s="248">
        <f t="shared" si="0"/>
        <v>52.884143999999999</v>
      </c>
      <c r="H12" s="914">
        <v>12858.08</v>
      </c>
      <c r="I12" s="856">
        <f t="shared" si="1"/>
        <v>52.769560319999997</v>
      </c>
      <c r="J12" s="32">
        <f t="shared" si="2"/>
        <v>0.21713972848201024</v>
      </c>
      <c r="K12" s="776">
        <f t="shared" si="3"/>
        <v>4.104E-3</v>
      </c>
      <c r="L12" s="277">
        <f t="shared" si="4"/>
        <v>0.75</v>
      </c>
      <c r="M12" s="120">
        <f t="shared" si="5"/>
        <v>9664.5</v>
      </c>
    </row>
    <row r="13" spans="2:13" x14ac:dyDescent="0.25">
      <c r="B13" s="1182">
        <f>VLOOKUP(C13,[1]Hoja1!$B$2:$C$260,2,FALSE)</f>
        <v>1220009</v>
      </c>
      <c r="C13" s="6" t="s">
        <v>1133</v>
      </c>
      <c r="D13" s="7">
        <v>8.208E-4</v>
      </c>
      <c r="E13" s="248">
        <v>0.06</v>
      </c>
      <c r="F13" s="896">
        <f>VLOOKUP(B13,[2]Hoja1!$C$2:$E$279,3,FALSE)</f>
        <v>21312.16</v>
      </c>
      <c r="G13" s="248">
        <f t="shared" si="0"/>
        <v>17.493020928</v>
      </c>
      <c r="H13" s="95">
        <v>20299</v>
      </c>
      <c r="I13" s="856">
        <f t="shared" si="1"/>
        <v>16.661419200000001</v>
      </c>
      <c r="J13" s="32">
        <f t="shared" si="2"/>
        <v>4.9911818316173253</v>
      </c>
      <c r="K13" s="776">
        <f t="shared" si="3"/>
        <v>8.208E-4</v>
      </c>
      <c r="L13" s="277">
        <f t="shared" si="4"/>
        <v>0.15</v>
      </c>
      <c r="M13" s="120">
        <f t="shared" si="5"/>
        <v>3196.8240000000001</v>
      </c>
    </row>
    <row r="14" spans="2:13" x14ac:dyDescent="0.25">
      <c r="B14" s="1182">
        <f>VLOOKUP(C14,[1]Hoja1!$B$2:$C$260,2,FALSE)</f>
        <v>1230013</v>
      </c>
      <c r="C14" s="6" t="s">
        <v>754</v>
      </c>
      <c r="D14" s="7">
        <v>2.7360000000000002E-3</v>
      </c>
      <c r="E14" s="248">
        <v>0.2</v>
      </c>
      <c r="F14" s="896">
        <f>VLOOKUP(B14,[2]Hoja1!$C$2:$E$279,3,FALSE)</f>
        <v>20777.07</v>
      </c>
      <c r="G14" s="248">
        <f t="shared" si="0"/>
        <v>56.846063520000001</v>
      </c>
      <c r="H14" s="274">
        <v>19794.98</v>
      </c>
      <c r="I14" s="856">
        <f t="shared" si="1"/>
        <v>54.15906528</v>
      </c>
      <c r="J14" s="32">
        <f t="shared" si="2"/>
        <v>4.9613083721226303</v>
      </c>
      <c r="K14" s="776">
        <f t="shared" si="3"/>
        <v>2.7360000000000002E-3</v>
      </c>
      <c r="L14" s="277">
        <f t="shared" si="4"/>
        <v>0.5</v>
      </c>
      <c r="M14" s="120">
        <f t="shared" si="5"/>
        <v>10388.535</v>
      </c>
    </row>
    <row r="15" spans="2:13" x14ac:dyDescent="0.25">
      <c r="B15" s="1182">
        <f>VLOOKUP(C15,[1]Hoja1!$B$2:$C$260,2,FALSE)</f>
        <v>1220005</v>
      </c>
      <c r="C15" s="6" t="s">
        <v>1135</v>
      </c>
      <c r="D15" s="7">
        <v>8.208E-4</v>
      </c>
      <c r="E15" s="248">
        <v>0.06</v>
      </c>
      <c r="F15" s="896">
        <f>VLOOKUP(B15,[2]Hoja1!$C$2:$E$279,3,FALSE)</f>
        <v>17429.990000000002</v>
      </c>
      <c r="G15" s="248">
        <f t="shared" si="0"/>
        <v>14.306535792000002</v>
      </c>
      <c r="H15" s="95">
        <v>17430</v>
      </c>
      <c r="I15" s="856">
        <f t="shared" si="1"/>
        <v>14.306544000000001</v>
      </c>
      <c r="J15" s="32">
        <f t="shared" si="2"/>
        <v>-5.7372346518036466E-5</v>
      </c>
      <c r="K15" s="776">
        <f t="shared" si="3"/>
        <v>8.208E-4</v>
      </c>
      <c r="L15" s="277">
        <f t="shared" si="4"/>
        <v>0.15</v>
      </c>
      <c r="M15" s="120">
        <f t="shared" si="5"/>
        <v>2614.4985000000001</v>
      </c>
    </row>
    <row r="16" spans="2:13" x14ac:dyDescent="0.25">
      <c r="B16" s="1182">
        <f>VLOOKUP(C16,[1]Hoja1!$B$2:$C$260,2,FALSE)</f>
        <v>1220007</v>
      </c>
      <c r="C16" s="6" t="s">
        <v>916</v>
      </c>
      <c r="D16" s="7">
        <v>8.208E-4</v>
      </c>
      <c r="E16" s="248">
        <v>0.06</v>
      </c>
      <c r="F16" s="896">
        <f>VLOOKUP(B16,[2]Hoja1!$C$2:$E$279,3,FALSE)</f>
        <v>60081.72</v>
      </c>
      <c r="G16" s="248">
        <f t="shared" si="0"/>
        <v>49.315075776</v>
      </c>
      <c r="H16" s="106">
        <v>56748.6</v>
      </c>
      <c r="I16" s="856">
        <f t="shared" si="1"/>
        <v>46.579250879999996</v>
      </c>
      <c r="J16" s="32">
        <f t="shared" si="2"/>
        <v>5.8734841035726078</v>
      </c>
      <c r="K16" s="776">
        <f t="shared" si="3"/>
        <v>8.208E-4</v>
      </c>
      <c r="L16" s="277">
        <f t="shared" si="4"/>
        <v>0.15</v>
      </c>
      <c r="M16" s="120">
        <f t="shared" si="5"/>
        <v>9012.2579999999998</v>
      </c>
    </row>
    <row r="17" spans="2:13" x14ac:dyDescent="0.25">
      <c r="B17" s="1182">
        <f>VLOOKUP(C17,[1]Hoja1!$B$2:$C$260,2,FALSE)</f>
        <v>1210003</v>
      </c>
      <c r="C17" s="6" t="s">
        <v>1143</v>
      </c>
      <c r="D17" s="7">
        <v>6.8400000000000004E-4</v>
      </c>
      <c r="E17" s="248">
        <v>0.05</v>
      </c>
      <c r="F17" s="896">
        <f>VLOOKUP(B17,[2]Hoja1!$C$2:$E$279,3,FALSE)</f>
        <v>16235.45</v>
      </c>
      <c r="G17" s="248">
        <f t="shared" si="0"/>
        <v>11.105047800000001</v>
      </c>
      <c r="H17" s="914">
        <v>12852.58</v>
      </c>
      <c r="I17" s="856">
        <f t="shared" si="1"/>
        <v>8.7911647200000012</v>
      </c>
      <c r="J17" s="32">
        <f t="shared" si="2"/>
        <v>26.320551982559152</v>
      </c>
      <c r="K17" s="776">
        <f t="shared" si="3"/>
        <v>6.8400000000000004E-4</v>
      </c>
      <c r="L17" s="277">
        <f t="shared" si="4"/>
        <v>0.125</v>
      </c>
      <c r="M17" s="120">
        <f t="shared" si="5"/>
        <v>2029.4312500000001</v>
      </c>
    </row>
    <row r="18" spans="2:13" x14ac:dyDescent="0.25">
      <c r="B18" s="1182">
        <f>VLOOKUP(C18,[1]Hoja1!$B$2:$C$260,2,FALSE)</f>
        <v>1121009</v>
      </c>
      <c r="C18" s="6" t="s">
        <v>1272</v>
      </c>
      <c r="D18" s="7">
        <v>9.5760000000000012E-2</v>
      </c>
      <c r="E18" s="248">
        <v>7</v>
      </c>
      <c r="F18" s="896">
        <f>VLOOKUP(B18,[2]Hoja1!$C$2:$E$279,3,FALSE)</f>
        <v>8741.6200000000008</v>
      </c>
      <c r="G18" s="248">
        <f t="shared" si="0"/>
        <v>837.09753120000016</v>
      </c>
      <c r="H18" s="95">
        <v>8754.2800000000007</v>
      </c>
      <c r="I18" s="856">
        <f t="shared" si="1"/>
        <v>838.30985280000016</v>
      </c>
      <c r="J18" s="32">
        <f t="shared" si="2"/>
        <v>-0.14461497690273006</v>
      </c>
      <c r="K18" s="776">
        <f t="shared" si="3"/>
        <v>9.5760000000000012E-2</v>
      </c>
      <c r="L18" s="277">
        <f t="shared" si="4"/>
        <v>17.5</v>
      </c>
      <c r="M18" s="120">
        <f t="shared" si="5"/>
        <v>152978.35</v>
      </c>
    </row>
    <row r="19" spans="2:13" x14ac:dyDescent="0.25">
      <c r="B19" s="1182">
        <f>VLOOKUP(C19,[1]Hoja1!$B$2:$C$260,2,FALSE)</f>
        <v>1240002</v>
      </c>
      <c r="C19" s="6" t="s">
        <v>1140</v>
      </c>
      <c r="D19" s="7">
        <v>4.104E-3</v>
      </c>
      <c r="E19" s="248">
        <v>0.3</v>
      </c>
      <c r="F19" s="896">
        <f>VLOOKUP(B19,[2]Hoja1!$C$2:$E$279,3,FALSE)</f>
        <v>66115.8</v>
      </c>
      <c r="G19" s="248">
        <f t="shared" si="0"/>
        <v>271.3392432</v>
      </c>
      <c r="H19" s="914">
        <v>70840.75</v>
      </c>
      <c r="I19" s="856">
        <f t="shared" si="1"/>
        <v>290.73043799999999</v>
      </c>
      <c r="J19" s="32">
        <f t="shared" si="2"/>
        <v>-6.6698192777461998</v>
      </c>
      <c r="K19" s="776">
        <f t="shared" si="3"/>
        <v>4.104E-3</v>
      </c>
      <c r="L19" s="277">
        <f t="shared" si="4"/>
        <v>0.75</v>
      </c>
      <c r="M19" s="120">
        <f t="shared" si="5"/>
        <v>49586.850000000006</v>
      </c>
    </row>
    <row r="20" spans="2:13" x14ac:dyDescent="0.25">
      <c r="B20" s="1182">
        <f>VLOOKUP(C20,[1]Hoja1!$B$2:$C$260,2,FALSE)</f>
        <v>1250004</v>
      </c>
      <c r="C20" s="6" t="s">
        <v>969</v>
      </c>
      <c r="D20" s="7">
        <v>1.3680000000000002E-4</v>
      </c>
      <c r="E20" s="248">
        <v>0.01</v>
      </c>
      <c r="F20" s="896">
        <f>VLOOKUP(B20,[2]Hoja1!$C$2:$E$279,3,FALSE)</f>
        <v>164481.95000000001</v>
      </c>
      <c r="G20" s="248">
        <f t="shared" si="0"/>
        <v>22.501130760000006</v>
      </c>
      <c r="H20" s="106">
        <v>156520.01999999999</v>
      </c>
      <c r="I20" s="856">
        <f t="shared" si="1"/>
        <v>21.411938736</v>
      </c>
      <c r="J20" s="32">
        <f t="shared" si="2"/>
        <v>5.0868444816196927</v>
      </c>
      <c r="K20" s="776">
        <f t="shared" si="3"/>
        <v>1.3680000000000002E-4</v>
      </c>
      <c r="L20" s="277">
        <f t="shared" si="4"/>
        <v>2.5000000000000001E-2</v>
      </c>
      <c r="M20" s="120">
        <f t="shared" si="5"/>
        <v>4112.0487500000008</v>
      </c>
    </row>
    <row r="21" spans="2:13" x14ac:dyDescent="0.25">
      <c r="B21" s="1182">
        <f>VLOOKUP(C21,[1]Hoja1!$B$2:$C$260,2,FALSE)</f>
        <v>1250009</v>
      </c>
      <c r="C21" s="6" t="s">
        <v>1279</v>
      </c>
      <c r="D21" s="7">
        <v>2.7360000000000004E-4</v>
      </c>
      <c r="E21" s="248">
        <v>0.02</v>
      </c>
      <c r="F21" s="896">
        <f>VLOOKUP(B21,[2]Hoja1!$C$2:$E$279,3,FALSE)</f>
        <v>83551.55</v>
      </c>
      <c r="G21" s="248">
        <f t="shared" si="0"/>
        <v>22.859704080000004</v>
      </c>
      <c r="H21" s="388">
        <v>71910.02</v>
      </c>
      <c r="I21" s="856">
        <f t="shared" si="1"/>
        <v>19.674581472000003</v>
      </c>
      <c r="J21" s="32">
        <f t="shared" si="2"/>
        <v>16.18902344902699</v>
      </c>
      <c r="K21" s="776">
        <f t="shared" si="3"/>
        <v>2.7360000000000004E-4</v>
      </c>
      <c r="L21" s="277">
        <f t="shared" si="4"/>
        <v>0.05</v>
      </c>
      <c r="M21" s="120">
        <f t="shared" si="5"/>
        <v>4177.5775000000003</v>
      </c>
    </row>
    <row r="22" spans="2:13" x14ac:dyDescent="0.25">
      <c r="B22" s="1182">
        <f>VLOOKUP(C22,[1]Hoja1!$B$2:$C$260,2,FALSE)</f>
        <v>1260017</v>
      </c>
      <c r="C22" s="6" t="s">
        <v>832</v>
      </c>
      <c r="D22" s="7">
        <v>5.7456000000000007E-2</v>
      </c>
      <c r="E22" s="248">
        <v>4.2</v>
      </c>
      <c r="F22" s="896">
        <f>VLOOKUP(B22,[2]Hoja1!$C$2:$E$279,3,FALSE)</f>
        <v>4500</v>
      </c>
      <c r="G22" s="248">
        <f t="shared" si="0"/>
        <v>258.55200000000002</v>
      </c>
      <c r="H22" s="95">
        <v>4500</v>
      </c>
      <c r="I22" s="856">
        <f t="shared" si="1"/>
        <v>258.55200000000002</v>
      </c>
      <c r="J22" s="32">
        <f t="shared" si="2"/>
        <v>0</v>
      </c>
      <c r="K22" s="776">
        <f t="shared" si="3"/>
        <v>5.7456000000000007E-2</v>
      </c>
      <c r="L22" s="277">
        <f t="shared" si="4"/>
        <v>10.5</v>
      </c>
      <c r="M22" s="120">
        <f t="shared" si="5"/>
        <v>47250</v>
      </c>
    </row>
    <row r="23" spans="2:13" x14ac:dyDescent="0.25">
      <c r="B23" s="1182">
        <f>VLOOKUP(C23,[1]Hoja1!$B$2:$C$260,2,FALSE)</f>
        <v>1220010</v>
      </c>
      <c r="C23" s="6" t="s">
        <v>1144</v>
      </c>
      <c r="D23" s="7">
        <v>2.1888000000000001E-2</v>
      </c>
      <c r="E23" s="248">
        <v>1.6</v>
      </c>
      <c r="F23" s="896">
        <f>VLOOKUP(B23,[2]Hoja1!$C$2:$E$279,3,FALSE)</f>
        <v>4744.72</v>
      </c>
      <c r="G23" s="248">
        <f t="shared" si="0"/>
        <v>103.85243136000001</v>
      </c>
      <c r="H23" s="237">
        <v>9381</v>
      </c>
      <c r="I23" s="856">
        <f t="shared" si="1"/>
        <v>205.33132800000001</v>
      </c>
      <c r="J23" s="32">
        <f t="shared" si="2"/>
        <v>-49.42202323846071</v>
      </c>
      <c r="K23" s="776">
        <f t="shared" si="3"/>
        <v>2.1888000000000001E-2</v>
      </c>
      <c r="L23" s="277">
        <f t="shared" si="4"/>
        <v>4</v>
      </c>
      <c r="M23" s="120">
        <f t="shared" si="5"/>
        <v>18978.88</v>
      </c>
    </row>
    <row r="24" spans="2:13" x14ac:dyDescent="0.2">
      <c r="B24" s="1739" t="s">
        <v>37</v>
      </c>
      <c r="C24" s="1739"/>
      <c r="D24" s="1293">
        <f>SUM(D23,D22,D21,D20,D19,D18,D17,D16,D15,D14,D13,D12,D11,D10,D9,D8,D7,D6,D5)</f>
        <v>1.3684104000000001</v>
      </c>
      <c r="E24" s="1294">
        <f>SUM(E5:E23)</f>
        <v>100.03</v>
      </c>
      <c r="F24" s="1295"/>
      <c r="G24" s="1296">
        <f>SUM(G5:G23)</f>
        <v>10339.525002815999</v>
      </c>
      <c r="H24" s="1297"/>
      <c r="I24" s="1297">
        <f>SUM(I5:I23)</f>
        <v>11524.079966184003</v>
      </c>
      <c r="J24" s="1308">
        <f>((G24/I24)*100)-100</f>
        <v>-10.278954735162671</v>
      </c>
      <c r="K24" s="1309"/>
      <c r="L24" s="1310"/>
      <c r="M24" s="1311">
        <f>SUM(M5:M23)</f>
        <v>1889533.0779999997</v>
      </c>
    </row>
    <row r="25" spans="2:13" x14ac:dyDescent="0.25">
      <c r="B25" s="240"/>
      <c r="C25" s="240"/>
      <c r="D25" s="254"/>
      <c r="E25" s="242"/>
      <c r="F25" s="242"/>
      <c r="G25" s="242"/>
      <c r="H25" s="242"/>
      <c r="I25" s="242"/>
      <c r="J25" s="916"/>
    </row>
    <row r="26" spans="2:13" ht="25.5" x14ac:dyDescent="0.25">
      <c r="B26" s="1740" t="s">
        <v>50</v>
      </c>
      <c r="C26" s="1741"/>
      <c r="D26" s="38">
        <f>+C29+(C29*C35%)</f>
        <v>1368</v>
      </c>
      <c r="E26" s="195"/>
      <c r="F26" s="195"/>
      <c r="G26" s="195"/>
      <c r="H26" s="864"/>
      <c r="I26" s="159"/>
      <c r="J26" s="195"/>
    </row>
    <row r="27" spans="2:13" x14ac:dyDescent="0.25">
      <c r="B27" s="1285" t="s">
        <v>38</v>
      </c>
      <c r="C27" s="163" t="s">
        <v>167</v>
      </c>
    </row>
    <row r="28" spans="2:13" x14ac:dyDescent="0.25">
      <c r="B28" s="1285" t="s">
        <v>39</v>
      </c>
      <c r="C28" s="163" t="s">
        <v>807</v>
      </c>
    </row>
    <row r="29" spans="2:13" x14ac:dyDescent="0.25">
      <c r="B29" s="1285" t="s">
        <v>40</v>
      </c>
      <c r="C29" s="163">
        <v>1200</v>
      </c>
      <c r="G29" s="120" t="s">
        <v>85</v>
      </c>
    </row>
    <row r="30" spans="2:13" x14ac:dyDescent="0.25">
      <c r="B30" s="1285" t="s">
        <v>41</v>
      </c>
      <c r="C30" s="163">
        <v>0</v>
      </c>
    </row>
    <row r="31" spans="2:13" x14ac:dyDescent="0.25">
      <c r="B31" s="1285" t="s">
        <v>42</v>
      </c>
      <c r="C31" s="163">
        <v>9</v>
      </c>
    </row>
    <row r="32" spans="2:13" x14ac:dyDescent="0.25">
      <c r="B32" s="1285" t="s">
        <v>43</v>
      </c>
      <c r="C32" s="163">
        <v>2</v>
      </c>
      <c r="F32" s="120">
        <f>0.2098*16</f>
        <v>3.3567999999999998</v>
      </c>
    </row>
    <row r="33" spans="2:10" x14ac:dyDescent="0.25">
      <c r="B33" s="1285" t="s">
        <v>44</v>
      </c>
      <c r="C33" s="163">
        <v>1</v>
      </c>
    </row>
    <row r="34" spans="2:10" x14ac:dyDescent="0.25">
      <c r="B34" s="1285" t="s">
        <v>45</v>
      </c>
      <c r="C34" s="163">
        <v>2</v>
      </c>
    </row>
    <row r="35" spans="2:10" x14ac:dyDescent="0.25">
      <c r="B35" s="1285" t="s">
        <v>46</v>
      </c>
      <c r="C35" s="163">
        <f>C34+C33+C32+C31</f>
        <v>14</v>
      </c>
    </row>
    <row r="37" spans="2:10" ht="25.5" x14ac:dyDescent="0.25">
      <c r="B37" s="1742" t="s">
        <v>47</v>
      </c>
      <c r="C37" s="1742"/>
      <c r="D37" s="1742"/>
      <c r="E37" s="1742"/>
      <c r="F37" s="1742"/>
      <c r="G37" s="779"/>
      <c r="H37" s="857"/>
      <c r="I37" s="857"/>
      <c r="J37" s="857"/>
    </row>
    <row r="38" spans="2:10" ht="25.5" x14ac:dyDescent="0.25">
      <c r="B38" s="1255"/>
      <c r="C38" s="1255" t="s">
        <v>1</v>
      </c>
      <c r="D38" s="1255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244" t="s">
        <v>3</v>
      </c>
      <c r="J38" s="858"/>
    </row>
    <row r="39" spans="2:10" x14ac:dyDescent="0.25">
      <c r="B39" s="783">
        <f>VLOOKUP(C39,[1]Hoja1!$B$2:$C$260,2,FALSE)</f>
        <v>1370028</v>
      </c>
      <c r="C39" s="917" t="s">
        <v>1034</v>
      </c>
      <c r="D39" s="784">
        <v>3.3567999999999998</v>
      </c>
      <c r="E39" s="24">
        <f>VLOOKUP(B39,[2]Hoja1!$C$2:$E$279,3,FALSE)</f>
        <v>186.09</v>
      </c>
      <c r="F39" s="785">
        <f>D39*E39</f>
        <v>624.66691200000002</v>
      </c>
      <c r="G39" s="24">
        <v>201.77</v>
      </c>
      <c r="H39" s="785">
        <f>G39*D39</f>
        <v>677.30153599999994</v>
      </c>
      <c r="I39" s="643">
        <f>((E39/G39)*100)-100</f>
        <v>-7.7712246617435738</v>
      </c>
      <c r="J39" s="389"/>
    </row>
    <row r="40" spans="2:10" x14ac:dyDescent="0.25">
      <c r="B40" s="783">
        <f>VLOOKUP(C40,[1]Hoja1!$B$2:$C$260,2,FALSE)</f>
        <v>1310018</v>
      </c>
      <c r="C40" s="918" t="s">
        <v>890</v>
      </c>
      <c r="D40" s="781">
        <v>0.15</v>
      </c>
      <c r="E40" s="24">
        <f>VLOOKUP(B40,[2]Hoja1!$C$2:$E$279,3,FALSE)</f>
        <v>478.26</v>
      </c>
      <c r="F40" s="785">
        <f>D40*E40</f>
        <v>71.73899999999999</v>
      </c>
      <c r="G40" s="871">
        <v>503.51</v>
      </c>
      <c r="H40" s="785">
        <f>G40*D40</f>
        <v>75.526499999999999</v>
      </c>
      <c r="I40" s="643">
        <f>((E40/G40)*100)-100</f>
        <v>-5.0147961311592582</v>
      </c>
      <c r="J40" s="389"/>
    </row>
    <row r="41" spans="2:10" x14ac:dyDescent="0.25">
      <c r="B41" s="783">
        <f>VLOOKUP(C41,[1]Hoja1!$B$2:$C$260,2,FALSE)</f>
        <v>1320004</v>
      </c>
      <c r="C41" s="918" t="s">
        <v>1141</v>
      </c>
      <c r="D41" s="781">
        <v>0.15</v>
      </c>
      <c r="E41" s="24">
        <f>VLOOKUP(B41,[2]Hoja1!$C$2:$E$279,3,FALSE)</f>
        <v>1481.51</v>
      </c>
      <c r="F41" s="785">
        <f>D41*E41</f>
        <v>222.22649999999999</v>
      </c>
      <c r="G41" s="24">
        <v>1575.9</v>
      </c>
      <c r="H41" s="785">
        <f>G41*D41</f>
        <v>236.38499999999999</v>
      </c>
      <c r="I41" s="643">
        <f>((E41/G41)*100)-100</f>
        <v>-5.9895932483025547</v>
      </c>
      <c r="J41" s="389"/>
    </row>
    <row r="42" spans="2:10" x14ac:dyDescent="0.25">
      <c r="B42" s="783">
        <f>VLOOKUP(C42,[1]Hoja1!$B$2:$C$260,2,FALSE)</f>
        <v>1330022</v>
      </c>
      <c r="C42" s="918" t="s">
        <v>943</v>
      </c>
      <c r="D42" s="781">
        <v>1</v>
      </c>
      <c r="E42" s="24">
        <f>VLOOKUP(B42,[2]Hoja1!$C$2:$E$279,3,FALSE)</f>
        <v>40.869999999999997</v>
      </c>
      <c r="F42" s="785">
        <f>D42*E42</f>
        <v>40.869999999999997</v>
      </c>
      <c r="G42" s="782">
        <v>40.200000000000003</v>
      </c>
      <c r="H42" s="785">
        <f>G42*D42</f>
        <v>40.200000000000003</v>
      </c>
      <c r="I42" s="643">
        <f>((E42/G42)*100)-100</f>
        <v>1.6666666666666572</v>
      </c>
      <c r="J42" s="389"/>
    </row>
    <row r="43" spans="2:10" x14ac:dyDescent="0.25">
      <c r="B43" s="1298"/>
      <c r="C43" s="1298" t="s">
        <v>37</v>
      </c>
      <c r="D43" s="1299"/>
      <c r="E43" s="1300"/>
      <c r="F43" s="1300">
        <f>SUM(F39:F42)</f>
        <v>959.50241200000005</v>
      </c>
      <c r="G43" s="1301"/>
      <c r="H43" s="1301">
        <f>SUM(H39:H42)</f>
        <v>1029.4130359999999</v>
      </c>
      <c r="I43" s="1302">
        <f>((F43/H43)*100)-100</f>
        <v>-6.7913093729269463</v>
      </c>
      <c r="J43" s="859"/>
    </row>
    <row r="45" spans="2:10" x14ac:dyDescent="0.25">
      <c r="G45" s="1" t="str">
        <f>+'CIF Y PV'!$G$1</f>
        <v>MAYO</v>
      </c>
    </row>
    <row r="46" spans="2:10" x14ac:dyDescent="0.25">
      <c r="B46" s="1735" t="s">
        <v>400</v>
      </c>
      <c r="C46" s="1735"/>
      <c r="E46" s="884"/>
      <c r="F46" s="884"/>
      <c r="G46" s="884">
        <f>F43+G24</f>
        <v>11299.027414815999</v>
      </c>
      <c r="H46" s="860"/>
      <c r="I46" s="884"/>
      <c r="J46" s="860"/>
    </row>
    <row r="47" spans="2:10" x14ac:dyDescent="0.25">
      <c r="B47" s="1736" t="s">
        <v>48</v>
      </c>
      <c r="C47" s="1737"/>
      <c r="E47" s="884"/>
      <c r="F47" s="884"/>
      <c r="G47" s="884">
        <f>+('CIF Y PV'!C3/1000)*1200</f>
        <v>2268</v>
      </c>
      <c r="H47" s="860"/>
      <c r="I47" s="884"/>
      <c r="J47" s="860"/>
    </row>
    <row r="48" spans="2:10" x14ac:dyDescent="0.25">
      <c r="B48" s="1736" t="s">
        <v>389</v>
      </c>
      <c r="C48" s="1737"/>
      <c r="E48" s="884"/>
      <c r="F48" s="884"/>
      <c r="G48" s="884">
        <f>+G46+G47</f>
        <v>13567.027414815999</v>
      </c>
      <c r="H48" s="860"/>
      <c r="I48" s="884"/>
      <c r="J48" s="860"/>
    </row>
    <row r="49" spans="2:10" x14ac:dyDescent="0.25">
      <c r="B49" s="1735" t="s">
        <v>49</v>
      </c>
      <c r="C49" s="1735"/>
      <c r="E49" s="884"/>
      <c r="F49" s="884"/>
      <c r="G49" s="884">
        <f>'CIF Y PV'!C46</f>
        <v>24657.980000000003</v>
      </c>
      <c r="I49" s="884"/>
      <c r="J49" s="804"/>
    </row>
    <row r="50" spans="2:10" x14ac:dyDescent="0.2">
      <c r="B50" s="1735" t="s">
        <v>805</v>
      </c>
      <c r="C50" s="1735"/>
      <c r="E50" s="884"/>
      <c r="F50" s="884"/>
      <c r="G50" s="945">
        <f>+(G49-G48)/G49</f>
        <v>0.44979161249964528</v>
      </c>
      <c r="H50" s="172"/>
      <c r="J50" s="172">
        <f>1-J49</f>
        <v>1</v>
      </c>
    </row>
  </sheetData>
  <mergeCells count="9">
    <mergeCell ref="B50:C50"/>
    <mergeCell ref="B47:C47"/>
    <mergeCell ref="B48:C48"/>
    <mergeCell ref="B49:C49"/>
    <mergeCell ref="B2:G2"/>
    <mergeCell ref="B24:C24"/>
    <mergeCell ref="B26:C26"/>
    <mergeCell ref="B37:F37"/>
    <mergeCell ref="B46:C46"/>
  </mergeCells>
  <pageMargins left="0.7" right="0.7" top="0.75" bottom="0.75" header="0.3" footer="0.3"/>
  <rowBreaks count="1" manualBreakCount="1">
    <brk id="50" max="13" man="1"/>
  </rowBreaks>
  <colBreaks count="2" manualBreakCount="2">
    <brk id="10" max="49" man="1"/>
    <brk id="14" max="53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F61B-9EC0-4487-AF3F-6FF7327B32DA}">
  <sheetPr codeName="Hoja5"/>
  <dimension ref="B2:L54"/>
  <sheetViews>
    <sheetView view="pageBreakPreview" topLeftCell="A34" zoomScale="90" zoomScaleNormal="100" zoomScaleSheetLayoutView="90" workbookViewId="0">
      <selection activeCell="F23" sqref="F23"/>
    </sheetView>
  </sheetViews>
  <sheetFormatPr baseColWidth="10" defaultColWidth="11.5703125" defaultRowHeight="13.5" x14ac:dyDescent="0.25"/>
  <cols>
    <col min="1" max="1" width="9.140625" style="120" customWidth="1"/>
    <col min="2" max="2" width="18.28515625" style="120" customWidth="1"/>
    <col min="3" max="3" width="48.5703125" style="120" customWidth="1"/>
    <col min="4" max="4" width="11.85546875" style="120" customWidth="1"/>
    <col min="5" max="5" width="13.140625" style="120" bestFit="1" customWidth="1"/>
    <col min="6" max="6" width="13.140625" style="120" customWidth="1"/>
    <col min="7" max="7" width="17.140625" style="120" bestFit="1" customWidth="1"/>
    <col min="8" max="8" width="17.140625" style="120" customWidth="1"/>
    <col min="9" max="9" width="15.28515625" style="120" customWidth="1"/>
    <col min="10" max="10" width="11.5703125" style="120" customWidth="1"/>
    <col min="11" max="11" width="12.7109375" style="170" customWidth="1"/>
    <col min="12" max="16384" width="11.5703125" style="120"/>
  </cols>
  <sheetData>
    <row r="2" spans="2:12" ht="30" customHeight="1" x14ac:dyDescent="0.25">
      <c r="B2" s="1738" t="s">
        <v>808</v>
      </c>
      <c r="C2" s="1738"/>
      <c r="D2" s="1738"/>
      <c r="E2" s="1738"/>
      <c r="F2" s="1738"/>
      <c r="G2" s="1738"/>
      <c r="H2" s="855"/>
      <c r="I2" s="855"/>
      <c r="J2" s="855"/>
    </row>
    <row r="4" spans="2:12" s="3" customFormat="1" ht="28.5" customHeight="1" x14ac:dyDescent="0.25">
      <c r="B4" s="1244" t="s">
        <v>0</v>
      </c>
      <c r="C4" s="1244" t="s">
        <v>1</v>
      </c>
      <c r="D4" s="1244" t="s">
        <v>2</v>
      </c>
      <c r="E4" s="1244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303">
        <v>0.51300000000000001</v>
      </c>
      <c r="L4" s="1303">
        <v>250</v>
      </c>
    </row>
    <row r="5" spans="2:12" x14ac:dyDescent="0.25">
      <c r="B5" s="777">
        <f>VLOOKUP(C5,[1]Hoja1!$B$2:$C$260,2,FALSE)</f>
        <v>1112001</v>
      </c>
      <c r="C5" s="6" t="s">
        <v>797</v>
      </c>
      <c r="D5" s="103">
        <v>0.12825</v>
      </c>
      <c r="E5" s="248">
        <v>25</v>
      </c>
      <c r="F5" s="896">
        <f>VLOOKUP(B5,[2]Hoja1!$C$2:$E$279,3,FALSE)</f>
        <v>3663.96</v>
      </c>
      <c r="G5" s="248">
        <f>F5*D5</f>
        <v>469.90287000000001</v>
      </c>
      <c r="H5" s="896">
        <v>4222.72</v>
      </c>
      <c r="I5" s="856">
        <f>H5*D5</f>
        <v>541.56384000000003</v>
      </c>
      <c r="J5" s="32">
        <f t="shared" ref="J5:J23" si="0">((F5/H5)*100)-100</f>
        <v>-13.232229463473786</v>
      </c>
      <c r="K5" s="776">
        <f t="shared" ref="K5:K23" si="1">$K$4*E5%</f>
        <v>0.12825</v>
      </c>
      <c r="L5" s="1159">
        <f>$L$4*E5</f>
        <v>6250</v>
      </c>
    </row>
    <row r="6" spans="2:12" x14ac:dyDescent="0.25">
      <c r="B6" s="777">
        <f>VLOOKUP(C6,[1]Hoja1!$B$2:$C$260,2,FALSE)</f>
        <v>1122001</v>
      </c>
      <c r="C6" s="6" t="s">
        <v>1030</v>
      </c>
      <c r="D6" s="7">
        <v>0.11286</v>
      </c>
      <c r="E6" s="248">
        <v>22</v>
      </c>
      <c r="F6" s="896">
        <f>VLOOKUP(B6,[2]Hoja1!$C$2:$E$279,3,FALSE)</f>
        <v>11506.13</v>
      </c>
      <c r="G6" s="248">
        <f t="shared" ref="G6:G23" si="2">F6*D6</f>
        <v>1298.5818317999999</v>
      </c>
      <c r="H6" s="38">
        <v>14000</v>
      </c>
      <c r="I6" s="856">
        <f t="shared" ref="I6:I23" si="3">H6*D6</f>
        <v>1580.04</v>
      </c>
      <c r="J6" s="32">
        <f t="shared" si="0"/>
        <v>-17.813357142857143</v>
      </c>
      <c r="K6" s="776">
        <f t="shared" si="1"/>
        <v>0.11286</v>
      </c>
      <c r="L6" s="1158"/>
    </row>
    <row r="7" spans="2:12" x14ac:dyDescent="0.25">
      <c r="B7" s="777">
        <v>1122008</v>
      </c>
      <c r="C7" s="6" t="s">
        <v>1142</v>
      </c>
      <c r="D7" s="7">
        <v>0.11286</v>
      </c>
      <c r="E7" s="248">
        <v>22</v>
      </c>
      <c r="F7" s="896">
        <f>VLOOKUP(B7,[2]Hoja1!$C$2:$E$279,3,FALSE)</f>
        <v>12059.2</v>
      </c>
      <c r="G7" s="248">
        <f t="shared" si="2"/>
        <v>1361.0013120000001</v>
      </c>
      <c r="H7" s="896">
        <v>12498.76</v>
      </c>
      <c r="I7" s="856">
        <f t="shared" si="3"/>
        <v>1410.6100536000001</v>
      </c>
      <c r="J7" s="32">
        <f t="shared" si="0"/>
        <v>-3.5168288694238328</v>
      </c>
      <c r="K7" s="776">
        <f t="shared" si="1"/>
        <v>0.11286</v>
      </c>
      <c r="L7" s="1158"/>
    </row>
    <row r="8" spans="2:12" ht="16.5" x14ac:dyDescent="0.25">
      <c r="B8" s="777">
        <f>VLOOKUP(C8,[1]Hoja1!$B$2:$C$260,2,FALSE)</f>
        <v>1131002</v>
      </c>
      <c r="C8" s="6" t="s">
        <v>663</v>
      </c>
      <c r="D8" s="7">
        <v>7.7155199999999993E-2</v>
      </c>
      <c r="E8" s="248">
        <v>15.04</v>
      </c>
      <c r="F8" s="896">
        <f>VLOOKUP(B8,[2]Hoja1!$C$2:$E$279,3,FALSE)</f>
        <v>0</v>
      </c>
      <c r="G8" s="248">
        <f t="shared" si="2"/>
        <v>0</v>
      </c>
      <c r="H8" s="72">
        <v>0</v>
      </c>
      <c r="I8" s="856">
        <f t="shared" si="3"/>
        <v>0</v>
      </c>
      <c r="J8" s="32" t="e">
        <f t="shared" si="0"/>
        <v>#DIV/0!</v>
      </c>
      <c r="K8" s="776">
        <f t="shared" si="1"/>
        <v>7.7155199999999993E-2</v>
      </c>
      <c r="L8" s="1158"/>
    </row>
    <row r="9" spans="2:12" x14ac:dyDescent="0.25">
      <c r="B9" s="777">
        <f>VLOOKUP(C9,[1]Hoja1!$B$2:$C$260,2,FALSE)</f>
        <v>1270004</v>
      </c>
      <c r="C9" s="30" t="s">
        <v>1032</v>
      </c>
      <c r="D9" s="7">
        <v>2.0520000000000003E-4</v>
      </c>
      <c r="E9" s="248">
        <v>0.04</v>
      </c>
      <c r="F9" s="896">
        <f>VLOOKUP(B9,[2]Hoja1!$C$2:$E$279,3,FALSE)</f>
        <v>50662</v>
      </c>
      <c r="G9" s="248">
        <f t="shared" si="2"/>
        <v>10.395842400000001</v>
      </c>
      <c r="H9" s="879">
        <v>53849.37</v>
      </c>
      <c r="I9" s="856">
        <f t="shared" si="3"/>
        <v>11.049890724000003</v>
      </c>
      <c r="J9" s="32">
        <f t="shared" si="0"/>
        <v>-5.9190478922966179</v>
      </c>
      <c r="K9" s="776">
        <f t="shared" si="1"/>
        <v>2.0520000000000003E-4</v>
      </c>
      <c r="L9" s="1158"/>
    </row>
    <row r="10" spans="2:12" x14ac:dyDescent="0.25">
      <c r="B10" s="777">
        <f>VLOOKUP(C10,[1]Hoja1!$B$2:$C$260,2,FALSE)</f>
        <v>1210006</v>
      </c>
      <c r="C10" s="6" t="s">
        <v>1130</v>
      </c>
      <c r="D10" s="7">
        <v>1.026E-2</v>
      </c>
      <c r="E10" s="248">
        <v>2</v>
      </c>
      <c r="F10" s="896">
        <f>VLOOKUP(B10,[2]Hoja1!$C$2:$E$279,3,FALSE)</f>
        <v>8904.4500000000007</v>
      </c>
      <c r="G10" s="248">
        <f t="shared" si="2"/>
        <v>91.359657000000013</v>
      </c>
      <c r="H10" s="914">
        <v>8910.1</v>
      </c>
      <c r="I10" s="856">
        <f t="shared" si="3"/>
        <v>91.417625999999998</v>
      </c>
      <c r="J10" s="32">
        <f t="shared" si="0"/>
        <v>-6.3411185059649711E-2</v>
      </c>
      <c r="K10" s="776">
        <f t="shared" si="1"/>
        <v>1.026E-2</v>
      </c>
      <c r="L10" s="1158"/>
    </row>
    <row r="11" spans="2:12" x14ac:dyDescent="0.25">
      <c r="B11" s="777">
        <f>VLOOKUP(C11,[1]Hoja1!$B$2:$C$260,2,FALSE)</f>
        <v>1210004</v>
      </c>
      <c r="C11" s="6" t="s">
        <v>1131</v>
      </c>
      <c r="D11" s="7">
        <v>4.617E-4</v>
      </c>
      <c r="E11" s="248">
        <v>0.09</v>
      </c>
      <c r="F11" s="896">
        <f>VLOOKUP(B11,[2]Hoja1!$C$2:$E$279,3,FALSE)</f>
        <v>3841</v>
      </c>
      <c r="G11" s="248">
        <f t="shared" si="2"/>
        <v>1.7733897000000001</v>
      </c>
      <c r="H11" s="914">
        <v>3508.01</v>
      </c>
      <c r="I11" s="856">
        <f t="shared" si="3"/>
        <v>1.6196482170000002</v>
      </c>
      <c r="J11" s="32">
        <f t="shared" si="0"/>
        <v>9.4922762477871885</v>
      </c>
      <c r="K11" s="776">
        <f t="shared" si="1"/>
        <v>4.617E-4</v>
      </c>
      <c r="L11" s="1158"/>
    </row>
    <row r="12" spans="2:12" x14ac:dyDescent="0.25">
      <c r="B12" s="777">
        <f>VLOOKUP(C12,[1]Hoja1!$B$2:$C$260,2,FALSE)</f>
        <v>1210002</v>
      </c>
      <c r="C12" s="6" t="s">
        <v>1033</v>
      </c>
      <c r="D12" s="7">
        <v>1.539E-3</v>
      </c>
      <c r="E12" s="248">
        <v>0.3</v>
      </c>
      <c r="F12" s="896">
        <f>VLOOKUP(B12,[2]Hoja1!$C$2:$E$279,3,FALSE)</f>
        <v>12886</v>
      </c>
      <c r="G12" s="248">
        <f t="shared" si="2"/>
        <v>19.831554000000001</v>
      </c>
      <c r="H12" s="914">
        <v>12858.08</v>
      </c>
      <c r="I12" s="856">
        <f t="shared" si="3"/>
        <v>19.78858512</v>
      </c>
      <c r="J12" s="32">
        <f t="shared" si="0"/>
        <v>0.21713972848201024</v>
      </c>
      <c r="K12" s="776">
        <f t="shared" si="1"/>
        <v>1.539E-3</v>
      </c>
      <c r="L12" s="1158"/>
    </row>
    <row r="13" spans="2:12" x14ac:dyDescent="0.25">
      <c r="B13" s="777">
        <f>VLOOKUP(C13,[1]Hoja1!$B$2:$C$260,2,FALSE)</f>
        <v>1220009</v>
      </c>
      <c r="C13" s="6" t="s">
        <v>1133</v>
      </c>
      <c r="D13" s="7">
        <v>3.078E-4</v>
      </c>
      <c r="E13" s="248">
        <v>0.06</v>
      </c>
      <c r="F13" s="896">
        <f>VLOOKUP(B13,[2]Hoja1!$C$2:$E$279,3,FALSE)</f>
        <v>21312.16</v>
      </c>
      <c r="G13" s="248">
        <f t="shared" si="2"/>
        <v>6.559882848</v>
      </c>
      <c r="H13" s="95">
        <v>20299</v>
      </c>
      <c r="I13" s="856">
        <f t="shared" si="3"/>
        <v>6.2480321999999999</v>
      </c>
      <c r="J13" s="32">
        <f t="shared" si="0"/>
        <v>4.9911818316173253</v>
      </c>
      <c r="K13" s="776">
        <f t="shared" si="1"/>
        <v>3.078E-4</v>
      </c>
      <c r="L13" s="1158"/>
    </row>
    <row r="14" spans="2:12" x14ac:dyDescent="0.25">
      <c r="B14" s="777">
        <f>VLOOKUP(C14,[1]Hoja1!$B$2:$C$260,2,FALSE)</f>
        <v>1230013</v>
      </c>
      <c r="C14" s="6" t="s">
        <v>754</v>
      </c>
      <c r="D14" s="7">
        <v>1.026E-3</v>
      </c>
      <c r="E14" s="248">
        <v>0.2</v>
      </c>
      <c r="F14" s="896">
        <f>VLOOKUP(B14,[2]Hoja1!$C$2:$E$279,3,FALSE)</f>
        <v>20777.07</v>
      </c>
      <c r="G14" s="248">
        <f t="shared" si="2"/>
        <v>21.31727382</v>
      </c>
      <c r="H14" s="274">
        <v>19794.98</v>
      </c>
      <c r="I14" s="856">
        <f t="shared" si="3"/>
        <v>20.309649480000001</v>
      </c>
      <c r="J14" s="32">
        <f t="shared" si="0"/>
        <v>4.9613083721226303</v>
      </c>
      <c r="K14" s="776">
        <f t="shared" si="1"/>
        <v>1.026E-3</v>
      </c>
      <c r="L14" s="1158"/>
    </row>
    <row r="15" spans="2:12" x14ac:dyDescent="0.25">
      <c r="B15" s="777">
        <f>VLOOKUP(C15,[1]Hoja1!$B$2:$C$260,2,FALSE)</f>
        <v>1220005</v>
      </c>
      <c r="C15" s="6" t="s">
        <v>1135</v>
      </c>
      <c r="D15" s="7">
        <v>3.078E-4</v>
      </c>
      <c r="E15" s="248">
        <v>0.06</v>
      </c>
      <c r="F15" s="896">
        <f>VLOOKUP(B15,[2]Hoja1!$C$2:$E$279,3,FALSE)</f>
        <v>17429.990000000002</v>
      </c>
      <c r="G15" s="248">
        <f t="shared" si="2"/>
        <v>5.3649509220000002</v>
      </c>
      <c r="H15" s="95">
        <v>17430</v>
      </c>
      <c r="I15" s="856">
        <f t="shared" si="3"/>
        <v>5.364954</v>
      </c>
      <c r="J15" s="32">
        <f t="shared" si="0"/>
        <v>-5.7372346518036466E-5</v>
      </c>
      <c r="K15" s="776">
        <f t="shared" si="1"/>
        <v>3.078E-4</v>
      </c>
      <c r="L15" s="1158"/>
    </row>
    <row r="16" spans="2:12" x14ac:dyDescent="0.25">
      <c r="B16" s="777">
        <f>VLOOKUP(C16,[1]Hoja1!$B$2:$C$260,2,FALSE)</f>
        <v>1220007</v>
      </c>
      <c r="C16" s="6" t="s">
        <v>916</v>
      </c>
      <c r="D16" s="7">
        <v>3.078E-4</v>
      </c>
      <c r="E16" s="248">
        <v>0.06</v>
      </c>
      <c r="F16" s="896">
        <f>VLOOKUP(B16,[2]Hoja1!$C$2:$E$279,3,FALSE)</f>
        <v>60081.72</v>
      </c>
      <c r="G16" s="248">
        <f t="shared" si="2"/>
        <v>18.493153416000002</v>
      </c>
      <c r="H16" s="106">
        <v>56748.6</v>
      </c>
      <c r="I16" s="856">
        <f t="shared" si="3"/>
        <v>17.46721908</v>
      </c>
      <c r="J16" s="32">
        <f t="shared" si="0"/>
        <v>5.8734841035726078</v>
      </c>
      <c r="K16" s="776">
        <f t="shared" si="1"/>
        <v>3.078E-4</v>
      </c>
      <c r="L16" s="1158"/>
    </row>
    <row r="17" spans="2:12" x14ac:dyDescent="0.25">
      <c r="B17" s="777">
        <f>VLOOKUP(C17,[1]Hoja1!$B$2:$C$260,2,FALSE)</f>
        <v>1210003</v>
      </c>
      <c r="C17" s="6" t="s">
        <v>1143</v>
      </c>
      <c r="D17" s="7">
        <v>2.565E-4</v>
      </c>
      <c r="E17" s="248">
        <v>0.05</v>
      </c>
      <c r="F17" s="896">
        <f>VLOOKUP(B17,[2]Hoja1!$C$2:$E$279,3,FALSE)</f>
        <v>16235.45</v>
      </c>
      <c r="G17" s="248">
        <f t="shared" si="2"/>
        <v>4.1643929250000005</v>
      </c>
      <c r="H17" s="914">
        <v>12852.58</v>
      </c>
      <c r="I17" s="856">
        <f t="shared" si="3"/>
        <v>3.29668677</v>
      </c>
      <c r="J17" s="32">
        <f t="shared" si="0"/>
        <v>26.320551982559152</v>
      </c>
      <c r="K17" s="776">
        <f t="shared" si="1"/>
        <v>2.565E-4</v>
      </c>
      <c r="L17" s="1158"/>
    </row>
    <row r="18" spans="2:12" x14ac:dyDescent="0.25">
      <c r="B18" s="777">
        <f>VLOOKUP(C18,[1]Hoja1!$B$2:$C$260,2,FALSE)</f>
        <v>1121009</v>
      </c>
      <c r="C18" s="6" t="s">
        <v>1272</v>
      </c>
      <c r="D18" s="7">
        <v>3.5910000000000004E-2</v>
      </c>
      <c r="E18" s="248">
        <v>7</v>
      </c>
      <c r="F18" s="896">
        <f>VLOOKUP(B18,[2]Hoja1!$C$2:$E$279,3,FALSE)</f>
        <v>8741.6200000000008</v>
      </c>
      <c r="G18" s="248">
        <f t="shared" si="2"/>
        <v>313.91157420000008</v>
      </c>
      <c r="H18" s="95">
        <v>8754.2800000000007</v>
      </c>
      <c r="I18" s="856">
        <f t="shared" si="3"/>
        <v>314.36619480000007</v>
      </c>
      <c r="J18" s="32">
        <f t="shared" si="0"/>
        <v>-0.14461497690273006</v>
      </c>
      <c r="K18" s="776">
        <f t="shared" si="1"/>
        <v>3.5910000000000004E-2</v>
      </c>
      <c r="L18" s="1158"/>
    </row>
    <row r="19" spans="2:12" x14ac:dyDescent="0.25">
      <c r="B19" s="777">
        <f>VLOOKUP(C19,[1]Hoja1!$B$2:$C$260,2,FALSE)</f>
        <v>1240002</v>
      </c>
      <c r="C19" s="6" t="s">
        <v>1140</v>
      </c>
      <c r="D19" s="7">
        <v>1.539E-3</v>
      </c>
      <c r="E19" s="248">
        <v>0.3</v>
      </c>
      <c r="F19" s="896">
        <f>VLOOKUP(B19,[2]Hoja1!$C$2:$E$279,3,FALSE)</f>
        <v>66115.8</v>
      </c>
      <c r="G19" s="248">
        <f t="shared" si="2"/>
        <v>101.75221620000001</v>
      </c>
      <c r="H19" s="914">
        <v>70840.75</v>
      </c>
      <c r="I19" s="856">
        <f t="shared" si="3"/>
        <v>109.02391425</v>
      </c>
      <c r="J19" s="32">
        <f t="shared" si="0"/>
        <v>-6.6698192777461998</v>
      </c>
      <c r="K19" s="776">
        <f t="shared" si="1"/>
        <v>1.539E-3</v>
      </c>
      <c r="L19" s="1158"/>
    </row>
    <row r="20" spans="2:12" x14ac:dyDescent="0.25">
      <c r="B20" s="777">
        <f>VLOOKUP(C20,[1]Hoja1!$B$2:$C$260,2,FALSE)</f>
        <v>1250004</v>
      </c>
      <c r="C20" s="6" t="s">
        <v>969</v>
      </c>
      <c r="D20" s="7">
        <v>5.1300000000000007E-5</v>
      </c>
      <c r="E20" s="248">
        <v>0.01</v>
      </c>
      <c r="F20" s="896">
        <f>VLOOKUP(B20,[2]Hoja1!$C$2:$E$279,3,FALSE)</f>
        <v>164481.95000000001</v>
      </c>
      <c r="G20" s="248">
        <f t="shared" si="2"/>
        <v>8.4379240350000018</v>
      </c>
      <c r="H20" s="106">
        <v>156520.01999999999</v>
      </c>
      <c r="I20" s="856">
        <f t="shared" si="3"/>
        <v>8.0294770260000004</v>
      </c>
      <c r="J20" s="32">
        <f t="shared" si="0"/>
        <v>5.0868444816196927</v>
      </c>
      <c r="K20" s="776">
        <f t="shared" si="1"/>
        <v>5.1300000000000007E-5</v>
      </c>
      <c r="L20" s="1158"/>
    </row>
    <row r="21" spans="2:12" x14ac:dyDescent="0.25">
      <c r="B21" s="777">
        <f>VLOOKUP(C21,[1]Hoja1!$B$2:$C$260,2,FALSE)</f>
        <v>1250009</v>
      </c>
      <c r="C21" s="1626" t="s">
        <v>1279</v>
      </c>
      <c r="D21" s="7">
        <v>1.0260000000000001E-4</v>
      </c>
      <c r="E21" s="248">
        <v>0.02</v>
      </c>
      <c r="F21" s="896">
        <f>VLOOKUP(B21,[2]Hoja1!$C$2:$E$279,3,FALSE)</f>
        <v>83551.55</v>
      </c>
      <c r="G21" s="248">
        <f t="shared" si="2"/>
        <v>8.5723890300000019</v>
      </c>
      <c r="H21" s="388">
        <v>71910.02</v>
      </c>
      <c r="I21" s="856">
        <f t="shared" si="3"/>
        <v>7.3779680520000017</v>
      </c>
      <c r="J21" s="32">
        <f t="shared" si="0"/>
        <v>16.18902344902699</v>
      </c>
      <c r="K21" s="776">
        <f t="shared" si="1"/>
        <v>1.0260000000000001E-4</v>
      </c>
      <c r="L21" s="1158"/>
    </row>
    <row r="22" spans="2:12" x14ac:dyDescent="0.25">
      <c r="B22" s="777">
        <f>VLOOKUP(C22,[1]Hoja1!$B$2:$C$260,2,FALSE)</f>
        <v>1260017</v>
      </c>
      <c r="C22" s="6" t="s">
        <v>832</v>
      </c>
      <c r="D22" s="7">
        <v>2.1546000000000003E-2</v>
      </c>
      <c r="E22" s="248">
        <v>4.2</v>
      </c>
      <c r="F22" s="896">
        <f>VLOOKUP(B22,[2]Hoja1!$C$2:$E$279,3,FALSE)</f>
        <v>4500</v>
      </c>
      <c r="G22" s="248">
        <f t="shared" si="2"/>
        <v>96.957000000000008</v>
      </c>
      <c r="H22" s="95">
        <v>4500</v>
      </c>
      <c r="I22" s="856">
        <f t="shared" si="3"/>
        <v>96.957000000000008</v>
      </c>
      <c r="J22" s="32">
        <f t="shared" si="0"/>
        <v>0</v>
      </c>
      <c r="K22" s="776">
        <f t="shared" si="1"/>
        <v>2.1546000000000003E-2</v>
      </c>
      <c r="L22" s="1158"/>
    </row>
    <row r="23" spans="2:12" x14ac:dyDescent="0.25">
      <c r="B23" s="777">
        <f>VLOOKUP(C23,[1]Hoja1!$B$2:$C$260,2,FALSE)</f>
        <v>1220010</v>
      </c>
      <c r="C23" s="6" t="s">
        <v>1144</v>
      </c>
      <c r="D23" s="7">
        <v>8.208E-3</v>
      </c>
      <c r="E23" s="248">
        <v>1.6</v>
      </c>
      <c r="F23" s="896">
        <f>VLOOKUP(B23,[2]Hoja1!$C$2:$E$279,3,FALSE)</f>
        <v>4744.72</v>
      </c>
      <c r="G23" s="248">
        <f t="shared" si="2"/>
        <v>38.944661760000002</v>
      </c>
      <c r="H23" s="237">
        <v>9381</v>
      </c>
      <c r="I23" s="856">
        <f t="shared" si="3"/>
        <v>76.999247999999994</v>
      </c>
      <c r="J23" s="32">
        <f t="shared" si="0"/>
        <v>-49.42202323846071</v>
      </c>
      <c r="K23" s="776">
        <f t="shared" si="1"/>
        <v>8.208E-3</v>
      </c>
      <c r="L23" s="1158"/>
    </row>
    <row r="24" spans="2:12" x14ac:dyDescent="0.25">
      <c r="B24" s="1739" t="s">
        <v>37</v>
      </c>
      <c r="C24" s="1739"/>
      <c r="D24" s="1293">
        <f>SUM(D23,D22,D21,D20,D19,D18,D17,D16,D15,D14,D13,D12,D11,D10,D9,D8,D7,D6,D5)</f>
        <v>0.51315390000000005</v>
      </c>
      <c r="E24" s="1294">
        <f>SUM(E5:E23)</f>
        <v>100.03</v>
      </c>
      <c r="F24" s="1295"/>
      <c r="G24" s="1296">
        <f>SUM(G5:G23)</f>
        <v>3877.3218760560003</v>
      </c>
      <c r="H24" s="1297"/>
      <c r="I24" s="1297">
        <f>SUM(I5:I23)</f>
        <v>4321.5299873190006</v>
      </c>
      <c r="J24" s="1306">
        <f>((G24/I24)*100)-100</f>
        <v>-10.278954735162642</v>
      </c>
      <c r="K24" s="1307"/>
    </row>
    <row r="25" spans="2:12" x14ac:dyDescent="0.25">
      <c r="B25" s="240"/>
      <c r="C25" s="240"/>
      <c r="D25" s="254"/>
      <c r="E25" s="242"/>
      <c r="F25" s="242"/>
      <c r="G25" s="242"/>
      <c r="H25" s="242"/>
      <c r="I25" s="242"/>
      <c r="J25" s="242"/>
    </row>
    <row r="26" spans="2:12" ht="25.5" x14ac:dyDescent="0.25">
      <c r="B26" s="1740" t="s">
        <v>50</v>
      </c>
      <c r="C26" s="1741"/>
      <c r="D26" s="38">
        <f>+C29+(C29*C35%)</f>
        <v>513</v>
      </c>
      <c r="E26" s="195"/>
      <c r="F26" s="195"/>
      <c r="G26" s="195"/>
      <c r="H26" s="195"/>
      <c r="I26" s="195"/>
      <c r="J26" s="195"/>
    </row>
    <row r="27" spans="2:12" x14ac:dyDescent="0.25">
      <c r="B27" s="1285" t="s">
        <v>38</v>
      </c>
      <c r="C27" s="163" t="s">
        <v>167</v>
      </c>
    </row>
    <row r="28" spans="2:12" x14ac:dyDescent="0.25">
      <c r="B28" s="1285" t="s">
        <v>39</v>
      </c>
      <c r="C28" s="163" t="s">
        <v>810</v>
      </c>
    </row>
    <row r="29" spans="2:12" x14ac:dyDescent="0.25">
      <c r="B29" s="1285" t="s">
        <v>40</v>
      </c>
      <c r="C29" s="163">
        <v>450</v>
      </c>
      <c r="G29" s="120" t="s">
        <v>85</v>
      </c>
    </row>
    <row r="30" spans="2:12" x14ac:dyDescent="0.25">
      <c r="B30" s="1285" t="s">
        <v>41</v>
      </c>
      <c r="C30" s="163">
        <v>0</v>
      </c>
    </row>
    <row r="31" spans="2:12" x14ac:dyDescent="0.25">
      <c r="B31" s="1285" t="s">
        <v>42</v>
      </c>
      <c r="C31" s="163">
        <v>9</v>
      </c>
    </row>
    <row r="32" spans="2:12" x14ac:dyDescent="0.25">
      <c r="B32" s="1285" t="s">
        <v>43</v>
      </c>
      <c r="C32" s="163">
        <v>2</v>
      </c>
    </row>
    <row r="33" spans="2:11" x14ac:dyDescent="0.25">
      <c r="B33" s="1285" t="s">
        <v>44</v>
      </c>
      <c r="C33" s="163">
        <v>1</v>
      </c>
    </row>
    <row r="34" spans="2:11" x14ac:dyDescent="0.25">
      <c r="B34" s="1285" t="s">
        <v>45</v>
      </c>
      <c r="C34" s="163">
        <v>2</v>
      </c>
    </row>
    <row r="35" spans="2:11" x14ac:dyDescent="0.25">
      <c r="B35" s="1285" t="s">
        <v>46</v>
      </c>
      <c r="C35" s="163">
        <f>C34+C33+C32+C31</f>
        <v>14</v>
      </c>
    </row>
    <row r="37" spans="2:11" ht="25.5" x14ac:dyDescent="0.25">
      <c r="B37" s="1742" t="s">
        <v>47</v>
      </c>
      <c r="C37" s="1742"/>
      <c r="D37" s="1742"/>
      <c r="E37" s="1742"/>
      <c r="F37" s="1742"/>
      <c r="G37" s="779"/>
      <c r="H37" s="857"/>
      <c r="I37" s="857"/>
      <c r="J37" s="857"/>
    </row>
    <row r="38" spans="2:11" ht="25.5" x14ac:dyDescent="0.25">
      <c r="B38" s="1255"/>
      <c r="C38" s="1255" t="s">
        <v>1</v>
      </c>
      <c r="D38" s="1255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244" t="s">
        <v>3</v>
      </c>
      <c r="J38" s="269"/>
    </row>
    <row r="39" spans="2:11" x14ac:dyDescent="0.25">
      <c r="B39" s="777">
        <v>1370028</v>
      </c>
      <c r="C39" s="917" t="s">
        <v>1034</v>
      </c>
      <c r="D39" s="784">
        <v>1.2587999999999999</v>
      </c>
      <c r="E39" s="24">
        <f>VLOOKUP(B39,[2]Hoja1!$C$2:$E$279,3,FALSE)</f>
        <v>186.09</v>
      </c>
      <c r="F39" s="24">
        <f>E39*D39</f>
        <v>234.250092</v>
      </c>
      <c r="G39" s="24">
        <v>201.77</v>
      </c>
      <c r="H39" s="24">
        <f>G39*D39</f>
        <v>253.98807600000001</v>
      </c>
      <c r="I39" s="643">
        <f>((E39/G39)*100)-100</f>
        <v>-7.7712246617435738</v>
      </c>
      <c r="J39" s="38"/>
    </row>
    <row r="40" spans="2:11" x14ac:dyDescent="0.25">
      <c r="B40" s="777">
        <v>1310018</v>
      </c>
      <c r="C40" s="918" t="s">
        <v>890</v>
      </c>
      <c r="D40" s="861">
        <v>0.15</v>
      </c>
      <c r="E40" s="24">
        <f>VLOOKUP(B40,[2]Hoja1!$C$2:$E$279,3,FALSE)</f>
        <v>478.26</v>
      </c>
      <c r="F40" s="24">
        <f>E40*D40</f>
        <v>71.73899999999999</v>
      </c>
      <c r="G40" s="871">
        <v>503.51</v>
      </c>
      <c r="H40" s="24">
        <f>G40*D40</f>
        <v>75.526499999999999</v>
      </c>
      <c r="I40" s="903">
        <f>((E40/G40)*100)-100</f>
        <v>-5.0147961311592582</v>
      </c>
      <c r="J40" s="38"/>
    </row>
    <row r="41" spans="2:11" x14ac:dyDescent="0.25">
      <c r="B41" s="777">
        <v>1320005</v>
      </c>
      <c r="C41" s="919" t="s">
        <v>1145</v>
      </c>
      <c r="D41" s="386">
        <v>0.15</v>
      </c>
      <c r="E41" s="24">
        <f>VLOOKUP(B41,[2]Hoja1!$C$2:$E$279,3,FALSE)</f>
        <v>740.21</v>
      </c>
      <c r="F41" s="24">
        <f>E41*D41</f>
        <v>111.03150000000001</v>
      </c>
      <c r="G41" s="24">
        <v>828.94</v>
      </c>
      <c r="H41" s="24">
        <f>G41*D41</f>
        <v>124.34100000000001</v>
      </c>
      <c r="I41" s="886">
        <f>((E41/G41)*100)-100</f>
        <v>-10.704031654884545</v>
      </c>
      <c r="J41" s="38"/>
    </row>
    <row r="42" spans="2:11" ht="15" x14ac:dyDescent="0.25">
      <c r="B42" s="777">
        <v>1330051</v>
      </c>
      <c r="C42" s="1142" t="s">
        <v>965</v>
      </c>
      <c r="D42" s="386">
        <v>1</v>
      </c>
      <c r="E42" s="24">
        <f>VLOOKUP(B42,[2]Hoja1!$C$2:$E$279,3,FALSE)</f>
        <v>119.7</v>
      </c>
      <c r="F42" s="24">
        <f>E42*D42</f>
        <v>119.7</v>
      </c>
      <c r="G42" s="862">
        <v>119.7</v>
      </c>
      <c r="H42" s="24">
        <f>G42*D42</f>
        <v>119.7</v>
      </c>
      <c r="I42" s="886">
        <f>((E42/G42)*100)-100</f>
        <v>0</v>
      </c>
      <c r="J42" s="1"/>
    </row>
    <row r="43" spans="2:11" ht="15" x14ac:dyDescent="0.25">
      <c r="B43" s="777">
        <v>1330032</v>
      </c>
      <c r="C43" s="1142" t="s">
        <v>964</v>
      </c>
      <c r="D43" s="386">
        <v>1</v>
      </c>
      <c r="E43" s="24">
        <f>VLOOKUP(B43,[2]Hoja1!$C$2:$E$279,3,FALSE)</f>
        <v>166.97</v>
      </c>
      <c r="F43" s="24">
        <f>E43*D43</f>
        <v>166.97</v>
      </c>
      <c r="G43" s="862">
        <v>166.96</v>
      </c>
      <c r="H43" s="24">
        <f>G43*D43</f>
        <v>166.96</v>
      </c>
      <c r="I43" s="886"/>
      <c r="J43" s="1"/>
    </row>
    <row r="44" spans="2:11" x14ac:dyDescent="0.25">
      <c r="B44" s="1298"/>
      <c r="C44" s="1312" t="s">
        <v>37</v>
      </c>
      <c r="D44" s="1313"/>
      <c r="E44" s="1300"/>
      <c r="F44" s="1300">
        <f>SUM(F39:F43)</f>
        <v>703.69059200000004</v>
      </c>
      <c r="G44" s="1301"/>
      <c r="H44" s="1301">
        <f>SUM(H39:H43)</f>
        <v>740.51557600000012</v>
      </c>
      <c r="I44" s="1302">
        <f>((F44/H44)*100)-100</f>
        <v>-4.972884459624126</v>
      </c>
      <c r="J44" s="859"/>
    </row>
    <row r="46" spans="2:11" x14ac:dyDescent="0.25">
      <c r="F46" s="890"/>
      <c r="G46" s="1" t="str">
        <f>+'CIF Y PV'!$G$1</f>
        <v>MAYO</v>
      </c>
      <c r="H46" s="890"/>
      <c r="I46" s="890"/>
      <c r="J46" s="890"/>
      <c r="K46" s="891"/>
    </row>
    <row r="47" spans="2:11" ht="17.25" x14ac:dyDescent="0.25">
      <c r="B47" s="1735" t="s">
        <v>400</v>
      </c>
      <c r="C47" s="1735"/>
      <c r="E47" s="884"/>
      <c r="F47" s="887"/>
      <c r="G47" s="1232">
        <f>F44+G24</f>
        <v>4581.0124680560002</v>
      </c>
      <c r="H47" s="888"/>
      <c r="I47" s="887"/>
      <c r="J47" s="888"/>
      <c r="K47" s="891"/>
    </row>
    <row r="48" spans="2:11" ht="17.25" x14ac:dyDescent="0.25">
      <c r="B48" s="1736" t="s">
        <v>48</v>
      </c>
      <c r="C48" s="1737"/>
      <c r="E48" s="884"/>
      <c r="F48" s="887"/>
      <c r="G48" s="1232">
        <f>+('CIF Y PV'!C3/1000)*450</f>
        <v>850.5</v>
      </c>
      <c r="H48" s="888"/>
      <c r="I48" s="887"/>
      <c r="J48" s="888"/>
      <c r="K48" s="891"/>
    </row>
    <row r="49" spans="2:11" ht="17.25" x14ac:dyDescent="0.25">
      <c r="B49" s="1736" t="s">
        <v>389</v>
      </c>
      <c r="C49" s="1737"/>
      <c r="E49" s="884"/>
      <c r="F49" s="887"/>
      <c r="G49" s="1232">
        <f>+G47+G48</f>
        <v>5431.5124680560002</v>
      </c>
      <c r="H49" s="888"/>
      <c r="I49" s="887"/>
      <c r="J49" s="888"/>
      <c r="K49" s="891"/>
    </row>
    <row r="50" spans="2:11" ht="17.25" x14ac:dyDescent="0.25">
      <c r="B50" s="1735" t="s">
        <v>49</v>
      </c>
      <c r="C50" s="1735"/>
      <c r="E50" s="884"/>
      <c r="F50" s="887"/>
      <c r="G50" s="1232">
        <f>'CIF Y PV'!C47</f>
        <v>11371.752</v>
      </c>
      <c r="I50" s="887"/>
      <c r="J50" s="889"/>
      <c r="K50" s="891"/>
    </row>
    <row r="51" spans="2:11" ht="15" x14ac:dyDescent="0.2">
      <c r="B51" s="1735" t="s">
        <v>805</v>
      </c>
      <c r="C51" s="1735"/>
      <c r="E51" s="884"/>
      <c r="F51" s="887"/>
      <c r="G51" s="1230">
        <f>+(G50-G49)/G50</f>
        <v>0.52236801611079808</v>
      </c>
      <c r="H51" s="172"/>
      <c r="I51" s="892"/>
      <c r="J51" s="172">
        <f>1-J50</f>
        <v>1</v>
      </c>
    </row>
    <row r="52" spans="2:11" x14ac:dyDescent="0.25">
      <c r="F52" s="890"/>
      <c r="G52" s="890"/>
      <c r="H52" s="890"/>
      <c r="I52" s="890"/>
      <c r="J52" s="890"/>
      <c r="K52" s="891"/>
    </row>
    <row r="53" spans="2:11" x14ac:dyDescent="0.25">
      <c r="F53" s="890"/>
      <c r="G53" s="890"/>
      <c r="H53" s="890"/>
      <c r="I53" s="890"/>
      <c r="J53" s="890"/>
      <c r="K53" s="891"/>
    </row>
    <row r="54" spans="2:11" x14ac:dyDescent="0.25">
      <c r="F54" s="890"/>
      <c r="G54" s="890"/>
      <c r="H54" s="890"/>
      <c r="I54" s="890"/>
      <c r="J54" s="890"/>
      <c r="K54" s="891"/>
    </row>
  </sheetData>
  <autoFilter ref="A4:K24" xr:uid="{A8DC38CF-75A8-4C29-A03E-77C69720878D}"/>
  <mergeCells count="9">
    <mergeCell ref="B49:C49"/>
    <mergeCell ref="B50:C50"/>
    <mergeCell ref="B51:C51"/>
    <mergeCell ref="B2:G2"/>
    <mergeCell ref="B24:C24"/>
    <mergeCell ref="B26:C26"/>
    <mergeCell ref="B37:F37"/>
    <mergeCell ref="B47:C47"/>
    <mergeCell ref="B48:C48"/>
  </mergeCells>
  <pageMargins left="0.7" right="0.7" top="0.75" bottom="0.75" header="0.3" footer="0.3"/>
  <colBreaks count="1" manualBreakCount="1">
    <brk id="11" max="54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07C5-4B0A-4994-AF15-31F38C67689C}">
  <sheetPr codeName="Hoja21"/>
  <dimension ref="A2:K49"/>
  <sheetViews>
    <sheetView view="pageBreakPreview" topLeftCell="A29" zoomScale="90" zoomScaleNormal="100" zoomScaleSheetLayoutView="90" workbookViewId="0">
      <selection activeCell="C20" sqref="C20"/>
    </sheetView>
  </sheetViews>
  <sheetFormatPr baseColWidth="10" defaultColWidth="11.5703125" defaultRowHeight="15" customHeight="1" x14ac:dyDescent="0.25"/>
  <cols>
    <col min="1" max="1" width="10.7109375" style="1" customWidth="1"/>
    <col min="2" max="2" width="11.5703125" style="1"/>
    <col min="3" max="3" width="67.42578125" style="1" bestFit="1" customWidth="1"/>
    <col min="4" max="4" width="11.5703125" style="100"/>
    <col min="5" max="5" width="11.5703125" style="1"/>
    <col min="6" max="6" width="13.5703125" style="1" bestFit="1" customWidth="1"/>
    <col min="7" max="7" width="11.5703125" style="1" customWidth="1"/>
    <col min="8" max="8" width="13.5703125" style="107" bestFit="1" customWidth="1"/>
    <col min="9" max="9" width="14.42578125" style="1" bestFit="1" customWidth="1"/>
    <col min="10" max="10" width="12.5703125" style="38" bestFit="1" customWidth="1"/>
    <col min="11" max="11" width="13.42578125" style="258" customWidth="1"/>
    <col min="12" max="16384" width="11.5703125" style="1"/>
  </cols>
  <sheetData>
    <row r="2" spans="1:11" ht="24.75" customHeight="1" x14ac:dyDescent="0.35">
      <c r="A2" s="1315"/>
      <c r="B2" s="1751" t="s">
        <v>174</v>
      </c>
      <c r="C2" s="1751"/>
      <c r="D2" s="1751"/>
      <c r="E2" s="1751"/>
      <c r="F2" s="1751"/>
      <c r="G2" s="1751"/>
      <c r="H2" s="1751"/>
      <c r="I2" s="1751"/>
      <c r="J2" s="1751"/>
    </row>
    <row r="4" spans="1:11" s="120" customFormat="1" ht="22.5" customHeight="1" x14ac:dyDescent="0.25">
      <c r="B4" s="1271" t="s">
        <v>0</v>
      </c>
      <c r="C4" s="1271" t="s">
        <v>1</v>
      </c>
      <c r="D4" s="1314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249">
        <v>1.1399999999999999</v>
      </c>
    </row>
    <row r="5" spans="1:11" ht="15" customHeight="1" x14ac:dyDescent="0.25">
      <c r="B5" s="6">
        <f>VLOOKUP(C5,[1]Hoja1!$B$2:$C$260,2,FALSE)</f>
        <v>1112001</v>
      </c>
      <c r="C5" s="6" t="s">
        <v>797</v>
      </c>
      <c r="D5" s="7">
        <v>0.5419052964638913</v>
      </c>
      <c r="E5" s="32">
        <v>47.535552321393979</v>
      </c>
      <c r="F5" s="896">
        <f>VLOOKUP(B5,[2]Hoja1!$C$2:$E$279,3,FALSE)</f>
        <v>3663.96</v>
      </c>
      <c r="G5" s="8">
        <f>F5*D5</f>
        <v>1985.5193300318392</v>
      </c>
      <c r="H5" s="896">
        <v>4222.72</v>
      </c>
      <c r="I5" s="96">
        <f>H5*D5</f>
        <v>2288.3143334840033</v>
      </c>
      <c r="J5" s="39">
        <f>((F5/H5)*100)-100</f>
        <v>-13.232229463473786</v>
      </c>
      <c r="K5" s="258">
        <f>$K$4*E5%</f>
        <v>0.5419052964638913</v>
      </c>
    </row>
    <row r="6" spans="1:11" ht="15" customHeight="1" x14ac:dyDescent="0.25">
      <c r="B6" s="6">
        <f>VLOOKUP(C6,[1]Hoja1!$B$2:$C$260,2,FALSE)</f>
        <v>2906001</v>
      </c>
      <c r="C6" s="6" t="s">
        <v>831</v>
      </c>
      <c r="D6" s="7">
        <v>9.62632188075878E-2</v>
      </c>
      <c r="E6" s="32">
        <v>8.4441420006655967</v>
      </c>
      <c r="F6" s="896">
        <f>VLOOKUP(B6,[2]Hoja1!$C$2:$E$279,3,FALSE)</f>
        <v>1956.71</v>
      </c>
      <c r="G6" s="8">
        <f t="shared" ref="G6:G23" si="0">F6*D6</f>
        <v>188.35920287299513</v>
      </c>
      <c r="H6" s="896">
        <v>2033.73</v>
      </c>
      <c r="I6" s="96">
        <f t="shared" ref="I6:I23" si="1">H6*D6</f>
        <v>195.77339598555554</v>
      </c>
      <c r="J6" s="39">
        <f t="shared" ref="J6:J23" si="2">((F6/H6)*100)-100</f>
        <v>-3.7871300516784459</v>
      </c>
      <c r="K6" s="258">
        <f t="shared" ref="K6:K23" si="3">$K$4*E6%</f>
        <v>9.62632188075878E-2</v>
      </c>
    </row>
    <row r="7" spans="1:11" ht="15" customHeight="1" x14ac:dyDescent="0.25">
      <c r="B7" s="6">
        <f>VLOOKUP(C7,[1]Hoja1!$B$2:$C$260,2,FALSE)</f>
        <v>1131002</v>
      </c>
      <c r="C7" s="6" t="s">
        <v>663</v>
      </c>
      <c r="D7" s="7">
        <v>0.27903875861178301</v>
      </c>
      <c r="E7" s="32">
        <v>24.4770840887529</v>
      </c>
      <c r="F7" s="896">
        <f>VLOOKUP(B7,[2]Hoja1!$C$2:$E$279,3,FALSE)</f>
        <v>0</v>
      </c>
      <c r="G7" s="8">
        <f t="shared" si="0"/>
        <v>0</v>
      </c>
      <c r="H7" s="879">
        <v>0</v>
      </c>
      <c r="I7" s="96">
        <f t="shared" si="1"/>
        <v>0</v>
      </c>
      <c r="J7" s="39" t="e">
        <f t="shared" si="2"/>
        <v>#DIV/0!</v>
      </c>
      <c r="K7" s="258">
        <f t="shared" si="3"/>
        <v>0.27903875861178301</v>
      </c>
    </row>
    <row r="8" spans="1:11" ht="15" customHeight="1" x14ac:dyDescent="0.25">
      <c r="B8" s="6">
        <f>VLOOKUP(C8,[1]Hoja1!$B$2:$C$260,2,FALSE)</f>
        <v>1250009</v>
      </c>
      <c r="C8" s="1626" t="s">
        <v>1279</v>
      </c>
      <c r="D8" s="7">
        <v>6.7950507393591377E-4</v>
      </c>
      <c r="E8" s="32">
        <v>5.9605708239992443E-2</v>
      </c>
      <c r="F8" s="896">
        <f>VLOOKUP(B8,[2]Hoja1!$C$2:$E$279,3,FALSE)</f>
        <v>83551.55</v>
      </c>
      <c r="G8" s="8">
        <f t="shared" si="0"/>
        <v>56.773702160210199</v>
      </c>
      <c r="H8" s="388">
        <v>71910.02</v>
      </c>
      <c r="I8" s="96">
        <f t="shared" si="1"/>
        <v>48.86322345683304</v>
      </c>
      <c r="J8" s="39">
        <f>((F8/H8)*100)-100</f>
        <v>16.18902344902699</v>
      </c>
      <c r="K8" s="258">
        <f t="shared" si="3"/>
        <v>6.7950507393591377E-4</v>
      </c>
    </row>
    <row r="9" spans="1:11" ht="15" customHeight="1" x14ac:dyDescent="0.25">
      <c r="B9" s="6">
        <f>VLOOKUP(C9,[1]Hoja1!$B$2:$C$260,2,FALSE)</f>
        <v>1250004</v>
      </c>
      <c r="C9" s="6" t="s">
        <v>969</v>
      </c>
      <c r="D9" s="7">
        <v>9.0600676524788521E-5</v>
      </c>
      <c r="E9" s="32">
        <v>7.947427765332327E-3</v>
      </c>
      <c r="F9" s="896">
        <f>VLOOKUP(B9,[2]Hoja1!$C$2:$E$279,3,FALSE)</f>
        <v>164481.95000000001</v>
      </c>
      <c r="G9" s="8">
        <f t="shared" si="0"/>
        <v>14.90217594611644</v>
      </c>
      <c r="H9" s="106">
        <v>156520.01999999999</v>
      </c>
      <c r="I9" s="96">
        <f t="shared" si="1"/>
        <v>14.180819701673428</v>
      </c>
      <c r="J9" s="39">
        <f t="shared" si="2"/>
        <v>5.0868444816196927</v>
      </c>
      <c r="K9" s="258">
        <f t="shared" si="3"/>
        <v>9.0600676524788521E-5</v>
      </c>
    </row>
    <row r="10" spans="1:11" ht="15" customHeight="1" x14ac:dyDescent="0.25">
      <c r="B10" s="6">
        <v>1210005</v>
      </c>
      <c r="C10" s="6" t="s">
        <v>1155</v>
      </c>
      <c r="D10" s="7">
        <v>1.197E-2</v>
      </c>
      <c r="E10" s="32">
        <v>1.05</v>
      </c>
      <c r="F10" s="896">
        <f>VLOOKUP(B10,[2]Hoja1!$C$2:$E$279,3,FALSE)</f>
        <v>1356</v>
      </c>
      <c r="G10" s="8">
        <f t="shared" si="0"/>
        <v>16.23132</v>
      </c>
      <c r="H10" s="672"/>
      <c r="I10" s="96"/>
      <c r="J10" s="39"/>
      <c r="K10" s="258">
        <f t="shared" si="3"/>
        <v>1.197E-2</v>
      </c>
    </row>
    <row r="11" spans="1:11" ht="15" customHeight="1" x14ac:dyDescent="0.25">
      <c r="B11" s="6">
        <v>1210010</v>
      </c>
      <c r="C11" s="6" t="s">
        <v>1351</v>
      </c>
      <c r="D11" s="7">
        <v>7.9799999999999992E-3</v>
      </c>
      <c r="E11" s="32">
        <v>0.7</v>
      </c>
      <c r="F11" s="896">
        <f>VLOOKUP(B11,[2]Hoja1!$C$2:$E$279,3,FALSE)</f>
        <v>11600</v>
      </c>
      <c r="G11" s="8">
        <f t="shared" si="0"/>
        <v>92.567999999999998</v>
      </c>
      <c r="H11" s="914">
        <v>8910.1</v>
      </c>
      <c r="I11" s="96">
        <f t="shared" si="1"/>
        <v>71.102598</v>
      </c>
      <c r="J11" s="39">
        <f t="shared" si="2"/>
        <v>30.189335697691376</v>
      </c>
      <c r="K11" s="258">
        <f>$K$4*E11%</f>
        <v>7.9799999999999992E-3</v>
      </c>
    </row>
    <row r="12" spans="1:11" ht="15" customHeight="1" x14ac:dyDescent="0.25">
      <c r="B12" s="6">
        <f>VLOOKUP(C12,[1]Hoja1!$B$2:$C$260,2,FALSE)</f>
        <v>1210004</v>
      </c>
      <c r="C12" s="6" t="s">
        <v>1131</v>
      </c>
      <c r="D12" s="7">
        <v>1.8969516647377594E-3</v>
      </c>
      <c r="E12" s="32">
        <v>0.16639926883664558</v>
      </c>
      <c r="F12" s="896">
        <f>VLOOKUP(B12,[2]Hoja1!$C$2:$E$279,3,FALSE)</f>
        <v>3841</v>
      </c>
      <c r="G12" s="8">
        <f t="shared" si="0"/>
        <v>7.286191344257734</v>
      </c>
      <c r="H12" s="914">
        <v>3508.01</v>
      </c>
      <c r="I12" s="96">
        <f t="shared" si="1"/>
        <v>6.6545254094167081</v>
      </c>
      <c r="J12" s="39">
        <f t="shared" si="2"/>
        <v>9.4922762477871885</v>
      </c>
      <c r="K12" s="258">
        <f t="shared" si="3"/>
        <v>1.8969516647377594E-3</v>
      </c>
    </row>
    <row r="13" spans="1:11" ht="15" customHeight="1" x14ac:dyDescent="0.25">
      <c r="B13" s="6">
        <f>VLOOKUP(C13,[1]Hoja1!$B$2:$C$260,2,FALSE)</f>
        <v>121007</v>
      </c>
      <c r="C13" s="6" t="s">
        <v>821</v>
      </c>
      <c r="D13" s="7">
        <v>4.530033826239426E-3</v>
      </c>
      <c r="E13" s="32">
        <v>0.39737138826661633</v>
      </c>
      <c r="F13" s="896">
        <f>VLOOKUP(B13,[2]Hoja1!$C$2:$E$279,3,FALSE)</f>
        <v>16905</v>
      </c>
      <c r="G13" s="8">
        <f t="shared" si="0"/>
        <v>76.580221832577493</v>
      </c>
      <c r="H13" s="880">
        <v>16100</v>
      </c>
      <c r="I13" s="96">
        <f t="shared" si="1"/>
        <v>72.933544602454759</v>
      </c>
      <c r="J13" s="39">
        <f t="shared" si="2"/>
        <v>5</v>
      </c>
      <c r="K13" s="258">
        <f t="shared" si="3"/>
        <v>4.530033826239426E-3</v>
      </c>
    </row>
    <row r="14" spans="1:11" ht="15" customHeight="1" x14ac:dyDescent="0.25">
      <c r="B14" s="6">
        <f>VLOOKUP(C14,[1]Hoja1!$B$2:$C$260,2,FALSE)</f>
        <v>1240002</v>
      </c>
      <c r="C14" s="6" t="s">
        <v>1140</v>
      </c>
      <c r="D14" s="7">
        <v>5.6625422827992818E-3</v>
      </c>
      <c r="E14" s="32">
        <v>0.49671423533327042</v>
      </c>
      <c r="F14" s="896">
        <f>VLOOKUP(B14,[2]Hoja1!$C$2:$E$279,3,FALSE)</f>
        <v>66115.8</v>
      </c>
      <c r="G14" s="8">
        <f t="shared" si="0"/>
        <v>374.38351306110076</v>
      </c>
      <c r="H14" s="914">
        <v>70840.75</v>
      </c>
      <c r="I14" s="96">
        <f t="shared" si="1"/>
        <v>401.1387422202132</v>
      </c>
      <c r="J14" s="39">
        <f t="shared" si="2"/>
        <v>-6.6698192777461998</v>
      </c>
      <c r="K14" s="258">
        <f t="shared" si="3"/>
        <v>5.6625422827992818E-3</v>
      </c>
    </row>
    <row r="15" spans="1:11" ht="15" customHeight="1" x14ac:dyDescent="0.25">
      <c r="B15" s="6">
        <f>VLOOKUP(C15,[1]Hoja1!$B$2:$C$260,2,FALSE)</f>
        <v>1220015</v>
      </c>
      <c r="C15" s="6" t="s">
        <v>1036</v>
      </c>
      <c r="D15" s="7">
        <v>7.6444320817790328E-3</v>
      </c>
      <c r="E15" s="32">
        <v>0.67056421769991514</v>
      </c>
      <c r="F15" s="896">
        <f>VLOOKUP(B15,[2]Hoja1!$C$2:$E$279,3,FALSE)</f>
        <v>30702.27</v>
      </c>
      <c r="G15" s="8">
        <f t="shared" si="0"/>
        <v>234.70141777144195</v>
      </c>
      <c r="H15" s="25">
        <v>29189.39</v>
      </c>
      <c r="I15" s="96">
        <f t="shared" si="1"/>
        <v>223.13630936356009</v>
      </c>
      <c r="J15" s="39">
        <f t="shared" si="2"/>
        <v>5.1829791578378348</v>
      </c>
      <c r="K15" s="258">
        <f t="shared" si="3"/>
        <v>7.6444320817790328E-3</v>
      </c>
    </row>
    <row r="16" spans="1:11" ht="15" customHeight="1" x14ac:dyDescent="0.25">
      <c r="B16" s="6">
        <f>VLOOKUP(C16,[1]Hoja1!$B$2:$C$260,2,FALSE)</f>
        <v>1220014</v>
      </c>
      <c r="C16" s="6" t="s">
        <v>1146</v>
      </c>
      <c r="D16" s="7">
        <v>6.2287965110792111E-3</v>
      </c>
      <c r="E16" s="32">
        <v>0.54638565886659751</v>
      </c>
      <c r="F16" s="896">
        <f>VLOOKUP(B16,[2]Hoja1!$C$2:$E$279,3,FALSE)</f>
        <v>14060</v>
      </c>
      <c r="G16" s="8">
        <f t="shared" si="0"/>
        <v>87.576878945773714</v>
      </c>
      <c r="H16" s="914">
        <v>13300.01</v>
      </c>
      <c r="I16" s="96">
        <f t="shared" si="1"/>
        <v>82.84305588531862</v>
      </c>
      <c r="J16" s="39">
        <f t="shared" si="2"/>
        <v>5.7142062299201086</v>
      </c>
      <c r="K16" s="258">
        <f>$K$4*E16%</f>
        <v>6.2287965110792111E-3</v>
      </c>
    </row>
    <row r="17" spans="2:11" ht="15" customHeight="1" x14ac:dyDescent="0.25">
      <c r="B17" s="6">
        <f>VLOOKUP(C17,[1]Hoja1!$B$2:$C$260,2,FALSE)</f>
        <v>1210003</v>
      </c>
      <c r="C17" s="6" t="s">
        <v>1143</v>
      </c>
      <c r="D17" s="7">
        <v>5.6625422827992825E-4</v>
      </c>
      <c r="E17" s="32">
        <v>4.9671423533327042E-2</v>
      </c>
      <c r="F17" s="896">
        <f>VLOOKUP(B17,[2]Hoja1!$C$2:$E$279,3,FALSE)</f>
        <v>16235.45</v>
      </c>
      <c r="G17" s="8">
        <f t="shared" si="0"/>
        <v>9.193392210527362</v>
      </c>
      <c r="H17" s="914">
        <v>12852.58</v>
      </c>
      <c r="I17" s="96">
        <f t="shared" si="1"/>
        <v>7.2778277693060405</v>
      </c>
      <c r="J17" s="39">
        <f t="shared" si="2"/>
        <v>26.320551982559152</v>
      </c>
      <c r="K17" s="258">
        <f t="shared" si="3"/>
        <v>5.6625422827992825E-4</v>
      </c>
    </row>
    <row r="18" spans="2:11" ht="15" customHeight="1" x14ac:dyDescent="0.25">
      <c r="B18" s="6">
        <v>1260024</v>
      </c>
      <c r="C18" s="6" t="s">
        <v>1290</v>
      </c>
      <c r="D18" s="7">
        <v>1.1325084565598564E-2</v>
      </c>
      <c r="E18" s="32">
        <v>0.99342847066654083</v>
      </c>
      <c r="F18" s="896">
        <f>VLOOKUP(B18,[2]Hoja1!$C$2:$E$279,3,FALSE)</f>
        <v>12625.84</v>
      </c>
      <c r="G18" s="8">
        <f t="shared" si="0"/>
        <v>142.98870571171696</v>
      </c>
      <c r="H18" s="32">
        <v>18900</v>
      </c>
      <c r="I18" s="96">
        <f t="shared" si="1"/>
        <v>214.04409828981287</v>
      </c>
      <c r="J18" s="39">
        <f t="shared" si="2"/>
        <v>-33.196613756613758</v>
      </c>
      <c r="K18" s="258">
        <f t="shared" si="3"/>
        <v>1.1325084565598564E-2</v>
      </c>
    </row>
    <row r="19" spans="2:11" ht="15" customHeight="1" x14ac:dyDescent="0.25">
      <c r="B19" s="6">
        <f>VLOOKUP(C19,[1]Hoja1!$B$2:$C$260,2,FALSE)</f>
        <v>1260005</v>
      </c>
      <c r="C19" s="6" t="s">
        <v>811</v>
      </c>
      <c r="D19" s="7">
        <v>1.1325084565598564E-2</v>
      </c>
      <c r="E19" s="32">
        <v>0.99342847066654083</v>
      </c>
      <c r="F19" s="896">
        <f>VLOOKUP(B19,[2]Hoja1!$C$2:$E$279,3,FALSE)</f>
        <v>26429</v>
      </c>
      <c r="G19" s="8">
        <f t="shared" si="0"/>
        <v>299.31065998420445</v>
      </c>
      <c r="H19" s="914">
        <v>25850</v>
      </c>
      <c r="I19" s="96">
        <f t="shared" si="1"/>
        <v>292.75343602072286</v>
      </c>
      <c r="J19" s="39">
        <f t="shared" si="2"/>
        <v>2.2398452611218715</v>
      </c>
      <c r="K19" s="258">
        <f t="shared" si="3"/>
        <v>1.1325084565598564E-2</v>
      </c>
    </row>
    <row r="20" spans="2:11" ht="15" customHeight="1" x14ac:dyDescent="0.25">
      <c r="B20" s="6">
        <f>VLOOKUP(C20,[1]Hoja1!$B$2:$C$260,2,FALSE)</f>
        <v>1260010</v>
      </c>
      <c r="C20" s="6" t="s">
        <v>1043</v>
      </c>
      <c r="D20" s="7">
        <v>5.6625422827992822E-2</v>
      </c>
      <c r="E20" s="32">
        <v>4.9671423533327044</v>
      </c>
      <c r="F20" s="896">
        <f>VLOOKUP(B20,[2]Hoja1!$C$2:$E$279,3,FALSE)</f>
        <v>6959.71</v>
      </c>
      <c r="G20" s="8">
        <f t="shared" si="0"/>
        <v>394.09652151020993</v>
      </c>
      <c r="H20" s="880">
        <v>9565.2099999999991</v>
      </c>
      <c r="I20" s="96">
        <f t="shared" si="1"/>
        <v>541.63406068854522</v>
      </c>
      <c r="J20" s="39">
        <f t="shared" si="2"/>
        <v>-27.239339230398485</v>
      </c>
      <c r="K20" s="258">
        <f>$K$4*E20%</f>
        <v>5.6625422827992822E-2</v>
      </c>
    </row>
    <row r="21" spans="2:11" ht="15" customHeight="1" x14ac:dyDescent="0.25">
      <c r="B21" s="6">
        <f>VLOOKUP(C21,[1]Hoja1!$B$2:$C$260,2,FALSE)</f>
        <v>1260017</v>
      </c>
      <c r="C21" s="6" t="s">
        <v>832</v>
      </c>
      <c r="D21" s="7">
        <v>5.6625422827992822E-2</v>
      </c>
      <c r="E21" s="32">
        <v>4.9671423533327044</v>
      </c>
      <c r="F21" s="896">
        <f>VLOOKUP(B21,[2]Hoja1!$C$2:$E$279,3,FALSE)</f>
        <v>4500</v>
      </c>
      <c r="G21" s="8">
        <f t="shared" si="0"/>
        <v>254.81440272596771</v>
      </c>
      <c r="H21" s="896">
        <v>4500</v>
      </c>
      <c r="I21" s="96">
        <f t="shared" si="1"/>
        <v>254.81440272596771</v>
      </c>
      <c r="J21" s="39">
        <f t="shared" si="2"/>
        <v>0</v>
      </c>
      <c r="K21" s="258">
        <f>$K$4*E21%</f>
        <v>5.6625422827992822E-2</v>
      </c>
    </row>
    <row r="22" spans="2:11" ht="15" customHeight="1" x14ac:dyDescent="0.25">
      <c r="B22" s="6">
        <f>VLOOKUP(C22,[1]Hoja1!$B$2:$C$260,2,FALSE)</f>
        <v>1260012</v>
      </c>
      <c r="C22" s="6" t="s">
        <v>1148</v>
      </c>
      <c r="D22" s="7">
        <v>3.6919775683851319E-3</v>
      </c>
      <c r="E22" s="32">
        <v>0.32385768143729227</v>
      </c>
      <c r="F22" s="896">
        <f>VLOOKUP(B22,[2]Hoja1!$C$2:$E$279,3,FALSE)</f>
        <v>46081</v>
      </c>
      <c r="G22" s="8">
        <f t="shared" si="0"/>
        <v>170.13001832875526</v>
      </c>
      <c r="H22" s="106">
        <v>46081</v>
      </c>
      <c r="I22" s="96">
        <f t="shared" si="1"/>
        <v>170.13001832875526</v>
      </c>
      <c r="J22" s="39">
        <f t="shared" si="2"/>
        <v>0</v>
      </c>
      <c r="K22" s="258">
        <f t="shared" si="3"/>
        <v>3.6919775683851319E-3</v>
      </c>
    </row>
    <row r="23" spans="2:11" ht="15" customHeight="1" x14ac:dyDescent="0.25">
      <c r="B23" s="6">
        <f>VLOOKUP(C23,[1]Hoja1!$B$2:$C$260,2,FALSE)</f>
        <v>1121009</v>
      </c>
      <c r="C23" s="6" t="s">
        <v>1272</v>
      </c>
      <c r="D23" s="7">
        <v>3.6931100768416922E-2</v>
      </c>
      <c r="E23" s="922">
        <v>3.2395702428435897</v>
      </c>
      <c r="F23" s="896">
        <f>VLOOKUP(B23,[2]Hoja1!$C$2:$E$279,3,FALSE)</f>
        <v>8741.6200000000008</v>
      </c>
      <c r="G23" s="8">
        <f t="shared" si="0"/>
        <v>322.83764909920876</v>
      </c>
      <c r="H23" s="95">
        <v>8754.2800000000007</v>
      </c>
      <c r="I23" s="96">
        <f t="shared" si="1"/>
        <v>323.30519683493691</v>
      </c>
      <c r="J23" s="39">
        <f t="shared" si="2"/>
        <v>-0.14461497690273006</v>
      </c>
      <c r="K23" s="258">
        <f t="shared" si="3"/>
        <v>3.6931100768416922E-2</v>
      </c>
    </row>
    <row r="24" spans="2:11" s="38" customFormat="1" ht="15" customHeight="1" x14ac:dyDescent="0.25">
      <c r="B24" s="1763" t="s">
        <v>37</v>
      </c>
      <c r="C24" s="1763"/>
      <c r="D24" s="1273">
        <f>SUM(D5:D23)</f>
        <v>1.1409804833526225</v>
      </c>
      <c r="E24" s="1274">
        <f>SUM(E5:E23)</f>
        <v>100.08600731163355</v>
      </c>
      <c r="F24" s="1274"/>
      <c r="G24" s="1316">
        <f>SUM(G5:G23)</f>
        <v>4728.2533035369024</v>
      </c>
      <c r="H24" s="1316"/>
      <c r="I24" s="1316">
        <f>SUM(I5:I23)</f>
        <v>5208.8995887670762</v>
      </c>
      <c r="J24" s="1317">
        <f>((G24/I24)*100)-100</f>
        <v>-9.227405463270614</v>
      </c>
      <c r="K24" s="1251"/>
    </row>
    <row r="26" spans="2:11" ht="25.5" customHeight="1" x14ac:dyDescent="0.35">
      <c r="B26" s="1760" t="s">
        <v>50</v>
      </c>
      <c r="C26" s="1754"/>
      <c r="D26" s="38">
        <f>+C29+(C29*C35%)</f>
        <v>1140</v>
      </c>
      <c r="E26" s="97"/>
      <c r="F26" s="97"/>
      <c r="G26" s="97"/>
      <c r="H26" s="105"/>
      <c r="I26" s="97"/>
      <c r="J26" s="101"/>
    </row>
    <row r="27" spans="2:11" ht="15" customHeight="1" x14ac:dyDescent="0.25">
      <c r="B27" s="1264" t="s">
        <v>38</v>
      </c>
      <c r="C27" s="93" t="s">
        <v>167</v>
      </c>
      <c r="I27" s="100"/>
    </row>
    <row r="28" spans="2:11" ht="15" customHeight="1" x14ac:dyDescent="0.25">
      <c r="B28" s="1265" t="s">
        <v>39</v>
      </c>
      <c r="C28" s="21" t="s">
        <v>310</v>
      </c>
    </row>
    <row r="29" spans="2:11" ht="15" customHeight="1" x14ac:dyDescent="0.25">
      <c r="B29" s="1265" t="s">
        <v>40</v>
      </c>
      <c r="C29" s="21">
        <v>1000</v>
      </c>
    </row>
    <row r="30" spans="2:11" ht="15" customHeight="1" x14ac:dyDescent="0.25">
      <c r="B30" s="1265" t="s">
        <v>41</v>
      </c>
      <c r="C30" s="21">
        <v>0</v>
      </c>
    </row>
    <row r="31" spans="2:11" ht="15" customHeight="1" x14ac:dyDescent="0.25">
      <c r="B31" s="1265" t="s">
        <v>42</v>
      </c>
      <c r="C31" s="21">
        <v>9</v>
      </c>
    </row>
    <row r="32" spans="2:11" ht="15" customHeight="1" x14ac:dyDescent="0.25">
      <c r="B32" s="1265" t="s">
        <v>43</v>
      </c>
      <c r="C32" s="21">
        <v>2</v>
      </c>
    </row>
    <row r="33" spans="2:11" ht="15" customHeight="1" x14ac:dyDescent="0.25">
      <c r="B33" s="1265" t="s">
        <v>44</v>
      </c>
      <c r="C33" s="21">
        <v>1</v>
      </c>
    </row>
    <row r="34" spans="2:11" ht="15" customHeight="1" x14ac:dyDescent="0.25">
      <c r="B34" s="1265" t="s">
        <v>45</v>
      </c>
      <c r="C34" s="21">
        <v>2</v>
      </c>
    </row>
    <row r="35" spans="2:11" ht="15" customHeight="1" x14ac:dyDescent="0.25">
      <c r="B35" s="1265" t="s">
        <v>46</v>
      </c>
      <c r="C35" s="21">
        <f>C34+C33+C32+C31</f>
        <v>14</v>
      </c>
    </row>
    <row r="36" spans="2:11" ht="15" customHeight="1" x14ac:dyDescent="0.25">
      <c r="H36" s="105"/>
      <c r="I36" s="97"/>
    </row>
    <row r="37" spans="2:11" ht="26.25" customHeight="1" x14ac:dyDescent="0.35">
      <c r="B37" s="1773" t="s">
        <v>47</v>
      </c>
      <c r="C37" s="1774"/>
      <c r="D37" s="1774"/>
      <c r="E37" s="1774"/>
      <c r="F37" s="1774"/>
      <c r="G37" s="1774"/>
      <c r="H37" s="1774"/>
      <c r="I37" s="1774"/>
    </row>
    <row r="38" spans="2:11" s="120" customFormat="1" ht="27.75" customHeight="1" x14ac:dyDescent="0.25">
      <c r="B38" s="1255" t="s">
        <v>0</v>
      </c>
      <c r="C38" s="1255" t="s">
        <v>1</v>
      </c>
      <c r="D38" s="1275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244" t="s">
        <v>3</v>
      </c>
      <c r="J38" s="473">
        <v>1772</v>
      </c>
      <c r="K38" s="259"/>
    </row>
    <row r="39" spans="2:11" ht="15" customHeight="1" x14ac:dyDescent="0.25">
      <c r="B39" s="4">
        <f>VLOOKUP(C39,[1]Hoja1!$B$2:$C$260,2,FALSE)</f>
        <v>1370004</v>
      </c>
      <c r="C39" s="4" t="s">
        <v>1149</v>
      </c>
      <c r="D39" s="103">
        <v>5.6</v>
      </c>
      <c r="E39" s="24">
        <f>VLOOKUP(B39,[2]Hoja1!$C$2:$E$279,3,FALSE)</f>
        <v>164.29</v>
      </c>
      <c r="F39" s="24">
        <f>E39*D39</f>
        <v>920.02399999999989</v>
      </c>
      <c r="G39" s="24">
        <v>181.63</v>
      </c>
      <c r="H39" s="24">
        <f>G39*D39</f>
        <v>1017.1279999999999</v>
      </c>
      <c r="I39" s="643">
        <f>((E39/G39)*100)-100</f>
        <v>-9.5468810218576294</v>
      </c>
      <c r="J39" s="843">
        <f>J38*D39</f>
        <v>9923.1999999999989</v>
      </c>
    </row>
    <row r="40" spans="2:11" ht="15" customHeight="1" x14ac:dyDescent="0.25">
      <c r="B40" s="1">
        <v>1330029</v>
      </c>
      <c r="C40" s="1" t="s">
        <v>1312</v>
      </c>
      <c r="D40" s="1">
        <v>1</v>
      </c>
      <c r="E40" s="24">
        <f>VLOOKUP(B40,[2]Hoja1!$C$2:$E$279,3,FALSE)</f>
        <v>162.88</v>
      </c>
      <c r="F40" s="24">
        <f>E40*D40</f>
        <v>162.88</v>
      </c>
      <c r="H40" s="1"/>
      <c r="J40" s="843">
        <f>J38*D41</f>
        <v>265.8</v>
      </c>
    </row>
    <row r="41" spans="2:11" ht="15" customHeight="1" x14ac:dyDescent="0.25">
      <c r="B41" s="4">
        <f>VLOOKUP(C41,[1]Hoja1!$B$2:$C$260,2,FALSE)</f>
        <v>1310018</v>
      </c>
      <c r="C41" s="918" t="s">
        <v>890</v>
      </c>
      <c r="D41" s="103">
        <v>0.15</v>
      </c>
      <c r="E41" s="24">
        <f>VLOOKUP(B41,[2]Hoja1!$C$2:$E$279,3,FALSE)</f>
        <v>478.26</v>
      </c>
      <c r="F41" s="24">
        <f>E41*D41</f>
        <v>71.73899999999999</v>
      </c>
      <c r="G41" s="871">
        <v>882</v>
      </c>
      <c r="H41" s="24">
        <f>G41*D41</f>
        <v>132.29999999999998</v>
      </c>
      <c r="I41" s="643">
        <f>((E41/G41)*100)-100</f>
        <v>-45.775510204081641</v>
      </c>
      <c r="J41" s="843"/>
    </row>
    <row r="42" spans="2:11" ht="15" customHeight="1" x14ac:dyDescent="0.25">
      <c r="B42" s="4">
        <f>VLOOKUP(C42,[1]Hoja1!$B$2:$C$260,2,FALSE)</f>
        <v>1320004</v>
      </c>
      <c r="C42" s="1168" t="s">
        <v>1141</v>
      </c>
      <c r="D42" s="103">
        <v>0.15</v>
      </c>
      <c r="E42" s="24">
        <f>VLOOKUP(B42,[2]Hoja1!$C$2:$E$279,3,FALSE)</f>
        <v>1481.51</v>
      </c>
      <c r="F42" s="24">
        <f>E42*D42</f>
        <v>222.22649999999999</v>
      </c>
      <c r="G42" s="24">
        <v>1575.9</v>
      </c>
      <c r="H42" s="24">
        <f>G42*D42</f>
        <v>236.38499999999999</v>
      </c>
      <c r="I42" s="643">
        <f>((E42/G42)*100)-100</f>
        <v>-5.9895932483025547</v>
      </c>
      <c r="J42" s="843">
        <f>J38*D42</f>
        <v>265.8</v>
      </c>
    </row>
    <row r="43" spans="2:11" ht="15" customHeight="1" x14ac:dyDescent="0.25">
      <c r="B43" s="1256"/>
      <c r="C43" s="1256" t="s">
        <v>37</v>
      </c>
      <c r="D43" s="1318"/>
      <c r="E43" s="1257"/>
      <c r="F43" s="1257">
        <f>SUM(F39:F42)</f>
        <v>1376.8695</v>
      </c>
      <c r="G43" s="1257"/>
      <c r="H43" s="1257">
        <f>SUM(H39:H42)</f>
        <v>1385.8129999999999</v>
      </c>
      <c r="I43" s="1268">
        <f>((F43/H43)*100)-100</f>
        <v>-0.64536124282280127</v>
      </c>
      <c r="J43" s="843"/>
    </row>
    <row r="44" spans="2:11" ht="15" customHeight="1" x14ac:dyDescent="0.25">
      <c r="H44" s="1" t="str">
        <f>+'CIF Y PV'!$G$1</f>
        <v>MAYO</v>
      </c>
      <c r="J44" s="107"/>
      <c r="K44" s="1"/>
    </row>
    <row r="45" spans="2:11" ht="15" customHeight="1" x14ac:dyDescent="0.25">
      <c r="B45" s="1750" t="s">
        <v>178</v>
      </c>
      <c r="C45" s="1750"/>
      <c r="E45" s="881"/>
      <c r="F45" s="881"/>
      <c r="G45" s="881"/>
      <c r="H45" s="881">
        <f>+F43+G24</f>
        <v>6105.1228035369022</v>
      </c>
      <c r="I45" s="28"/>
      <c r="J45" s="881"/>
      <c r="K45" s="28"/>
    </row>
    <row r="46" spans="2:11" ht="15" customHeight="1" x14ac:dyDescent="0.25">
      <c r="B46" s="1758" t="s">
        <v>48</v>
      </c>
      <c r="C46" s="1759"/>
      <c r="E46" s="881"/>
      <c r="F46" s="881"/>
      <c r="G46" s="881"/>
      <c r="H46" s="881">
        <f>+('CIF Y PV'!C3/1000)*1000</f>
        <v>1890</v>
      </c>
      <c r="J46" s="881"/>
      <c r="K46" s="1"/>
    </row>
    <row r="47" spans="2:11" ht="15" customHeight="1" x14ac:dyDescent="0.25">
      <c r="B47" s="1758" t="s">
        <v>179</v>
      </c>
      <c r="C47" s="1759"/>
      <c r="E47" s="881"/>
      <c r="F47" s="881"/>
      <c r="G47" s="881"/>
      <c r="H47" s="881">
        <f>+H45+H46</f>
        <v>7995.1228035369022</v>
      </c>
      <c r="I47" s="140"/>
      <c r="J47" s="881"/>
      <c r="K47" s="140"/>
    </row>
    <row r="48" spans="2:11" ht="15" customHeight="1" x14ac:dyDescent="0.25">
      <c r="B48" s="1750" t="s">
        <v>49</v>
      </c>
      <c r="C48" s="1750"/>
      <c r="E48" s="881"/>
      <c r="F48" s="881"/>
      <c r="G48" s="881"/>
      <c r="H48" s="881">
        <f>'CIF Y PV'!C49</f>
        <v>16016.616</v>
      </c>
      <c r="J48" s="881"/>
      <c r="K48" s="339"/>
    </row>
    <row r="49" spans="2:11" ht="15" customHeight="1" x14ac:dyDescent="0.25">
      <c r="B49" s="1750" t="s">
        <v>805</v>
      </c>
      <c r="C49" s="1750"/>
      <c r="E49" s="881"/>
      <c r="F49" s="881"/>
      <c r="G49" s="881"/>
      <c r="H49" s="1229">
        <f>+(H48-H47)/H48</f>
        <v>0.50082321986511369</v>
      </c>
      <c r="I49" s="137"/>
      <c r="J49" s="107"/>
      <c r="K49" s="137">
        <f>1-K48</f>
        <v>1</v>
      </c>
    </row>
  </sheetData>
  <mergeCells count="9">
    <mergeCell ref="B49:C49"/>
    <mergeCell ref="B2:J2"/>
    <mergeCell ref="B37:I37"/>
    <mergeCell ref="B46:C46"/>
    <mergeCell ref="B47:C47"/>
    <mergeCell ref="B48:C48"/>
    <mergeCell ref="B24:C24"/>
    <mergeCell ref="B26:C26"/>
    <mergeCell ref="B45:C45"/>
  </mergeCells>
  <pageMargins left="0.7" right="0.7" top="0.75" bottom="0.75" header="0.3" footer="0.3"/>
  <pageSetup scale="3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79F9-EE3C-407F-B6D8-304368E68C46}">
  <sheetPr codeName="Hoja22">
    <tabColor theme="5" tint="-0.249977111117893"/>
  </sheetPr>
  <dimension ref="A2:L51"/>
  <sheetViews>
    <sheetView view="pageBreakPreview" topLeftCell="A34" zoomScaleNormal="100" zoomScaleSheetLayoutView="100" workbookViewId="0">
      <selection activeCell="I51" sqref="I51"/>
    </sheetView>
  </sheetViews>
  <sheetFormatPr baseColWidth="10" defaultColWidth="11.5703125" defaultRowHeight="13.5" x14ac:dyDescent="0.25"/>
  <cols>
    <col min="1" max="1" width="5.7109375" style="1" customWidth="1"/>
    <col min="2" max="2" width="11.5703125" style="1"/>
    <col min="3" max="3" width="67.42578125" style="1" bestFit="1" customWidth="1"/>
    <col min="4" max="4" width="11.5703125" style="100"/>
    <col min="5" max="5" width="11.5703125" style="1"/>
    <col min="6" max="6" width="12.5703125" style="1" bestFit="1" customWidth="1"/>
    <col min="7" max="7" width="14.28515625" style="1" customWidth="1"/>
    <col min="8" max="8" width="12.5703125" style="107" bestFit="1" customWidth="1"/>
    <col min="9" max="9" width="14.42578125" style="1" bestFit="1" customWidth="1"/>
    <col min="10" max="10" width="12.5703125" style="38" bestFit="1" customWidth="1"/>
    <col min="11" max="16384" width="11.5703125" style="1"/>
  </cols>
  <sheetData>
    <row r="2" spans="2:11" ht="25.5" x14ac:dyDescent="0.35">
      <c r="B2" s="1751" t="s">
        <v>1327</v>
      </c>
      <c r="C2" s="1751"/>
      <c r="D2" s="1751"/>
      <c r="E2" s="1751"/>
      <c r="F2" s="1751"/>
      <c r="G2" s="1751"/>
      <c r="H2" s="1751"/>
      <c r="I2" s="1751"/>
      <c r="J2" s="1751"/>
    </row>
    <row r="3" spans="2:11" x14ac:dyDescent="0.25">
      <c r="D3" s="100">
        <v>53.62</v>
      </c>
    </row>
    <row r="4" spans="2:11" s="120" customFormat="1" ht="23.25" customHeight="1" x14ac:dyDescent="0.25">
      <c r="B4" s="1271" t="s">
        <v>0</v>
      </c>
      <c r="C4" s="1271" t="s">
        <v>1</v>
      </c>
      <c r="D4" s="1314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272">
        <v>0.54800000000000004</v>
      </c>
    </row>
    <row r="5" spans="2:11" x14ac:dyDescent="0.25">
      <c r="B5" s="6">
        <f>VLOOKUP(C5,[1]Hoja1!$B$2:$C$260,2,FALSE)</f>
        <v>1112001</v>
      </c>
      <c r="C5" s="6" t="s">
        <v>797</v>
      </c>
      <c r="D5" s="7">
        <v>0.26049482672123903</v>
      </c>
      <c r="E5" s="32">
        <v>47.535552321393979</v>
      </c>
      <c r="F5" s="896">
        <f>VLOOKUP(B5,[2]Hoja1!$C$2:$E$279,3,FALSE)</f>
        <v>3663.96</v>
      </c>
      <c r="G5" s="8">
        <f>F5*D5</f>
        <v>954.44262531355093</v>
      </c>
      <c r="H5" s="896">
        <v>4222.72</v>
      </c>
      <c r="I5" s="96">
        <f>H5*D5</f>
        <v>1099.9967146923104</v>
      </c>
      <c r="J5" s="39">
        <f>((F5/H5)*100)-100</f>
        <v>-13.232229463473786</v>
      </c>
      <c r="K5" s="100">
        <f>$K$4*E5%</f>
        <v>0.26049482672123903</v>
      </c>
    </row>
    <row r="6" spans="2:11" x14ac:dyDescent="0.25">
      <c r="B6" s="6">
        <f>VLOOKUP(C6,[1]Hoja1!$B$2:$C$260,2,FALSE)</f>
        <v>2906001</v>
      </c>
      <c r="C6" s="6" t="s">
        <v>831</v>
      </c>
      <c r="D6" s="7">
        <v>4.6273898163647478E-2</v>
      </c>
      <c r="E6" s="32">
        <v>8.4441420006655967</v>
      </c>
      <c r="F6" s="896">
        <f>VLOOKUP(B6,[2]Hoja1!$C$2:$E$279,3,FALSE)</f>
        <v>1956.71</v>
      </c>
      <c r="G6" s="8">
        <f t="shared" ref="G6:G23" si="0">F6*D6</f>
        <v>90.544599275790659</v>
      </c>
      <c r="H6" s="896">
        <v>2033.73</v>
      </c>
      <c r="I6" s="96">
        <f t="shared" ref="I6:I23" si="1">H6*D6</f>
        <v>94.108614912354781</v>
      </c>
      <c r="J6" s="39">
        <f t="shared" ref="J6:J23" si="2">((F6/H6)*100)-100</f>
        <v>-3.7871300516784459</v>
      </c>
      <c r="K6" s="100">
        <f t="shared" ref="K6:K23" si="3">$K$4*E6%</f>
        <v>4.6273898163647478E-2</v>
      </c>
    </row>
    <row r="7" spans="2:11" x14ac:dyDescent="0.25">
      <c r="B7" s="6">
        <f>VLOOKUP(C7,[1]Hoja1!$B$2:$C$260,2,FALSE)</f>
        <v>1131002</v>
      </c>
      <c r="C7" s="6" t="s">
        <v>663</v>
      </c>
      <c r="D7" s="1157">
        <v>0.13413442080636589</v>
      </c>
      <c r="E7" s="32">
        <v>24.4770840887529</v>
      </c>
      <c r="F7" s="896">
        <f>VLOOKUP(B7,[2]Hoja1!$C$2:$E$279,3,FALSE)</f>
        <v>0</v>
      </c>
      <c r="G7" s="8">
        <f t="shared" si="0"/>
        <v>0</v>
      </c>
      <c r="H7" s="879">
        <v>0</v>
      </c>
      <c r="I7" s="96">
        <f t="shared" si="1"/>
        <v>0</v>
      </c>
      <c r="J7" s="39" t="e">
        <f t="shared" si="2"/>
        <v>#DIV/0!</v>
      </c>
      <c r="K7" s="100">
        <f t="shared" si="3"/>
        <v>0.13413442080636589</v>
      </c>
    </row>
    <row r="8" spans="2:11" x14ac:dyDescent="0.25">
      <c r="B8" s="6">
        <f>VLOOKUP(C8,[1]Hoja1!$B$2:$C$260,2,FALSE)</f>
        <v>1250009</v>
      </c>
      <c r="C8" s="6" t="s">
        <v>1279</v>
      </c>
      <c r="D8" s="7">
        <v>3.266392811551586E-4</v>
      </c>
      <c r="E8" s="32">
        <v>5.9605708239992443E-2</v>
      </c>
      <c r="F8" s="896">
        <f>VLOOKUP(B8,[2]Hoja1!$C$2:$E$279,3,FALSE)</f>
        <v>83551.55</v>
      </c>
      <c r="G8" s="8">
        <f t="shared" si="0"/>
        <v>27.291218231399291</v>
      </c>
      <c r="H8" s="388">
        <v>71910.02</v>
      </c>
      <c r="I8" s="96">
        <f t="shared" si="1"/>
        <v>23.48863724065308</v>
      </c>
      <c r="J8" s="39">
        <f>((F8/H8)*100)-100</f>
        <v>16.18902344902699</v>
      </c>
      <c r="K8" s="100">
        <f>$K$4*E8%</f>
        <v>3.266392811551586E-4</v>
      </c>
    </row>
    <row r="9" spans="2:11" x14ac:dyDescent="0.25">
      <c r="B9" s="6">
        <f>VLOOKUP(C9,[1]Hoja1!$B$2:$C$260,2,FALSE)</f>
        <v>1250004</v>
      </c>
      <c r="C9" s="6" t="s">
        <v>969</v>
      </c>
      <c r="D9" s="7">
        <v>4.3551904154021154E-5</v>
      </c>
      <c r="E9" s="32">
        <v>7.947427765332327E-3</v>
      </c>
      <c r="F9" s="896">
        <f>VLOOKUP(B9,[2]Hoja1!$C$2:$E$279,3,FALSE)</f>
        <v>164481.95000000001</v>
      </c>
      <c r="G9" s="8">
        <f t="shared" si="0"/>
        <v>7.1635021214665002</v>
      </c>
      <c r="H9" s="106">
        <v>156520.01999999999</v>
      </c>
      <c r="I9" s="96">
        <f t="shared" si="1"/>
        <v>6.8167449092254735</v>
      </c>
      <c r="J9" s="39">
        <f t="shared" si="2"/>
        <v>5.0868444816196927</v>
      </c>
      <c r="K9" s="100">
        <f t="shared" si="3"/>
        <v>4.3551904154021154E-5</v>
      </c>
    </row>
    <row r="10" spans="2:11" x14ac:dyDescent="0.25">
      <c r="B10" s="6">
        <v>1210005</v>
      </c>
      <c r="C10" s="6" t="s">
        <v>1155</v>
      </c>
      <c r="D10" s="7">
        <v>5.7540000000000004E-3</v>
      </c>
      <c r="E10" s="32">
        <v>1.05</v>
      </c>
      <c r="F10" s="896">
        <f>VLOOKUP(B10,[2]Hoja1!$C$2:$E$279,3,FALSE)</f>
        <v>1356</v>
      </c>
      <c r="G10" s="8"/>
      <c r="H10" s="672"/>
      <c r="I10" s="96"/>
      <c r="J10" s="39"/>
      <c r="K10" s="100">
        <f t="shared" si="3"/>
        <v>5.7540000000000004E-3</v>
      </c>
    </row>
    <row r="11" spans="2:11" x14ac:dyDescent="0.25">
      <c r="B11" s="6">
        <v>1210010</v>
      </c>
      <c r="C11" s="6" t="s">
        <v>1351</v>
      </c>
      <c r="D11" s="7">
        <v>3.836E-3</v>
      </c>
      <c r="E11" s="32">
        <v>0.7</v>
      </c>
      <c r="F11" s="896">
        <f>VLOOKUP(B11,[2]Hoja1!$C$2:$E$279,3,FALSE)</f>
        <v>11600</v>
      </c>
      <c r="G11" s="8">
        <f t="shared" si="0"/>
        <v>44.497599999999998</v>
      </c>
      <c r="H11" s="914">
        <v>8910.1</v>
      </c>
      <c r="I11" s="96">
        <f t="shared" si="1"/>
        <v>34.179143600000003</v>
      </c>
      <c r="J11" s="39">
        <f t="shared" si="2"/>
        <v>30.189335697691376</v>
      </c>
      <c r="K11" s="100">
        <f t="shared" si="3"/>
        <v>3.836E-3</v>
      </c>
    </row>
    <row r="12" spans="2:11" x14ac:dyDescent="0.25">
      <c r="B12" s="6">
        <f>VLOOKUP(C12,[1]Hoja1!$B$2:$C$260,2,FALSE)</f>
        <v>1210004</v>
      </c>
      <c r="C12" s="6" t="s">
        <v>1131</v>
      </c>
      <c r="D12" s="7">
        <v>9.1186799322481784E-4</v>
      </c>
      <c r="E12" s="32">
        <v>0.16639926883664558</v>
      </c>
      <c r="F12" s="896">
        <f>VLOOKUP(B12,[2]Hoja1!$C$2:$E$279,3,FALSE)</f>
        <v>3841</v>
      </c>
      <c r="G12" s="8">
        <f t="shared" si="0"/>
        <v>3.5024849619765255</v>
      </c>
      <c r="H12" s="914">
        <v>3508.01</v>
      </c>
      <c r="I12" s="96">
        <f t="shared" si="1"/>
        <v>3.1988420389125936</v>
      </c>
      <c r="J12" s="39">
        <f t="shared" si="2"/>
        <v>9.4922762477871885</v>
      </c>
      <c r="K12" s="100">
        <f t="shared" si="3"/>
        <v>9.1186799322481784E-4</v>
      </c>
    </row>
    <row r="13" spans="2:11" x14ac:dyDescent="0.25">
      <c r="B13" s="6">
        <f>VLOOKUP(C13,[1]Hoja1!$B$2:$C$260,2,FALSE)</f>
        <v>121007</v>
      </c>
      <c r="C13" s="6" t="s">
        <v>821</v>
      </c>
      <c r="D13" s="7">
        <v>2.1775952077010578E-3</v>
      </c>
      <c r="E13" s="32">
        <v>0.39737138826661633</v>
      </c>
      <c r="F13" s="896">
        <f>VLOOKUP(B13,[2]Hoja1!$C$2:$E$279,3,FALSE)</f>
        <v>16905</v>
      </c>
      <c r="G13" s="8">
        <f t="shared" si="0"/>
        <v>36.812246986186381</v>
      </c>
      <c r="H13" s="880">
        <v>16100</v>
      </c>
      <c r="I13" s="96">
        <f t="shared" si="1"/>
        <v>35.059282843987027</v>
      </c>
      <c r="J13" s="39">
        <f t="shared" si="2"/>
        <v>5</v>
      </c>
      <c r="K13" s="100">
        <f t="shared" si="3"/>
        <v>2.1775952077010578E-3</v>
      </c>
    </row>
    <row r="14" spans="2:11" x14ac:dyDescent="0.25">
      <c r="B14" s="6">
        <f>VLOOKUP(C14,[1]Hoja1!$B$2:$C$260,2,FALSE)</f>
        <v>1240002</v>
      </c>
      <c r="C14" s="6" t="s">
        <v>1140</v>
      </c>
      <c r="D14" s="7">
        <v>2.721994009626322E-3</v>
      </c>
      <c r="E14" s="32">
        <v>0.49671423533327042</v>
      </c>
      <c r="F14" s="896">
        <f>VLOOKUP(B14,[2]Hoja1!$C$2:$E$279,3,FALSE)</f>
        <v>66115.8</v>
      </c>
      <c r="G14" s="8">
        <f t="shared" si="0"/>
        <v>179.96681154165199</v>
      </c>
      <c r="H14" s="914">
        <v>70840.75</v>
      </c>
      <c r="I14" s="96">
        <f t="shared" si="1"/>
        <v>192.82809713743586</v>
      </c>
      <c r="J14" s="39">
        <f t="shared" si="2"/>
        <v>-6.6698192777461998</v>
      </c>
      <c r="K14" s="100">
        <f t="shared" si="3"/>
        <v>2.721994009626322E-3</v>
      </c>
    </row>
    <row r="15" spans="2:11" x14ac:dyDescent="0.25">
      <c r="B15" s="6">
        <f>VLOOKUP(C15,[1]Hoja1!$B$2:$C$260,2,FALSE)</f>
        <v>1220015</v>
      </c>
      <c r="C15" s="30" t="s">
        <v>1036</v>
      </c>
      <c r="D15" s="1157">
        <v>3.6746919129955354E-3</v>
      </c>
      <c r="E15" s="32">
        <v>0.67056421769991514</v>
      </c>
      <c r="F15" s="896">
        <f>VLOOKUP(B15,[2]Hoja1!$C$2:$E$279,3,FALSE)</f>
        <v>30702.27</v>
      </c>
      <c r="G15" s="8">
        <f t="shared" si="0"/>
        <v>112.82138327960544</v>
      </c>
      <c r="H15" s="25">
        <v>29189.39</v>
      </c>
      <c r="I15" s="96">
        <f t="shared" si="1"/>
        <v>107.26201537827275</v>
      </c>
      <c r="J15" s="39">
        <f t="shared" si="2"/>
        <v>5.1829791578378348</v>
      </c>
      <c r="K15" s="100">
        <f t="shared" si="3"/>
        <v>3.6746919129955354E-3</v>
      </c>
    </row>
    <row r="16" spans="2:11" x14ac:dyDescent="0.25">
      <c r="B16" s="6">
        <f>VLOOKUP(C16,[1]Hoja1!$B$2:$C$260,2,FALSE)</f>
        <v>1220014</v>
      </c>
      <c r="C16" s="6" t="s">
        <v>1146</v>
      </c>
      <c r="D16" s="7">
        <v>2.9941934105889544E-3</v>
      </c>
      <c r="E16" s="32">
        <v>0.54638565886659751</v>
      </c>
      <c r="F16" s="896">
        <f>VLOOKUP(B16,[2]Hoja1!$C$2:$E$279,3,FALSE)</f>
        <v>14060</v>
      </c>
      <c r="G16" s="8">
        <f t="shared" si="0"/>
        <v>42.098359352880699</v>
      </c>
      <c r="H16" s="914">
        <v>13300.01</v>
      </c>
      <c r="I16" s="96">
        <f t="shared" si="1"/>
        <v>39.822802302767201</v>
      </c>
      <c r="J16" s="39">
        <f t="shared" si="2"/>
        <v>5.7142062299201086</v>
      </c>
      <c r="K16" s="100">
        <f t="shared" si="3"/>
        <v>2.9941934105889544E-3</v>
      </c>
    </row>
    <row r="17" spans="2:11" x14ac:dyDescent="0.25">
      <c r="B17" s="6">
        <f>VLOOKUP(C17,[1]Hoja1!$B$2:$C$260,2,FALSE)</f>
        <v>1210003</v>
      </c>
      <c r="C17" s="6" t="s">
        <v>1143</v>
      </c>
      <c r="D17" s="1164">
        <v>2.7219940096263222E-4</v>
      </c>
      <c r="E17" s="32">
        <v>4.9671423533327042E-2</v>
      </c>
      <c r="F17" s="896">
        <f>VLOOKUP(B17,[2]Hoja1!$C$2:$E$279,3,FALSE)</f>
        <v>16235.45</v>
      </c>
      <c r="G17" s="8">
        <f t="shared" si="0"/>
        <v>4.4192797643587678</v>
      </c>
      <c r="H17" s="914">
        <v>12852.58</v>
      </c>
      <c r="I17" s="96">
        <f t="shared" si="1"/>
        <v>3.4984645768243077</v>
      </c>
      <c r="J17" s="39">
        <f t="shared" si="2"/>
        <v>26.320551982559152</v>
      </c>
      <c r="K17" s="100">
        <f t="shared" si="3"/>
        <v>2.7219940096263222E-4</v>
      </c>
    </row>
    <row r="18" spans="2:11" x14ac:dyDescent="0.25">
      <c r="B18" s="6">
        <v>1260024</v>
      </c>
      <c r="C18" s="6" t="s">
        <v>1290</v>
      </c>
      <c r="D18" s="7">
        <v>5.443988019252644E-3</v>
      </c>
      <c r="E18" s="32">
        <v>0.99342847066654083</v>
      </c>
      <c r="F18" s="896">
        <f>VLOOKUP(B18,[2]Hoja1!$C$2:$E$279,3,FALSE)</f>
        <v>12625.84</v>
      </c>
      <c r="G18" s="8">
        <f t="shared" si="0"/>
        <v>68.7349216930008</v>
      </c>
      <c r="H18" s="32">
        <v>18900</v>
      </c>
      <c r="I18" s="96">
        <f t="shared" si="1"/>
        <v>102.89137356387498</v>
      </c>
      <c r="J18" s="39">
        <f t="shared" si="2"/>
        <v>-33.196613756613758</v>
      </c>
      <c r="K18" s="100">
        <f t="shared" si="3"/>
        <v>5.443988019252644E-3</v>
      </c>
    </row>
    <row r="19" spans="2:11" x14ac:dyDescent="0.25">
      <c r="B19" s="6">
        <f>VLOOKUP(C19,[1]Hoja1!$B$2:$C$260,2,FALSE)</f>
        <v>1260005</v>
      </c>
      <c r="C19" s="6" t="s">
        <v>811</v>
      </c>
      <c r="D19" s="7">
        <v>5.443988019252644E-3</v>
      </c>
      <c r="E19" s="32">
        <v>0.99342847066654083</v>
      </c>
      <c r="F19" s="896">
        <f>VLOOKUP(B19,[2]Hoja1!$C$2:$E$279,3,FALSE)</f>
        <v>26429</v>
      </c>
      <c r="G19" s="8">
        <f t="shared" si="0"/>
        <v>143.87915936082814</v>
      </c>
      <c r="H19" s="914">
        <v>25850</v>
      </c>
      <c r="I19" s="96">
        <f t="shared" si="1"/>
        <v>140.72709029768086</v>
      </c>
      <c r="J19" s="39">
        <f t="shared" si="2"/>
        <v>2.2398452611218715</v>
      </c>
      <c r="K19" s="100">
        <f t="shared" si="3"/>
        <v>5.443988019252644E-3</v>
      </c>
    </row>
    <row r="20" spans="2:11" x14ac:dyDescent="0.25">
      <c r="B20" s="6">
        <f>VLOOKUP(C20,[1]Hoja1!$B$2:$C$260,2,FALSE)</f>
        <v>1260010</v>
      </c>
      <c r="C20" s="6" t="s">
        <v>1043</v>
      </c>
      <c r="D20" s="7">
        <v>2.7219940096263221E-2</v>
      </c>
      <c r="E20" s="32">
        <v>4.9671423533327044</v>
      </c>
      <c r="F20" s="896">
        <f>VLOOKUP(B20,[2]Hoja1!$C$2:$E$279,3,FALSE)</f>
        <v>6959.71</v>
      </c>
      <c r="G20" s="8">
        <f t="shared" si="0"/>
        <v>189.4428892873641</v>
      </c>
      <c r="H20" s="880">
        <v>9565.2099999999991</v>
      </c>
      <c r="I20" s="96">
        <f t="shared" si="1"/>
        <v>260.36444320817787</v>
      </c>
      <c r="J20" s="39">
        <f t="shared" si="2"/>
        <v>-27.239339230398485</v>
      </c>
      <c r="K20" s="100">
        <f t="shared" si="3"/>
        <v>2.7219940096263221E-2</v>
      </c>
    </row>
    <row r="21" spans="2:11" x14ac:dyDescent="0.25">
      <c r="B21" s="6">
        <f>VLOOKUP(C21,[1]Hoja1!$B$2:$C$260,2,FALSE)</f>
        <v>1260017</v>
      </c>
      <c r="C21" s="6" t="s">
        <v>832</v>
      </c>
      <c r="D21" s="7">
        <v>2.7219940096263221E-2</v>
      </c>
      <c r="E21" s="32">
        <v>4.9671423533327044</v>
      </c>
      <c r="F21" s="896">
        <f>VLOOKUP(B21,[2]Hoja1!$C$2:$E$279,3,FALSE)</f>
        <v>4500</v>
      </c>
      <c r="G21" s="8">
        <f t="shared" si="0"/>
        <v>122.48973043318449</v>
      </c>
      <c r="H21" s="896">
        <v>4500</v>
      </c>
      <c r="I21" s="96">
        <f t="shared" si="1"/>
        <v>122.48973043318449</v>
      </c>
      <c r="J21" s="39">
        <f t="shared" si="2"/>
        <v>0</v>
      </c>
      <c r="K21" s="100">
        <f t="shared" si="3"/>
        <v>2.7219940096263221E-2</v>
      </c>
    </row>
    <row r="22" spans="2:11" x14ac:dyDescent="0.25">
      <c r="B22" s="6">
        <f>VLOOKUP(C22,[1]Hoja1!$B$2:$C$260,2,FALSE)</f>
        <v>1260012</v>
      </c>
      <c r="C22" s="6" t="s">
        <v>1148</v>
      </c>
      <c r="D22" s="1157">
        <v>1.7747400942763618E-3</v>
      </c>
      <c r="E22" s="32">
        <v>0.32385768143729227</v>
      </c>
      <c r="F22" s="896">
        <f>VLOOKUP(B22,[2]Hoja1!$C$2:$E$279,3,FALSE)</f>
        <v>46081</v>
      </c>
      <c r="G22" s="8">
        <f t="shared" si="0"/>
        <v>81.781798284349023</v>
      </c>
      <c r="H22" s="106">
        <v>46081</v>
      </c>
      <c r="I22" s="96">
        <f t="shared" si="1"/>
        <v>81.781798284349023</v>
      </c>
      <c r="J22" s="39">
        <f t="shared" si="2"/>
        <v>0</v>
      </c>
      <c r="K22" s="100">
        <f t="shared" si="3"/>
        <v>1.7747400942763618E-3</v>
      </c>
    </row>
    <row r="23" spans="2:11" x14ac:dyDescent="0.25">
      <c r="B23" s="6">
        <f>VLOOKUP(C23,[1]Hoja1!$B$2:$C$260,2,FALSE)</f>
        <v>1121009</v>
      </c>
      <c r="C23" s="6" t="s">
        <v>1272</v>
      </c>
      <c r="D23" s="1157">
        <v>1.7752844930782871E-2</v>
      </c>
      <c r="E23" s="922">
        <v>3.2395702428435897</v>
      </c>
      <c r="F23" s="896">
        <f>VLOOKUP(B23,[2]Hoja1!$C$2:$E$279,3,FALSE)</f>
        <v>8741.6200000000008</v>
      </c>
      <c r="G23" s="8">
        <f t="shared" si="0"/>
        <v>155.18862430383018</v>
      </c>
      <c r="H23" s="95">
        <v>8754.2800000000007</v>
      </c>
      <c r="I23" s="96">
        <f t="shared" si="1"/>
        <v>155.4133753206539</v>
      </c>
      <c r="J23" s="39">
        <f t="shared" si="2"/>
        <v>-0.14461497690273006</v>
      </c>
      <c r="K23" s="100">
        <f t="shared" si="3"/>
        <v>1.7752844930782871E-2</v>
      </c>
    </row>
    <row r="24" spans="2:11" s="38" customFormat="1" x14ac:dyDescent="0.25">
      <c r="B24" s="1763" t="s">
        <v>37</v>
      </c>
      <c r="C24" s="1763"/>
      <c r="D24" s="1273">
        <v>37.43</v>
      </c>
      <c r="E24" s="1274">
        <f>SUM(E5:E23)</f>
        <v>100.08600731163355</v>
      </c>
      <c r="F24" s="1274"/>
      <c r="G24" s="1316">
        <f>SUM(G5:G23)</f>
        <v>2265.0772341914244</v>
      </c>
      <c r="H24" s="1316"/>
      <c r="I24" s="1316">
        <f>SUM(I5:I23)</f>
        <v>2503.9271707406647</v>
      </c>
      <c r="J24" s="1317">
        <f>((G24/I24)*100)-100</f>
        <v>-9.5390129289818049</v>
      </c>
    </row>
    <row r="26" spans="2:11" ht="25.5" x14ac:dyDescent="0.35">
      <c r="B26" s="1760" t="s">
        <v>50</v>
      </c>
      <c r="C26" s="1754"/>
      <c r="D26" s="38">
        <f>+C29+(C29*C35%)</f>
        <v>547.67999999999995</v>
      </c>
      <c r="E26" s="97"/>
      <c r="F26" s="97"/>
      <c r="G26" s="97"/>
      <c r="H26" s="105"/>
      <c r="I26" s="97"/>
      <c r="J26" s="101"/>
    </row>
    <row r="27" spans="2:11" x14ac:dyDescent="0.25">
      <c r="B27" s="1264" t="s">
        <v>38</v>
      </c>
      <c r="C27" s="93" t="s">
        <v>167</v>
      </c>
    </row>
    <row r="28" spans="2:11" x14ac:dyDescent="0.25">
      <c r="B28" s="1265" t="s">
        <v>39</v>
      </c>
      <c r="C28" s="21" t="s">
        <v>310</v>
      </c>
      <c r="H28" s="100"/>
    </row>
    <row r="29" spans="2:11" x14ac:dyDescent="0.25">
      <c r="B29" s="1265" t="s">
        <v>40</v>
      </c>
      <c r="C29" s="21">
        <v>480</v>
      </c>
    </row>
    <row r="30" spans="2:11" x14ac:dyDescent="0.25">
      <c r="B30" s="1265" t="s">
        <v>41</v>
      </c>
      <c r="C30" s="21">
        <v>0</v>
      </c>
    </row>
    <row r="31" spans="2:11" x14ac:dyDescent="0.25">
      <c r="B31" s="1265" t="s">
        <v>42</v>
      </c>
      <c r="C31" s="21">
        <v>9</v>
      </c>
    </row>
    <row r="32" spans="2:11" x14ac:dyDescent="0.25">
      <c r="B32" s="1265" t="s">
        <v>43</v>
      </c>
      <c r="C32" s="21">
        <v>2</v>
      </c>
    </row>
    <row r="33" spans="1:12" x14ac:dyDescent="0.25">
      <c r="B33" s="1265" t="s">
        <v>44</v>
      </c>
      <c r="C33" s="21">
        <v>1</v>
      </c>
      <c r="J33" s="38" t="s">
        <v>85</v>
      </c>
    </row>
    <row r="34" spans="1:12" x14ac:dyDescent="0.25">
      <c r="B34" s="1265" t="s">
        <v>45</v>
      </c>
      <c r="C34" s="21">
        <v>2.1</v>
      </c>
    </row>
    <row r="35" spans="1:12" x14ac:dyDescent="0.25">
      <c r="B35" s="1265" t="s">
        <v>46</v>
      </c>
      <c r="C35" s="21">
        <f>C34+C33+C32+C31</f>
        <v>14.1</v>
      </c>
    </row>
    <row r="36" spans="1:12" x14ac:dyDescent="0.25">
      <c r="H36" s="105"/>
      <c r="I36" s="97"/>
      <c r="L36" s="1" t="s">
        <v>85</v>
      </c>
    </row>
    <row r="37" spans="1:12" ht="25.5" x14ac:dyDescent="0.35">
      <c r="B37" s="1773" t="s">
        <v>47</v>
      </c>
      <c r="C37" s="1774"/>
      <c r="D37" s="1774"/>
      <c r="E37" s="1774"/>
      <c r="F37" s="1774"/>
      <c r="G37" s="1774"/>
      <c r="H37" s="1774"/>
      <c r="I37" s="1774"/>
    </row>
    <row r="38" spans="1:12" s="120" customFormat="1" ht="25.5" x14ac:dyDescent="0.25">
      <c r="B38" s="1255" t="s">
        <v>0</v>
      </c>
      <c r="C38" s="1255" t="s">
        <v>1</v>
      </c>
      <c r="D38" s="1275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244" t="s">
        <v>3</v>
      </c>
      <c r="J38" s="146">
        <v>3650</v>
      </c>
    </row>
    <row r="39" spans="1:12" x14ac:dyDescent="0.25">
      <c r="B39" s="4">
        <f>VLOOKUP(C39,[1]Hoja1!$B$2:$C$260,2,FALSE)</f>
        <v>1370007</v>
      </c>
      <c r="C39" s="4" t="s">
        <v>1038</v>
      </c>
      <c r="D39" s="103">
        <v>1.8</v>
      </c>
      <c r="E39" s="24">
        <f>VLOOKUP(B39,[2]Hoja1!$C$2:$E$279,3,FALSE)</f>
        <v>181.76</v>
      </c>
      <c r="F39" s="24">
        <f>VLOOKUP(B39,[3]Hoja1!$C$2:$E$295,3,FALSE)</f>
        <v>178.15</v>
      </c>
      <c r="G39" s="24">
        <v>195.56</v>
      </c>
      <c r="H39" s="24">
        <f>G39*D39</f>
        <v>352.00800000000004</v>
      </c>
      <c r="I39" s="643">
        <f>((F39/H39)*100)-100</f>
        <v>-49.390354764664444</v>
      </c>
      <c r="J39" s="38">
        <f>J38*D39</f>
        <v>6570</v>
      </c>
    </row>
    <row r="40" spans="1:12" x14ac:dyDescent="0.25">
      <c r="B40" s="4">
        <f>VLOOKUP(C40,[1]Hoja1!$B$2:$C$260,2,FALSE)</f>
        <v>1310018</v>
      </c>
      <c r="C40" s="1189" t="s">
        <v>890</v>
      </c>
      <c r="D40" s="103">
        <v>7.6899999999999996E-2</v>
      </c>
      <c r="E40" s="24">
        <f>VLOOKUP(B40,[2]Hoja1!$C$2:$E$279,3,FALSE)</f>
        <v>478.26</v>
      </c>
      <c r="F40" s="24">
        <f>E40*D40</f>
        <v>36.778193999999999</v>
      </c>
      <c r="G40" s="871">
        <v>503.51</v>
      </c>
      <c r="H40" s="24">
        <f>G40*D40</f>
        <v>38.719918999999997</v>
      </c>
      <c r="I40" s="643">
        <f>((F40/H40)*100)-100</f>
        <v>-5.0147961311592582</v>
      </c>
      <c r="J40" s="38">
        <f>J38*D40</f>
        <v>280.685</v>
      </c>
    </row>
    <row r="41" spans="1:12" ht="14.25" x14ac:dyDescent="0.25">
      <c r="B41" s="4">
        <f>VLOOKUP(C41,[1]Hoja1!$B$2:$C$260,2,FALSE)</f>
        <v>1320004</v>
      </c>
      <c r="C41" s="1168" t="s">
        <v>1141</v>
      </c>
      <c r="D41" s="103">
        <v>7.6899999999999996E-2</v>
      </c>
      <c r="E41" s="24">
        <f>VLOOKUP(B41,[2]Hoja1!$C$2:$E$279,3,FALSE)</f>
        <v>1481.51</v>
      </c>
      <c r="F41" s="24">
        <f>E41*D41</f>
        <v>113.928119</v>
      </c>
      <c r="G41" s="24">
        <v>1575.9</v>
      </c>
      <c r="H41" s="24">
        <f>G41*D41</f>
        <v>121.18671000000001</v>
      </c>
      <c r="I41" s="643">
        <f>((F41/H41)*100)-100</f>
        <v>-5.9895932483025547</v>
      </c>
      <c r="J41" s="38">
        <f>J38*D41</f>
        <v>280.685</v>
      </c>
    </row>
    <row r="42" spans="1:12" x14ac:dyDescent="0.25">
      <c r="B42" s="4">
        <f>VLOOKUP(C42,[1]Hoja1!$B$2:$C$260,2,FALSE)</f>
        <v>1330009</v>
      </c>
      <c r="C42" s="1189" t="s">
        <v>1083</v>
      </c>
      <c r="D42" s="103">
        <v>1</v>
      </c>
      <c r="E42" s="24">
        <f>VLOOKUP(B42,[2]Hoja1!$C$2:$E$279,3,FALSE)</f>
        <v>134.30000000000001</v>
      </c>
      <c r="F42" s="24">
        <f>E42*D42</f>
        <v>134.30000000000001</v>
      </c>
      <c r="G42" s="24">
        <v>143.12</v>
      </c>
      <c r="H42" s="24">
        <f>G42*D42</f>
        <v>143.12</v>
      </c>
      <c r="I42" s="643">
        <f>((F42/H42)*100)-100</f>
        <v>-6.1626607043040735</v>
      </c>
      <c r="J42" s="38">
        <f>J38*D42</f>
        <v>3650</v>
      </c>
    </row>
    <row r="43" spans="1:12" x14ac:dyDescent="0.25">
      <c r="A43" s="1775" t="s">
        <v>1119</v>
      </c>
      <c r="C43" s="873"/>
      <c r="D43" s="307"/>
      <c r="E43" s="115"/>
      <c r="F43" s="115"/>
      <c r="G43" s="115"/>
      <c r="H43" s="115"/>
      <c r="I43" s="886"/>
    </row>
    <row r="44" spans="1:12" x14ac:dyDescent="0.25">
      <c r="A44" s="1775"/>
      <c r="B44" s="1256"/>
      <c r="C44" s="1256" t="s">
        <v>37</v>
      </c>
      <c r="D44" s="1318"/>
      <c r="E44" s="1257"/>
      <c r="F44" s="1257">
        <f>SUM(F39:F42)</f>
        <v>463.15631300000001</v>
      </c>
      <c r="G44" s="1257"/>
      <c r="H44" s="1257">
        <f>SUM(H39:H42)</f>
        <v>655.034629</v>
      </c>
      <c r="I44" s="802">
        <f>((F44/H44)*100)-100</f>
        <v>-29.292850714309338</v>
      </c>
    </row>
    <row r="45" spans="1:12" x14ac:dyDescent="0.25">
      <c r="A45" s="1775"/>
      <c r="H45" s="1" t="str">
        <f>+'CIF Y PV'!$G$1</f>
        <v>MAYO</v>
      </c>
      <c r="J45" s="107"/>
    </row>
    <row r="46" spans="1:12" x14ac:dyDescent="0.25">
      <c r="A46" s="1775"/>
      <c r="B46" s="1750" t="s">
        <v>194</v>
      </c>
      <c r="C46" s="1750"/>
      <c r="E46" s="881"/>
      <c r="F46" s="881"/>
      <c r="G46" s="881"/>
      <c r="H46" s="881">
        <f>+F44+G24</f>
        <v>2728.2335471914243</v>
      </c>
      <c r="I46" s="28"/>
      <c r="J46" s="881"/>
      <c r="K46" s="28"/>
    </row>
    <row r="47" spans="1:12" x14ac:dyDescent="0.25">
      <c r="B47" s="1758" t="s">
        <v>48</v>
      </c>
      <c r="C47" s="1759"/>
      <c r="E47" s="881"/>
      <c r="F47" s="881"/>
      <c r="G47" s="881"/>
      <c r="H47" s="881">
        <f>+('CIF Y PV'!C3/1000)*480</f>
        <v>907.19999999999993</v>
      </c>
      <c r="J47" s="881"/>
    </row>
    <row r="48" spans="1:12" x14ac:dyDescent="0.25">
      <c r="B48" s="1758" t="s">
        <v>195</v>
      </c>
      <c r="C48" s="1759"/>
      <c r="E48" s="881"/>
      <c r="F48" s="881"/>
      <c r="G48" s="881"/>
      <c r="H48" s="881">
        <f>+H47+H46</f>
        <v>3635.4335471914242</v>
      </c>
      <c r="I48" s="140"/>
      <c r="J48" s="881"/>
      <c r="K48" s="140"/>
    </row>
    <row r="49" spans="2:11" x14ac:dyDescent="0.25">
      <c r="B49" s="1750" t="s">
        <v>49</v>
      </c>
      <c r="C49" s="1750"/>
      <c r="E49" s="881"/>
      <c r="F49" s="881"/>
      <c r="G49" s="881"/>
      <c r="H49" s="930">
        <f>'CIF Y PV'!C51</f>
        <v>9824.9112000000005</v>
      </c>
      <c r="J49" s="931"/>
      <c r="K49" s="339"/>
    </row>
    <row r="50" spans="2:11" ht="14.45" customHeight="1" x14ac:dyDescent="0.25">
      <c r="B50" s="1750" t="s">
        <v>805</v>
      </c>
      <c r="C50" s="1750"/>
      <c r="E50" s="881"/>
      <c r="F50" s="881"/>
      <c r="G50" s="881"/>
      <c r="H50" s="339">
        <f>+(H49-H48)/H49</f>
        <v>0.62997797403080613</v>
      </c>
      <c r="I50" s="932"/>
      <c r="J50" s="384"/>
      <c r="K50" s="932"/>
    </row>
    <row r="51" spans="2:11" x14ac:dyDescent="0.25">
      <c r="H51" s="384"/>
      <c r="I51" s="188"/>
      <c r="J51" s="933"/>
      <c r="K51" s="188"/>
    </row>
  </sheetData>
  <mergeCells count="10">
    <mergeCell ref="A43:A46"/>
    <mergeCell ref="B50:C50"/>
    <mergeCell ref="B47:C47"/>
    <mergeCell ref="B48:C48"/>
    <mergeCell ref="B49:C49"/>
    <mergeCell ref="B2:J2"/>
    <mergeCell ref="B24:C24"/>
    <mergeCell ref="B26:C26"/>
    <mergeCell ref="B37:I37"/>
    <mergeCell ref="B46:C46"/>
  </mergeCells>
  <pageMargins left="0.7" right="0.7" top="0.75" bottom="0.75" header="0.3" footer="0.3"/>
  <pageSetup scale="4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12AD-BF12-4D7C-9F45-F6707378B336}">
  <sheetPr codeName="Hoja6"/>
  <dimension ref="B2:M50"/>
  <sheetViews>
    <sheetView view="pageBreakPreview" topLeftCell="A30" zoomScaleNormal="100" zoomScaleSheetLayoutView="100" workbookViewId="0">
      <selection activeCell="C20" sqref="C20"/>
    </sheetView>
  </sheetViews>
  <sheetFormatPr baseColWidth="10" defaultColWidth="11.5703125" defaultRowHeight="13.5" x14ac:dyDescent="0.25"/>
  <cols>
    <col min="1" max="1" width="9" style="1" customWidth="1"/>
    <col min="2" max="2" width="11.5703125" style="1"/>
    <col min="3" max="3" width="67.42578125" style="1" bestFit="1" customWidth="1"/>
    <col min="4" max="4" width="11.5703125" style="100"/>
    <col min="5" max="5" width="11.5703125" style="1"/>
    <col min="6" max="6" width="12.5703125" style="1" bestFit="1" customWidth="1"/>
    <col min="7" max="7" width="14.28515625" style="1" customWidth="1"/>
    <col min="8" max="8" width="12.5703125" style="107" bestFit="1" customWidth="1"/>
    <col min="9" max="9" width="14.42578125" style="1" bestFit="1" customWidth="1"/>
    <col min="10" max="10" width="12.5703125" style="38" bestFit="1" customWidth="1"/>
    <col min="11" max="12" width="11.5703125" style="1"/>
    <col min="13" max="13" width="14.42578125" style="1" bestFit="1" customWidth="1"/>
    <col min="14" max="16384" width="11.5703125" style="1"/>
  </cols>
  <sheetData>
    <row r="2" spans="2:13" ht="25.5" x14ac:dyDescent="0.35">
      <c r="B2" s="1751" t="s">
        <v>1080</v>
      </c>
      <c r="C2" s="1751"/>
      <c r="D2" s="1751"/>
      <c r="E2" s="1751"/>
      <c r="F2" s="1751"/>
      <c r="G2" s="1751"/>
      <c r="H2" s="1751"/>
      <c r="I2" s="1751"/>
      <c r="J2" s="1751"/>
    </row>
    <row r="3" spans="2:13" x14ac:dyDescent="0.25">
      <c r="D3" s="100">
        <v>53.62</v>
      </c>
      <c r="M3" s="846" t="s">
        <v>967</v>
      </c>
    </row>
    <row r="4" spans="2:13" s="120" customFormat="1" ht="20.25" customHeight="1" x14ac:dyDescent="0.25">
      <c r="B4" s="1271" t="s">
        <v>0</v>
      </c>
      <c r="C4" s="1271" t="s">
        <v>1</v>
      </c>
      <c r="D4" s="1314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310">
        <v>0.57099999999999995</v>
      </c>
      <c r="L4" s="1310">
        <v>2013.23</v>
      </c>
      <c r="M4" s="1310"/>
    </row>
    <row r="5" spans="2:13" x14ac:dyDescent="0.25">
      <c r="B5" s="6">
        <f>VLOOKUP(C5,[1]Hoja1!$B$2:$C$260,2,FALSE)</f>
        <v>1112001</v>
      </c>
      <c r="C5" s="6" t="s">
        <v>797</v>
      </c>
      <c r="D5" s="7">
        <v>0.27142800375515963</v>
      </c>
      <c r="E5" s="32">
        <v>47.535552321393979</v>
      </c>
      <c r="F5" s="896">
        <f>VLOOKUP(B5,[2]Hoja1!$C$2:$E$279,3,FALSE)</f>
        <v>3663.96</v>
      </c>
      <c r="G5" s="8">
        <f>F5*D5</f>
        <v>994.50134863875473</v>
      </c>
      <c r="H5" s="896">
        <v>4222.72</v>
      </c>
      <c r="I5" s="96">
        <f>H5*D5</f>
        <v>1146.1644600169877</v>
      </c>
      <c r="J5" s="39">
        <f>((F5/H5)*100)-100</f>
        <v>-13.232229463473786</v>
      </c>
      <c r="K5" s="100">
        <f>$K$4*E5%</f>
        <v>0.27142800375515963</v>
      </c>
      <c r="L5" s="153">
        <f>$L$4*E5%</f>
        <v>957.00000000000011</v>
      </c>
      <c r="M5" s="1319">
        <f>L5*F5</f>
        <v>3506409.7200000007</v>
      </c>
    </row>
    <row r="6" spans="2:13" x14ac:dyDescent="0.25">
      <c r="B6" s="6">
        <f>VLOOKUP(C6,[1]Hoja1!$B$2:$C$260,2,FALSE)</f>
        <v>2906001</v>
      </c>
      <c r="C6" s="6" t="s">
        <v>831</v>
      </c>
      <c r="D6" s="7">
        <v>4.8216050823800552E-2</v>
      </c>
      <c r="E6" s="32">
        <v>8.4441420006655967</v>
      </c>
      <c r="F6" s="896">
        <f>VLOOKUP(B6,[2]Hoja1!$C$2:$E$279,3,FALSE)</f>
        <v>1956.71</v>
      </c>
      <c r="G6" s="8">
        <f t="shared" ref="G6:G23" si="0">F6*D6</f>
        <v>94.344828807438773</v>
      </c>
      <c r="H6" s="896">
        <v>2033.73</v>
      </c>
      <c r="I6" s="96">
        <f t="shared" ref="I6:I23" si="1">H6*D6</f>
        <v>98.058429041887891</v>
      </c>
      <c r="J6" s="39">
        <f t="shared" ref="J6:J23" si="2">((F6/H6)*100)-100</f>
        <v>-3.7871300516784459</v>
      </c>
      <c r="K6" s="100">
        <f t="shared" ref="K6:K23" si="3">$K$4*E6%</f>
        <v>4.8216050823800552E-2</v>
      </c>
      <c r="L6" s="153">
        <f t="shared" ref="L6:L23" si="4">$L$4*E6%</f>
        <v>170</v>
      </c>
      <c r="M6" s="1319">
        <f t="shared" ref="M6:M23" si="5">L6*F6</f>
        <v>332640.7</v>
      </c>
    </row>
    <row r="7" spans="2:13" x14ac:dyDescent="0.25">
      <c r="B7" s="6">
        <f>VLOOKUP(C7,[1]Hoja1!$B$2:$C$260,2,FALSE)</f>
        <v>1131002</v>
      </c>
      <c r="C7" s="6" t="s">
        <v>663</v>
      </c>
      <c r="D7" s="1157">
        <v>0.13976415014677904</v>
      </c>
      <c r="E7" s="32">
        <v>24.4770840887529</v>
      </c>
      <c r="F7" s="896">
        <f>VLOOKUP(B7,[2]Hoja1!$C$2:$E$279,3,FALSE)</f>
        <v>0</v>
      </c>
      <c r="G7" s="8">
        <f t="shared" si="0"/>
        <v>0</v>
      </c>
      <c r="H7" s="879">
        <v>0</v>
      </c>
      <c r="I7" s="96">
        <f t="shared" si="1"/>
        <v>0</v>
      </c>
      <c r="J7" s="39" t="e">
        <f t="shared" si="2"/>
        <v>#DIV/0!</v>
      </c>
      <c r="K7" s="100">
        <f t="shared" si="3"/>
        <v>0.13976415014677904</v>
      </c>
      <c r="L7" s="153">
        <f t="shared" si="4"/>
        <v>492.78</v>
      </c>
      <c r="M7" s="1319">
        <f t="shared" si="5"/>
        <v>0</v>
      </c>
    </row>
    <row r="8" spans="2:13" x14ac:dyDescent="0.25">
      <c r="B8" s="6">
        <f>VLOOKUP(C8,[1]Hoja1!$B$2:$C$260,2,FALSE)</f>
        <v>1250009</v>
      </c>
      <c r="C8" s="6" t="s">
        <v>1279</v>
      </c>
      <c r="D8" s="7">
        <v>3.4034859405035684E-4</v>
      </c>
      <c r="E8" s="32">
        <v>5.9605708239992443E-2</v>
      </c>
      <c r="F8" s="896">
        <f>VLOOKUP(B8,[2]Hoja1!$C$2:$E$279,3,FALSE)</f>
        <v>83551.55</v>
      </c>
      <c r="G8" s="8">
        <f t="shared" si="0"/>
        <v>28.436652573228095</v>
      </c>
      <c r="H8" s="388">
        <v>71910.02</v>
      </c>
      <c r="I8" s="96">
        <f t="shared" si="1"/>
        <v>24.474474205133042</v>
      </c>
      <c r="J8" s="39">
        <f>((F8/H8)*100)-100</f>
        <v>16.18902344902699</v>
      </c>
      <c r="K8" s="100">
        <f>$K$4*E8%</f>
        <v>3.4034859405035684E-4</v>
      </c>
      <c r="L8" s="153">
        <f t="shared" si="4"/>
        <v>1.2</v>
      </c>
      <c r="M8" s="1319">
        <f t="shared" si="5"/>
        <v>100261.86</v>
      </c>
    </row>
    <row r="9" spans="2:13" x14ac:dyDescent="0.25">
      <c r="B9" s="6">
        <f>VLOOKUP(C9,[1]Hoja1!$B$2:$C$260,2,FALSE)</f>
        <v>1250004</v>
      </c>
      <c r="C9" s="6" t="s">
        <v>969</v>
      </c>
      <c r="D9" s="7">
        <v>4.5379812540047582E-5</v>
      </c>
      <c r="E9" s="32">
        <v>7.947427765332327E-3</v>
      </c>
      <c r="F9" s="896">
        <f>VLOOKUP(B9,[2]Hoja1!$C$2:$E$279,3,FALSE)</f>
        <v>164481.95000000001</v>
      </c>
      <c r="G9" s="8">
        <f t="shared" si="0"/>
        <v>7.4641600572214797</v>
      </c>
      <c r="H9" s="106">
        <v>156520.01999999999</v>
      </c>
      <c r="I9" s="96">
        <f t="shared" si="1"/>
        <v>7.1028491663644981</v>
      </c>
      <c r="J9" s="39">
        <f t="shared" si="2"/>
        <v>5.0868444816196927</v>
      </c>
      <c r="K9" s="100">
        <f t="shared" si="3"/>
        <v>4.5379812540047582E-5</v>
      </c>
      <c r="L9" s="153">
        <f t="shared" si="4"/>
        <v>0.16</v>
      </c>
      <c r="M9" s="1319">
        <f t="shared" si="5"/>
        <v>26317.112000000001</v>
      </c>
    </row>
    <row r="10" spans="2:13" x14ac:dyDescent="0.25">
      <c r="B10" s="6">
        <v>1210005</v>
      </c>
      <c r="C10" s="6" t="s">
        <v>1155</v>
      </c>
      <c r="D10" s="7">
        <v>5.9955E-3</v>
      </c>
      <c r="E10" s="32">
        <v>1.05</v>
      </c>
      <c r="F10" s="896">
        <f>VLOOKUP(B10,[2]Hoja1!$C$2:$E$279,3,FALSE)</f>
        <v>1356</v>
      </c>
      <c r="G10" s="8">
        <f t="shared" si="0"/>
        <v>8.1298980000000007</v>
      </c>
      <c r="H10" s="914">
        <v>8910.1</v>
      </c>
      <c r="I10" s="96">
        <f t="shared" si="1"/>
        <v>53.420504550000004</v>
      </c>
      <c r="J10" s="39">
        <f t="shared" si="2"/>
        <v>-84.781315585683672</v>
      </c>
      <c r="K10" s="100">
        <f t="shared" si="3"/>
        <v>5.9955E-3</v>
      </c>
      <c r="L10" s="153">
        <f t="shared" si="4"/>
        <v>21.138915000000001</v>
      </c>
      <c r="M10" s="1319">
        <f t="shared" si="5"/>
        <v>28664.368740000002</v>
      </c>
    </row>
    <row r="11" spans="2:13" x14ac:dyDescent="0.25">
      <c r="B11" s="6">
        <v>1210010</v>
      </c>
      <c r="C11" s="6" t="s">
        <v>1351</v>
      </c>
      <c r="D11" s="7">
        <v>3.9969999999999997E-3</v>
      </c>
      <c r="E11" s="32">
        <v>0.7</v>
      </c>
      <c r="F11" s="896">
        <f>VLOOKUP(B11,[2]Hoja1!$C$2:$E$279,3,FALSE)</f>
        <v>11600</v>
      </c>
      <c r="G11" s="8">
        <f t="shared" si="0"/>
        <v>46.365199999999994</v>
      </c>
      <c r="H11" s="914"/>
      <c r="I11" s="96"/>
      <c r="J11" s="39"/>
      <c r="K11" s="100">
        <f t="shared" si="3"/>
        <v>3.9969999999999997E-3</v>
      </c>
      <c r="L11" s="153"/>
      <c r="M11" s="1319"/>
    </row>
    <row r="12" spans="2:13" x14ac:dyDescent="0.25">
      <c r="B12" s="6">
        <f>VLOOKUP(C12,[1]Hoja1!$B$2:$C$260,2,FALSE)</f>
        <v>1210004</v>
      </c>
      <c r="C12" s="6" t="s">
        <v>1131</v>
      </c>
      <c r="D12" s="7">
        <v>4.5679999999999999E-4</v>
      </c>
      <c r="E12" s="32">
        <v>0.08</v>
      </c>
      <c r="F12" s="896">
        <f>VLOOKUP(B12,[2]Hoja1!$C$2:$E$279,3,FALSE)</f>
        <v>3841</v>
      </c>
      <c r="G12" s="8">
        <f t="shared" si="0"/>
        <v>1.7545687999999999</v>
      </c>
      <c r="H12" s="914">
        <v>3508.01</v>
      </c>
      <c r="I12" s="96">
        <f t="shared" si="1"/>
        <v>1.6024589680000001</v>
      </c>
      <c r="J12" s="39">
        <f t="shared" si="2"/>
        <v>9.4922762477871885</v>
      </c>
      <c r="K12" s="100">
        <f t="shared" si="3"/>
        <v>4.5679999999999999E-4</v>
      </c>
      <c r="L12" s="153">
        <f t="shared" si="4"/>
        <v>1.610584</v>
      </c>
      <c r="M12" s="1319">
        <f t="shared" si="5"/>
        <v>6186.2531440000002</v>
      </c>
    </row>
    <row r="13" spans="2:13" x14ac:dyDescent="0.25">
      <c r="B13" s="6">
        <f>VLOOKUP(C13,[1]Hoja1!$B$2:$C$260,2,FALSE)</f>
        <v>121007</v>
      </c>
      <c r="C13" s="6" t="s">
        <v>821</v>
      </c>
      <c r="D13" s="7">
        <v>2.2689906270023791E-3</v>
      </c>
      <c r="E13" s="32">
        <v>0.39737138826661633</v>
      </c>
      <c r="F13" s="896">
        <f>VLOOKUP(B13,[2]Hoja1!$C$2:$E$279,3,FALSE)</f>
        <v>16905</v>
      </c>
      <c r="G13" s="8">
        <f t="shared" si="0"/>
        <v>38.357286549475219</v>
      </c>
      <c r="H13" s="880">
        <v>16100</v>
      </c>
      <c r="I13" s="96">
        <f t="shared" si="1"/>
        <v>36.530749094738304</v>
      </c>
      <c r="J13" s="39">
        <f t="shared" si="2"/>
        <v>5</v>
      </c>
      <c r="K13" s="100">
        <f t="shared" si="3"/>
        <v>2.2689906270023791E-3</v>
      </c>
      <c r="L13" s="153">
        <f t="shared" si="4"/>
        <v>8</v>
      </c>
      <c r="M13" s="1319">
        <f t="shared" si="5"/>
        <v>135240</v>
      </c>
    </row>
    <row r="14" spans="2:13" x14ac:dyDescent="0.25">
      <c r="B14" s="6">
        <f>VLOOKUP(C14,[1]Hoja1!$B$2:$C$260,2,FALSE)</f>
        <v>1240002</v>
      </c>
      <c r="C14" s="6" t="s">
        <v>1140</v>
      </c>
      <c r="D14" s="7">
        <v>2.8362382837529738E-3</v>
      </c>
      <c r="E14" s="32">
        <v>0.49671423533327042</v>
      </c>
      <c r="F14" s="896">
        <f>VLOOKUP(B14,[2]Hoja1!$C$2:$E$279,3,FALSE)</f>
        <v>66115.8</v>
      </c>
      <c r="G14" s="8">
        <f t="shared" si="0"/>
        <v>187.52016312095489</v>
      </c>
      <c r="H14" s="914">
        <v>70840.75</v>
      </c>
      <c r="I14" s="96">
        <f t="shared" si="1"/>
        <v>200.92124719977349</v>
      </c>
      <c r="J14" s="39">
        <f t="shared" si="2"/>
        <v>-6.6698192777461998</v>
      </c>
      <c r="K14" s="100">
        <f t="shared" si="3"/>
        <v>2.8362382837529738E-3</v>
      </c>
      <c r="L14" s="153">
        <f t="shared" si="4"/>
        <v>10</v>
      </c>
      <c r="M14" s="1319">
        <f t="shared" si="5"/>
        <v>661158</v>
      </c>
    </row>
    <row r="15" spans="2:13" x14ac:dyDescent="0.25">
      <c r="B15" s="6">
        <f>VLOOKUP(C15,[1]Hoja1!$B$2:$C$260,2,FALSE)</f>
        <v>1220015</v>
      </c>
      <c r="C15" s="30" t="s">
        <v>1036</v>
      </c>
      <c r="D15" s="1157">
        <v>3.8289216830665156E-3</v>
      </c>
      <c r="E15" s="32">
        <v>0.67056421769991514</v>
      </c>
      <c r="F15" s="896">
        <f>VLOOKUP(B15,[2]Hoja1!$C$2:$E$279,3,FALSE)</f>
        <v>30702.27</v>
      </c>
      <c r="G15" s="8">
        <f t="shared" si="0"/>
        <v>117.55658732236259</v>
      </c>
      <c r="H15" s="25">
        <v>29189.39</v>
      </c>
      <c r="I15" s="96">
        <f t="shared" si="1"/>
        <v>111.76388828648491</v>
      </c>
      <c r="J15" s="39">
        <f t="shared" si="2"/>
        <v>5.1829791578378348</v>
      </c>
      <c r="K15" s="100">
        <f t="shared" si="3"/>
        <v>3.8289216830665156E-3</v>
      </c>
      <c r="L15" s="153">
        <f t="shared" si="4"/>
        <v>13.500000000000002</v>
      </c>
      <c r="M15" s="1319">
        <f t="shared" si="5"/>
        <v>414480.64500000008</v>
      </c>
    </row>
    <row r="16" spans="2:13" x14ac:dyDescent="0.25">
      <c r="B16" s="6">
        <f>VLOOKUP(C16,[1]Hoja1!$B$2:$C$260,2,FALSE)</f>
        <v>1220014</v>
      </c>
      <c r="C16" s="6" t="s">
        <v>1146</v>
      </c>
      <c r="D16" s="7">
        <v>3.1198621121282712E-3</v>
      </c>
      <c r="E16" s="32">
        <v>0.54638565886659751</v>
      </c>
      <c r="F16" s="896">
        <f>VLOOKUP(B16,[2]Hoja1!$C$2:$E$279,3,FALSE)</f>
        <v>14060</v>
      </c>
      <c r="G16" s="8">
        <f t="shared" si="0"/>
        <v>43.865261296523492</v>
      </c>
      <c r="H16" s="914">
        <v>13300.01</v>
      </c>
      <c r="I16" s="96">
        <f t="shared" si="1"/>
        <v>41.494197289927129</v>
      </c>
      <c r="J16" s="39">
        <f t="shared" si="2"/>
        <v>5.7142062299201086</v>
      </c>
      <c r="K16" s="100">
        <f t="shared" si="3"/>
        <v>3.1198621121282712E-3</v>
      </c>
      <c r="L16" s="153">
        <f t="shared" si="4"/>
        <v>11</v>
      </c>
      <c r="M16" s="1319">
        <f t="shared" si="5"/>
        <v>154660</v>
      </c>
    </row>
    <row r="17" spans="2:13" x14ac:dyDescent="0.25">
      <c r="B17" s="6">
        <f>VLOOKUP(C17,[1]Hoja1!$B$2:$C$260,2,FALSE)</f>
        <v>1210003</v>
      </c>
      <c r="C17" s="6" t="s">
        <v>1143</v>
      </c>
      <c r="D17" s="1164">
        <v>2.8362382837529738E-4</v>
      </c>
      <c r="E17" s="32">
        <v>4.9671423533327042E-2</v>
      </c>
      <c r="F17" s="896">
        <f>VLOOKUP(B17,[2]Hoja1!$C$2:$E$279,3,FALSE)</f>
        <v>16235.45</v>
      </c>
      <c r="G17" s="8">
        <f t="shared" si="0"/>
        <v>4.6047604843957224</v>
      </c>
      <c r="H17" s="914">
        <v>12852.58</v>
      </c>
      <c r="I17" s="96">
        <f t="shared" si="1"/>
        <v>3.6452979440997795</v>
      </c>
      <c r="J17" s="39">
        <f t="shared" si="2"/>
        <v>26.320551982559152</v>
      </c>
      <c r="K17" s="100">
        <f t="shared" si="3"/>
        <v>2.8362382837529738E-4</v>
      </c>
      <c r="L17" s="153">
        <f t="shared" si="4"/>
        <v>1</v>
      </c>
      <c r="M17" s="1319">
        <f t="shared" si="5"/>
        <v>16235.45</v>
      </c>
    </row>
    <row r="18" spans="2:13" x14ac:dyDescent="0.25">
      <c r="B18" s="6">
        <v>1260024</v>
      </c>
      <c r="C18" s="6" t="s">
        <v>1290</v>
      </c>
      <c r="D18" s="7">
        <v>5.6724765675059477E-3</v>
      </c>
      <c r="E18" s="32">
        <v>0.99342847066654083</v>
      </c>
      <c r="F18" s="896">
        <f>VLOOKUP(B18,[2]Hoja1!$C$2:$E$279,3,FALSE)</f>
        <v>12625.84</v>
      </c>
      <c r="G18" s="8">
        <f t="shared" si="0"/>
        <v>71.619781545079292</v>
      </c>
      <c r="H18" s="32">
        <v>18900</v>
      </c>
      <c r="I18" s="96">
        <f t="shared" si="1"/>
        <v>107.20980712586241</v>
      </c>
      <c r="J18" s="39">
        <f t="shared" si="2"/>
        <v>-33.196613756613758</v>
      </c>
      <c r="K18" s="100">
        <f t="shared" si="3"/>
        <v>5.6724765675059477E-3</v>
      </c>
      <c r="L18" s="153">
        <f t="shared" si="4"/>
        <v>20</v>
      </c>
      <c r="M18" s="1319">
        <f t="shared" si="5"/>
        <v>252516.8</v>
      </c>
    </row>
    <row r="19" spans="2:13" x14ac:dyDescent="0.25">
      <c r="B19" s="6">
        <f>VLOOKUP(C19,[1]Hoja1!$B$2:$C$260,2,FALSE)</f>
        <v>1260005</v>
      </c>
      <c r="C19" s="6" t="s">
        <v>811</v>
      </c>
      <c r="D19" s="7">
        <v>5.6724765675059477E-3</v>
      </c>
      <c r="E19" s="32">
        <v>0.99342847066654083</v>
      </c>
      <c r="F19" s="896">
        <f>VLOOKUP(B19,[2]Hoja1!$C$2:$E$279,3,FALSE)</f>
        <v>26429</v>
      </c>
      <c r="G19" s="8">
        <f t="shared" si="0"/>
        <v>149.91788320261469</v>
      </c>
      <c r="H19" s="914">
        <v>25850</v>
      </c>
      <c r="I19" s="96">
        <f t="shared" si="1"/>
        <v>146.63351927002876</v>
      </c>
      <c r="J19" s="39">
        <f t="shared" si="2"/>
        <v>2.2398452611218715</v>
      </c>
      <c r="K19" s="100">
        <f t="shared" si="3"/>
        <v>5.6724765675059477E-3</v>
      </c>
      <c r="L19" s="153">
        <f t="shared" si="4"/>
        <v>20</v>
      </c>
      <c r="M19" s="1319">
        <f t="shared" si="5"/>
        <v>528580</v>
      </c>
    </row>
    <row r="20" spans="2:13" x14ac:dyDescent="0.25">
      <c r="B20" s="6">
        <f>VLOOKUP(C20,[1]Hoja1!$B$2:$C$260,2,FALSE)</f>
        <v>1260010</v>
      </c>
      <c r="C20" s="6" t="s">
        <v>1043</v>
      </c>
      <c r="D20" s="7">
        <v>2.8362382837529738E-2</v>
      </c>
      <c r="E20" s="32">
        <v>4.9671423533327044</v>
      </c>
      <c r="F20" s="896">
        <f>VLOOKUP(B20,[2]Hoja1!$C$2:$E$279,3,FALSE)</f>
        <v>6959.71</v>
      </c>
      <c r="G20" s="8">
        <f t="shared" si="0"/>
        <v>197.3939594581841</v>
      </c>
      <c r="H20" s="880">
        <v>9565.2099999999991</v>
      </c>
      <c r="I20" s="96">
        <f t="shared" si="1"/>
        <v>271.29214794136783</v>
      </c>
      <c r="J20" s="39">
        <f t="shared" si="2"/>
        <v>-27.239339230398485</v>
      </c>
      <c r="K20" s="100">
        <f t="shared" si="3"/>
        <v>2.8362382837529738E-2</v>
      </c>
      <c r="L20" s="153">
        <f t="shared" si="4"/>
        <v>100</v>
      </c>
      <c r="M20" s="1319">
        <f t="shared" si="5"/>
        <v>695971</v>
      </c>
    </row>
    <row r="21" spans="2:13" x14ac:dyDescent="0.25">
      <c r="B21" s="6">
        <f>VLOOKUP(C21,[1]Hoja1!$B$2:$C$260,2,FALSE)</f>
        <v>1260017</v>
      </c>
      <c r="C21" s="6" t="s">
        <v>832</v>
      </c>
      <c r="D21" s="7">
        <v>2.8362382837529738E-2</v>
      </c>
      <c r="E21" s="32">
        <v>4.9671423533327044</v>
      </c>
      <c r="F21" s="896">
        <f>VLOOKUP(B21,[2]Hoja1!$C$2:$E$279,3,FALSE)</f>
        <v>4500</v>
      </c>
      <c r="G21" s="8">
        <f t="shared" si="0"/>
        <v>127.63072276888383</v>
      </c>
      <c r="H21" s="896">
        <v>4500</v>
      </c>
      <c r="I21" s="96">
        <f t="shared" si="1"/>
        <v>127.63072276888383</v>
      </c>
      <c r="J21" s="39">
        <f t="shared" si="2"/>
        <v>0</v>
      </c>
      <c r="K21" s="100">
        <f t="shared" si="3"/>
        <v>2.8362382837529738E-2</v>
      </c>
      <c r="L21" s="153">
        <f t="shared" si="4"/>
        <v>100</v>
      </c>
      <c r="M21" s="1319">
        <f t="shared" si="5"/>
        <v>450000</v>
      </c>
    </row>
    <row r="22" spans="2:13" x14ac:dyDescent="0.25">
      <c r="B22" s="6">
        <f>VLOOKUP(C22,[1]Hoja1!$B$2:$C$260,2,FALSE)</f>
        <v>1260012</v>
      </c>
      <c r="C22" s="6" t="s">
        <v>1148</v>
      </c>
      <c r="D22" s="1157">
        <v>1.8492273610069387E-3</v>
      </c>
      <c r="E22" s="32">
        <v>0.32385768143729227</v>
      </c>
      <c r="F22" s="896">
        <f>VLOOKUP(B22,[2]Hoja1!$C$2:$E$279,3,FALSE)</f>
        <v>46081</v>
      </c>
      <c r="G22" s="8">
        <f t="shared" si="0"/>
        <v>85.214246022560744</v>
      </c>
      <c r="H22" s="106">
        <v>46081</v>
      </c>
      <c r="I22" s="96">
        <f t="shared" si="1"/>
        <v>85.214246022560744</v>
      </c>
      <c r="J22" s="39">
        <f t="shared" si="2"/>
        <v>0</v>
      </c>
      <c r="K22" s="100">
        <f t="shared" si="3"/>
        <v>1.8492273610069387E-3</v>
      </c>
      <c r="L22" s="153">
        <f t="shared" si="4"/>
        <v>6.52</v>
      </c>
      <c r="M22" s="1319">
        <f t="shared" si="5"/>
        <v>300448.12</v>
      </c>
    </row>
    <row r="23" spans="2:13" x14ac:dyDescent="0.25">
      <c r="B23" s="6">
        <f>VLOOKUP(C23,[1]Hoja1!$B$2:$C$260,2,FALSE)</f>
        <v>1121009</v>
      </c>
      <c r="C23" s="6" t="s">
        <v>1272</v>
      </c>
      <c r="D23" s="1157">
        <v>1.8497946086636897E-2</v>
      </c>
      <c r="E23" s="922">
        <v>3.2395702428435897</v>
      </c>
      <c r="F23" s="896">
        <f>VLOOKUP(B23,[2]Hoja1!$C$2:$E$279,3,FALSE)</f>
        <v>8741.6200000000008</v>
      </c>
      <c r="G23" s="8">
        <f t="shared" si="0"/>
        <v>161.70201546986684</v>
      </c>
      <c r="H23" s="95">
        <v>8754.2800000000007</v>
      </c>
      <c r="I23" s="96">
        <f t="shared" si="1"/>
        <v>161.93619946732366</v>
      </c>
      <c r="J23" s="39">
        <f t="shared" si="2"/>
        <v>-0.14461497690273006</v>
      </c>
      <c r="K23" s="100">
        <f t="shared" si="3"/>
        <v>1.8497946086636897E-2</v>
      </c>
      <c r="L23" s="153">
        <f t="shared" si="4"/>
        <v>65.22</v>
      </c>
      <c r="M23" s="1319">
        <f t="shared" si="5"/>
        <v>570128.45640000002</v>
      </c>
    </row>
    <row r="24" spans="2:13" s="38" customFormat="1" ht="18.75" customHeight="1" x14ac:dyDescent="0.25">
      <c r="B24" s="1763" t="s">
        <v>37</v>
      </c>
      <c r="C24" s="1763"/>
      <c r="D24" s="1273">
        <v>37.43</v>
      </c>
      <c r="E24" s="1274">
        <f>SUM(E5:E23)</f>
        <v>99.999608042796908</v>
      </c>
      <c r="F24" s="1274"/>
      <c r="G24" s="1316">
        <f>SUM(G5:G23)</f>
        <v>2366.3793241175445</v>
      </c>
      <c r="H24" s="1316"/>
      <c r="I24" s="1316">
        <f>SUM(I5:I23)</f>
        <v>2625.0951983594241</v>
      </c>
      <c r="J24" s="1317">
        <f>((G24/I24)*100)-100</f>
        <v>-9.8554854088174153</v>
      </c>
      <c r="K24" s="1252"/>
      <c r="L24" s="1252"/>
      <c r="M24" s="1252">
        <f>SUM(M5:M23)</f>
        <v>8179898.4852840006</v>
      </c>
    </row>
    <row r="26" spans="2:13" ht="25.5" x14ac:dyDescent="0.35">
      <c r="B26" s="1760" t="s">
        <v>50</v>
      </c>
      <c r="C26" s="1754"/>
      <c r="D26" s="38">
        <f>+C29+(C29*C35%)</f>
        <v>570.5</v>
      </c>
      <c r="E26" s="97"/>
      <c r="F26" s="97"/>
      <c r="G26" s="97"/>
      <c r="H26" s="105"/>
      <c r="I26" s="97"/>
      <c r="J26" s="101"/>
    </row>
    <row r="27" spans="2:13" x14ac:dyDescent="0.25">
      <c r="B27" s="1264" t="s">
        <v>38</v>
      </c>
      <c r="C27" s="93" t="s">
        <v>167</v>
      </c>
    </row>
    <row r="28" spans="2:13" x14ac:dyDescent="0.25">
      <c r="B28" s="1265" t="s">
        <v>39</v>
      </c>
      <c r="C28" s="21" t="s">
        <v>310</v>
      </c>
      <c r="H28" s="100"/>
    </row>
    <row r="29" spans="2:13" x14ac:dyDescent="0.25">
      <c r="B29" s="1265" t="s">
        <v>40</v>
      </c>
      <c r="C29" s="21">
        <v>500</v>
      </c>
    </row>
    <row r="30" spans="2:13" x14ac:dyDescent="0.25">
      <c r="B30" s="1265" t="s">
        <v>41</v>
      </c>
      <c r="C30" s="21">
        <v>0</v>
      </c>
    </row>
    <row r="31" spans="2:13" x14ac:dyDescent="0.25">
      <c r="B31" s="1265" t="s">
        <v>42</v>
      </c>
      <c r="C31" s="21">
        <v>9</v>
      </c>
    </row>
    <row r="32" spans="2:13" x14ac:dyDescent="0.25">
      <c r="B32" s="1265" t="s">
        <v>43</v>
      </c>
      <c r="C32" s="21">
        <v>2</v>
      </c>
    </row>
    <row r="33" spans="2:12" x14ac:dyDescent="0.25">
      <c r="B33" s="1265" t="s">
        <v>44</v>
      </c>
      <c r="C33" s="21">
        <v>1</v>
      </c>
      <c r="J33" s="38" t="s">
        <v>85</v>
      </c>
    </row>
    <row r="34" spans="2:12" x14ac:dyDescent="0.25">
      <c r="B34" s="1265" t="s">
        <v>45</v>
      </c>
      <c r="C34" s="21">
        <v>2.1</v>
      </c>
    </row>
    <row r="35" spans="2:12" x14ac:dyDescent="0.25">
      <c r="B35" s="1265" t="s">
        <v>46</v>
      </c>
      <c r="C35" s="21">
        <f>C34+C33+C32+C31</f>
        <v>14.1</v>
      </c>
    </row>
    <row r="36" spans="2:12" x14ac:dyDescent="0.25">
      <c r="E36" s="1">
        <f>0.21*10</f>
        <v>2.1</v>
      </c>
      <c r="H36" s="105"/>
      <c r="I36" s="97"/>
      <c r="L36" s="1" t="s">
        <v>85</v>
      </c>
    </row>
    <row r="37" spans="2:12" ht="25.5" x14ac:dyDescent="0.35">
      <c r="B37" s="1773" t="s">
        <v>47</v>
      </c>
      <c r="C37" s="1774"/>
      <c r="D37" s="1774"/>
      <c r="E37" s="1774"/>
      <c r="F37" s="1774"/>
      <c r="G37" s="1774"/>
      <c r="H37" s="1774"/>
      <c r="I37" s="1774"/>
    </row>
    <row r="38" spans="2:12" s="120" customFormat="1" ht="25.5" x14ac:dyDescent="0.25">
      <c r="B38" s="1255" t="s">
        <v>0</v>
      </c>
      <c r="C38" s="1255" t="s">
        <v>1</v>
      </c>
      <c r="D38" s="1275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244" t="s">
        <v>3</v>
      </c>
      <c r="J38" s="146">
        <v>3650</v>
      </c>
    </row>
    <row r="39" spans="2:12" x14ac:dyDescent="0.25">
      <c r="B39" s="4">
        <f>VLOOKUP(C39,[1]Hoja1!$B$2:$C$260,2,FALSE)</f>
        <v>1370031</v>
      </c>
      <c r="C39" s="4" t="s">
        <v>1201</v>
      </c>
      <c r="D39" s="103">
        <v>2.1</v>
      </c>
      <c r="E39" s="24">
        <f>VLOOKUP(B39,[2]Hoja1!$C$2:$E$279,3,FALSE)</f>
        <v>136.56</v>
      </c>
      <c r="F39" s="24">
        <f>E39*D39</f>
        <v>286.77600000000001</v>
      </c>
      <c r="G39" s="24">
        <v>153.32</v>
      </c>
      <c r="H39" s="24">
        <f>G39*D39</f>
        <v>321.97199999999998</v>
      </c>
      <c r="I39" s="643">
        <f>((F39/H39)*100)-100</f>
        <v>-10.93138533785546</v>
      </c>
      <c r="J39" s="38">
        <f>J38*D39</f>
        <v>7665</v>
      </c>
    </row>
    <row r="40" spans="2:12" x14ac:dyDescent="0.25">
      <c r="B40" s="4">
        <f>VLOOKUP(C40,[1]Hoja1!$B$2:$C$260,2,FALSE)</f>
        <v>1310059</v>
      </c>
      <c r="C40" s="4" t="s">
        <v>1150</v>
      </c>
      <c r="D40" s="103">
        <v>0.15</v>
      </c>
      <c r="E40" s="24">
        <f>VLOOKUP(B40,[2]Hoja1!$C$2:$E$279,3,FALSE)</f>
        <v>889</v>
      </c>
      <c r="F40" s="24">
        <f>E40*D40</f>
        <v>133.35</v>
      </c>
      <c r="G40" s="871">
        <v>889</v>
      </c>
      <c r="H40" s="24">
        <f>G40*D40</f>
        <v>133.35</v>
      </c>
      <c r="I40" s="643">
        <f>((F40/H40)*100)-100</f>
        <v>0</v>
      </c>
      <c r="J40" s="38">
        <f>J38*D40</f>
        <v>547.5</v>
      </c>
    </row>
    <row r="41" spans="2:12" x14ac:dyDescent="0.25">
      <c r="B41" s="4">
        <v>1320010</v>
      </c>
      <c r="C41" s="1631" t="s">
        <v>1284</v>
      </c>
      <c r="D41" s="103">
        <v>0.15</v>
      </c>
      <c r="E41" s="24">
        <f>VLOOKUP(B41,[2]Hoja1!$C$2:$E$279,3,FALSE)</f>
        <v>741.22</v>
      </c>
      <c r="F41" s="24">
        <f>E41*D41</f>
        <v>111.18300000000001</v>
      </c>
      <c r="G41" s="24">
        <v>833.3</v>
      </c>
      <c r="H41" s="24">
        <f>G41*D41</f>
        <v>124.99499999999999</v>
      </c>
      <c r="I41" s="643">
        <f>((F41/H41)*100)-100</f>
        <v>-11.050042001680055</v>
      </c>
      <c r="J41" s="38">
        <f>J38*D41</f>
        <v>547.5</v>
      </c>
    </row>
    <row r="42" spans="2:12" x14ac:dyDescent="0.25">
      <c r="B42" s="4">
        <f>VLOOKUP(C42,[1]Hoja1!$B$2:$C$260,2,FALSE)</f>
        <v>1330076</v>
      </c>
      <c r="C42" s="4" t="s">
        <v>1082</v>
      </c>
      <c r="D42" s="103">
        <v>1</v>
      </c>
      <c r="E42" s="24">
        <f>VLOOKUP(B42,[2]Hoja1!$C$2:$E$279,3,FALSE)</f>
        <v>77</v>
      </c>
      <c r="F42" s="24">
        <f>E42*D42</f>
        <v>77</v>
      </c>
      <c r="G42" s="24">
        <v>77</v>
      </c>
      <c r="H42" s="24">
        <f>G42*D42</f>
        <v>77</v>
      </c>
      <c r="I42" s="643">
        <f>((F42/H42)*100)-100</f>
        <v>0</v>
      </c>
      <c r="J42" s="38">
        <f>J38*D42</f>
        <v>3650</v>
      </c>
    </row>
    <row r="43" spans="2:12" x14ac:dyDescent="0.25">
      <c r="B43" s="1256"/>
      <c r="C43" s="1256" t="s">
        <v>37</v>
      </c>
      <c r="D43" s="1318"/>
      <c r="E43" s="1257"/>
      <c r="F43" s="1257">
        <f>SUM(F39:F42)</f>
        <v>608.30899999999997</v>
      </c>
      <c r="G43" s="1257"/>
      <c r="H43" s="1257">
        <f>SUM(H39:H42)</f>
        <v>657.31700000000001</v>
      </c>
      <c r="I43" s="802">
        <f>((F43/H43)*100)-100</f>
        <v>-7.4557633531462102</v>
      </c>
    </row>
    <row r="44" spans="2:12" x14ac:dyDescent="0.25">
      <c r="H44" s="1" t="str">
        <f>+'CIF Y PV'!$G$1</f>
        <v>MAYO</v>
      </c>
      <c r="J44" s="107"/>
    </row>
    <row r="45" spans="2:12" x14ac:dyDescent="0.25">
      <c r="B45" s="1750" t="s">
        <v>194</v>
      </c>
      <c r="C45" s="1750"/>
      <c r="E45" s="881"/>
      <c r="F45" s="881"/>
      <c r="G45" s="881"/>
      <c r="H45" s="1269">
        <f>+F43+G24</f>
        <v>2974.6883241175447</v>
      </c>
      <c r="I45" s="28"/>
      <c r="J45" s="881"/>
      <c r="K45" s="28"/>
    </row>
    <row r="46" spans="2:12" x14ac:dyDescent="0.25">
      <c r="B46" s="1758" t="s">
        <v>48</v>
      </c>
      <c r="C46" s="1759"/>
      <c r="E46" s="881"/>
      <c r="F46" s="881"/>
      <c r="G46" s="881"/>
      <c r="H46" s="1269">
        <f>+('CIF Y PV'!C3/1000)*500</f>
        <v>945</v>
      </c>
      <c r="J46" s="881"/>
    </row>
    <row r="47" spans="2:12" x14ac:dyDescent="0.25">
      <c r="B47" s="1758" t="s">
        <v>195</v>
      </c>
      <c r="C47" s="1759"/>
      <c r="E47" s="881"/>
      <c r="F47" s="881"/>
      <c r="G47" s="881"/>
      <c r="H47" s="1269">
        <f>+H46+H45</f>
        <v>3919.6883241175447</v>
      </c>
      <c r="I47" s="140"/>
      <c r="J47" s="881"/>
      <c r="K47" s="140"/>
    </row>
    <row r="48" spans="2:12" x14ac:dyDescent="0.25">
      <c r="B48" s="1750" t="s">
        <v>49</v>
      </c>
      <c r="C48" s="1750"/>
      <c r="E48" s="881"/>
      <c r="F48" s="881"/>
      <c r="G48" s="881"/>
      <c r="H48" s="1320">
        <f>'CIF Y PV'!C69</f>
        <v>8175.0000000000009</v>
      </c>
      <c r="J48" s="931"/>
      <c r="K48" s="339"/>
    </row>
    <row r="49" spans="2:11" ht="14.45" customHeight="1" x14ac:dyDescent="0.25">
      <c r="B49" s="1750" t="s">
        <v>805</v>
      </c>
      <c r="C49" s="1750"/>
      <c r="E49" s="881"/>
      <c r="F49" s="881"/>
      <c r="G49" s="881"/>
      <c r="H49" s="1229">
        <f>+(H48-H47)/H48</f>
        <v>0.52052742212629433</v>
      </c>
      <c r="I49" s="932"/>
      <c r="J49" s="384"/>
      <c r="K49" s="932"/>
    </row>
    <row r="50" spans="2:11" x14ac:dyDescent="0.25">
      <c r="H50" s="384"/>
      <c r="I50" s="188"/>
      <c r="J50" s="933"/>
      <c r="K50" s="188"/>
    </row>
  </sheetData>
  <mergeCells count="9">
    <mergeCell ref="B47:C47"/>
    <mergeCell ref="B48:C48"/>
    <mergeCell ref="B49:C49"/>
    <mergeCell ref="B2:J2"/>
    <mergeCell ref="B24:C24"/>
    <mergeCell ref="B26:C26"/>
    <mergeCell ref="B37:I37"/>
    <mergeCell ref="B45:C45"/>
    <mergeCell ref="B46:C46"/>
  </mergeCells>
  <pageMargins left="0.7" right="0.7" top="0.75" bottom="0.75" header="0.3" footer="0.3"/>
  <pageSetup scale="3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C73B-3E04-45BF-B20E-E0BE345E97FF}">
  <sheetPr codeName="Hoja23"/>
  <dimension ref="B2:K51"/>
  <sheetViews>
    <sheetView view="pageBreakPreview" topLeftCell="A34" zoomScale="90" zoomScaleNormal="85" zoomScaleSheetLayoutView="90" workbookViewId="0">
      <selection activeCell="C20" sqref="C20"/>
    </sheetView>
  </sheetViews>
  <sheetFormatPr baseColWidth="10" defaultColWidth="11.5703125" defaultRowHeight="17.25" customHeight="1" x14ac:dyDescent="0.25"/>
  <cols>
    <col min="1" max="1" width="12.28515625" style="1" customWidth="1"/>
    <col min="2" max="2" width="11.5703125" style="1"/>
    <col min="3" max="3" width="58.85546875" style="1" customWidth="1"/>
    <col min="4" max="4" width="11.5703125" style="100"/>
    <col min="5" max="5" width="11.5703125" style="1"/>
    <col min="6" max="6" width="12.5703125" style="1" bestFit="1" customWidth="1"/>
    <col min="7" max="7" width="15" style="1" customWidth="1"/>
    <col min="8" max="8" width="12.5703125" style="1" bestFit="1" customWidth="1"/>
    <col min="9" max="9" width="14.42578125" style="1" bestFit="1" customWidth="1"/>
    <col min="10" max="10" width="13.28515625" style="1" bestFit="1" customWidth="1"/>
    <col min="11" max="11" width="12.28515625" style="1" bestFit="1" customWidth="1"/>
    <col min="12" max="16384" width="11.5703125" style="1"/>
  </cols>
  <sheetData>
    <row r="2" spans="2:11" ht="29.25" customHeight="1" x14ac:dyDescent="0.35">
      <c r="B2" s="1751" t="s">
        <v>166</v>
      </c>
      <c r="C2" s="1751"/>
      <c r="D2" s="1751"/>
      <c r="E2" s="1751"/>
      <c r="F2" s="1751"/>
      <c r="G2" s="1751"/>
      <c r="H2" s="1751"/>
      <c r="I2" s="1751"/>
      <c r="J2" s="1751"/>
    </row>
    <row r="4" spans="2:11" s="148" customFormat="1" ht="24" customHeight="1" x14ac:dyDescent="0.25">
      <c r="B4" s="1321" t="s">
        <v>0</v>
      </c>
      <c r="C4" s="1321" t="s">
        <v>1</v>
      </c>
      <c r="D4" s="1322" t="s">
        <v>2</v>
      </c>
      <c r="E4" s="132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323">
        <v>2.85</v>
      </c>
    </row>
    <row r="5" spans="2:11" ht="17.25" customHeight="1" x14ac:dyDescent="0.25">
      <c r="B5" s="6">
        <f>VLOOKUP(C5,[1]Hoja1!$B$2:$C$260,2,FALSE)</f>
        <v>1112001</v>
      </c>
      <c r="C5" s="6" t="s">
        <v>797</v>
      </c>
      <c r="D5" s="7">
        <v>1.3547632411597286</v>
      </c>
      <c r="E5" s="32">
        <v>47.535552321393979</v>
      </c>
      <c r="F5" s="896">
        <f>VLOOKUP(B5,[2]Hoja1!$C$2:$E$279,3,FALSE)</f>
        <v>3663.96</v>
      </c>
      <c r="G5" s="8">
        <f>F5*D5</f>
        <v>4963.7983250795987</v>
      </c>
      <c r="H5" s="896">
        <v>4222.72</v>
      </c>
      <c r="I5" s="96">
        <f>H5*D5</f>
        <v>5720.7858337100097</v>
      </c>
      <c r="J5" s="39">
        <f>((F5/H5)*100)-100</f>
        <v>-13.232229463473786</v>
      </c>
      <c r="K5" s="153">
        <f>$K$4*E5%</f>
        <v>1.3547632411597286</v>
      </c>
    </row>
    <row r="6" spans="2:11" ht="17.25" customHeight="1" x14ac:dyDescent="0.25">
      <c r="B6" s="6">
        <f>VLOOKUP(C6,[1]Hoja1!$B$2:$C$260,2,FALSE)</f>
        <v>2906001</v>
      </c>
      <c r="C6" s="6" t="s">
        <v>831</v>
      </c>
      <c r="D6" s="7">
        <v>0.24065804701896953</v>
      </c>
      <c r="E6" s="32">
        <v>8.4441420006655967</v>
      </c>
      <c r="F6" s="896">
        <f>VLOOKUP(B6,[2]Hoja1!$C$2:$E$279,3,FALSE)</f>
        <v>1956.71</v>
      </c>
      <c r="G6" s="8">
        <f t="shared" ref="G6:G23" si="0">F6*D6</f>
        <v>470.8980071824879</v>
      </c>
      <c r="H6" s="896">
        <v>2033.73</v>
      </c>
      <c r="I6" s="96">
        <f t="shared" ref="I6:I23" si="1">H6*D6</f>
        <v>489.43348996388892</v>
      </c>
      <c r="J6" s="39">
        <f t="shared" ref="J6:J23" si="2">((F6/H6)*100)-100</f>
        <v>-3.7871300516784459</v>
      </c>
      <c r="K6" s="153">
        <f t="shared" ref="K6:K23" si="3">$K$4*E6%</f>
        <v>0.24065804701896953</v>
      </c>
    </row>
    <row r="7" spans="2:11" ht="17.25" customHeight="1" x14ac:dyDescent="0.25">
      <c r="B7" s="6">
        <f>VLOOKUP(C7,[1]Hoja1!$B$2:$C$260,2,FALSE)</f>
        <v>1131002</v>
      </c>
      <c r="C7" s="6" t="s">
        <v>663</v>
      </c>
      <c r="D7" s="7">
        <v>0.69759689652945767</v>
      </c>
      <c r="E7" s="32">
        <v>24.4770840887529</v>
      </c>
      <c r="F7" s="896">
        <f>VLOOKUP(B7,[2]Hoja1!$C$2:$E$279,3,FALSE)</f>
        <v>0</v>
      </c>
      <c r="G7" s="8">
        <f t="shared" si="0"/>
        <v>0</v>
      </c>
      <c r="H7" s="879">
        <v>0</v>
      </c>
      <c r="I7" s="96">
        <f t="shared" si="1"/>
        <v>0</v>
      </c>
      <c r="J7" s="39" t="e">
        <f t="shared" si="2"/>
        <v>#DIV/0!</v>
      </c>
      <c r="K7" s="153">
        <f t="shared" si="3"/>
        <v>0.69759689652945767</v>
      </c>
    </row>
    <row r="8" spans="2:11" ht="17.25" customHeight="1" x14ac:dyDescent="0.25">
      <c r="B8" s="6">
        <f>VLOOKUP(C8,[1]Hoja1!$B$2:$C$260,2,FALSE)</f>
        <v>1250009</v>
      </c>
      <c r="C8" s="6" t="s">
        <v>1279</v>
      </c>
      <c r="D8" s="7">
        <v>1.6987626848397846E-3</v>
      </c>
      <c r="E8" s="32">
        <v>5.9605708239992443E-2</v>
      </c>
      <c r="F8" s="896">
        <f>VLOOKUP(B8,[2]Hoja1!$C$2:$E$279,3,FALSE)</f>
        <v>83551.55</v>
      </c>
      <c r="G8" s="8">
        <f t="shared" si="0"/>
        <v>141.9342554005255</v>
      </c>
      <c r="H8" s="388">
        <v>71910.02</v>
      </c>
      <c r="I8" s="96">
        <f t="shared" si="1"/>
        <v>122.15805864208262</v>
      </c>
      <c r="J8" s="39">
        <f>((F8/H8)*100)-100</f>
        <v>16.18902344902699</v>
      </c>
      <c r="K8" s="153">
        <f>$K$4*E8%</f>
        <v>1.6987626848397846E-3</v>
      </c>
    </row>
    <row r="9" spans="2:11" ht="17.25" customHeight="1" x14ac:dyDescent="0.25">
      <c r="B9" s="6">
        <f>VLOOKUP(C9,[1]Hoja1!$B$2:$C$260,2,FALSE)</f>
        <v>1250004</v>
      </c>
      <c r="C9" s="6" t="s">
        <v>969</v>
      </c>
      <c r="D9" s="7">
        <v>2.2650169131197134E-4</v>
      </c>
      <c r="E9" s="32">
        <v>7.947427765332327E-3</v>
      </c>
      <c r="F9" s="896">
        <f>VLOOKUP(B9,[2]Hoja1!$C$2:$E$279,3,FALSE)</f>
        <v>164481.95000000001</v>
      </c>
      <c r="G9" s="8">
        <f t="shared" si="0"/>
        <v>37.255439865291109</v>
      </c>
      <c r="H9" s="106">
        <v>156520.01999999999</v>
      </c>
      <c r="I9" s="96">
        <f t="shared" si="1"/>
        <v>35.452049254183578</v>
      </c>
      <c r="J9" s="39">
        <f t="shared" si="2"/>
        <v>5.0868444816196927</v>
      </c>
      <c r="K9" s="153">
        <f t="shared" si="3"/>
        <v>2.2650169131197134E-4</v>
      </c>
    </row>
    <row r="10" spans="2:11" ht="17.25" customHeight="1" x14ac:dyDescent="0.25">
      <c r="B10" s="6">
        <v>1210005</v>
      </c>
      <c r="C10" s="6" t="s">
        <v>1155</v>
      </c>
      <c r="D10" s="7">
        <v>2.9925000000000004E-2</v>
      </c>
      <c r="E10" s="32">
        <v>1.05</v>
      </c>
      <c r="F10" s="896">
        <f>VLOOKUP(B10,[2]Hoja1!$C$2:$E$279,3,FALSE)</f>
        <v>1356</v>
      </c>
      <c r="G10" s="8">
        <f t="shared" si="0"/>
        <v>40.578300000000006</v>
      </c>
      <c r="H10" s="672"/>
      <c r="I10" s="96"/>
      <c r="J10" s="39"/>
      <c r="K10" s="153">
        <f t="shared" si="3"/>
        <v>2.9925000000000004E-2</v>
      </c>
    </row>
    <row r="11" spans="2:11" ht="17.25" customHeight="1" x14ac:dyDescent="0.25">
      <c r="B11" s="6">
        <v>1210010</v>
      </c>
      <c r="C11" s="6" t="s">
        <v>1351</v>
      </c>
      <c r="D11" s="7">
        <v>1.9949999999999999E-2</v>
      </c>
      <c r="E11" s="32">
        <v>0.7</v>
      </c>
      <c r="F11" s="896">
        <f>VLOOKUP(B11,[2]Hoja1!$C$2:$E$279,3,FALSE)</f>
        <v>11600</v>
      </c>
      <c r="G11" s="8">
        <f t="shared" si="0"/>
        <v>231.42</v>
      </c>
      <c r="H11" s="914">
        <v>8910.1</v>
      </c>
      <c r="I11" s="96">
        <f t="shared" si="1"/>
        <v>177.756495</v>
      </c>
      <c r="J11" s="39">
        <f t="shared" si="2"/>
        <v>30.189335697691376</v>
      </c>
      <c r="K11" s="153">
        <f t="shared" si="3"/>
        <v>1.9949999999999999E-2</v>
      </c>
    </row>
    <row r="12" spans="2:11" ht="17.25" customHeight="1" x14ac:dyDescent="0.25">
      <c r="B12" s="6">
        <f>VLOOKUP(C12,[1]Hoja1!$B$2:$C$260,2,FALSE)</f>
        <v>1210004</v>
      </c>
      <c r="C12" s="6" t="s">
        <v>1131</v>
      </c>
      <c r="D12" s="7">
        <v>4.7423791618443996E-3</v>
      </c>
      <c r="E12" s="32">
        <v>0.16639926883664558</v>
      </c>
      <c r="F12" s="896">
        <f>VLOOKUP(B12,[2]Hoja1!$C$2:$E$279,3,FALSE)</f>
        <v>3841</v>
      </c>
      <c r="G12" s="8">
        <f t="shared" si="0"/>
        <v>18.21547836064434</v>
      </c>
      <c r="H12" s="914">
        <v>3508.01</v>
      </c>
      <c r="I12" s="96">
        <f t="shared" si="1"/>
        <v>16.636313523541773</v>
      </c>
      <c r="J12" s="39">
        <f t="shared" si="2"/>
        <v>9.4922762477871885</v>
      </c>
      <c r="K12" s="153">
        <f t="shared" si="3"/>
        <v>4.7423791618443996E-3</v>
      </c>
    </row>
    <row r="13" spans="2:11" ht="17.25" customHeight="1" x14ac:dyDescent="0.25">
      <c r="B13" s="6">
        <f>VLOOKUP(C13,[1]Hoja1!$B$2:$C$260,2,FALSE)</f>
        <v>121007</v>
      </c>
      <c r="C13" s="6" t="s">
        <v>821</v>
      </c>
      <c r="D13" s="7">
        <v>1.1325084565598567E-2</v>
      </c>
      <c r="E13" s="32">
        <v>0.39737138826661633</v>
      </c>
      <c r="F13" s="896">
        <f>VLOOKUP(B13,[2]Hoja1!$C$2:$E$279,3,FALSE)</f>
        <v>16905</v>
      </c>
      <c r="G13" s="8">
        <f t="shared" si="0"/>
        <v>191.45055458144378</v>
      </c>
      <c r="H13" s="880">
        <v>16100</v>
      </c>
      <c r="I13" s="96">
        <f t="shared" si="1"/>
        <v>182.33386150613694</v>
      </c>
      <c r="J13" s="39">
        <f t="shared" si="2"/>
        <v>5</v>
      </c>
      <c r="K13" s="153">
        <f t="shared" si="3"/>
        <v>1.1325084565598567E-2</v>
      </c>
    </row>
    <row r="14" spans="2:11" ht="17.25" customHeight="1" x14ac:dyDescent="0.25">
      <c r="B14" s="6">
        <f>VLOOKUP(C14,[1]Hoja1!$B$2:$C$260,2,FALSE)</f>
        <v>1240002</v>
      </c>
      <c r="C14" s="6" t="s">
        <v>1140</v>
      </c>
      <c r="D14" s="7">
        <v>1.4156355706998207E-2</v>
      </c>
      <c r="E14" s="32">
        <v>0.49671423533327042</v>
      </c>
      <c r="F14" s="896">
        <f>VLOOKUP(B14,[2]Hoja1!$C$2:$E$279,3,FALSE)</f>
        <v>66115.8</v>
      </c>
      <c r="G14" s="8">
        <f t="shared" si="0"/>
        <v>935.95878265275212</v>
      </c>
      <c r="H14" s="914">
        <v>70840.75</v>
      </c>
      <c r="I14" s="96">
        <f t="shared" si="1"/>
        <v>1002.8468555505333</v>
      </c>
      <c r="J14" s="39">
        <f t="shared" si="2"/>
        <v>-6.6698192777461998</v>
      </c>
      <c r="K14" s="153">
        <f t="shared" si="3"/>
        <v>1.4156355706998207E-2</v>
      </c>
    </row>
    <row r="15" spans="2:11" ht="17.25" customHeight="1" x14ac:dyDescent="0.25">
      <c r="B15" s="6">
        <f>VLOOKUP(C15,[1]Hoja1!$B$2:$C$260,2,FALSE)</f>
        <v>1220015</v>
      </c>
      <c r="C15" s="6" t="s">
        <v>1036</v>
      </c>
      <c r="D15" s="7">
        <v>1.9111080204447583E-2</v>
      </c>
      <c r="E15" s="32">
        <v>0.67056421769991514</v>
      </c>
      <c r="F15" s="896">
        <f>VLOOKUP(B15,[2]Hoja1!$C$2:$E$279,3,FALSE)</f>
        <v>30702.27</v>
      </c>
      <c r="G15" s="8">
        <f t="shared" si="0"/>
        <v>586.75354442860487</v>
      </c>
      <c r="H15" s="25">
        <v>29189.39</v>
      </c>
      <c r="I15" s="96">
        <f t="shared" si="1"/>
        <v>557.84077340890019</v>
      </c>
      <c r="J15" s="39">
        <f t="shared" si="2"/>
        <v>5.1829791578378348</v>
      </c>
      <c r="K15" s="153">
        <f t="shared" si="3"/>
        <v>1.9111080204447583E-2</v>
      </c>
    </row>
    <row r="16" spans="2:11" ht="17.25" customHeight="1" x14ac:dyDescent="0.25">
      <c r="B16" s="6">
        <f>VLOOKUP(C16,[1]Hoja1!$B$2:$C$260,2,FALSE)</f>
        <v>1220014</v>
      </c>
      <c r="C16" s="6" t="s">
        <v>1146</v>
      </c>
      <c r="D16" s="7">
        <v>1.557199127769803E-2</v>
      </c>
      <c r="E16" s="32">
        <v>0.54638565886659751</v>
      </c>
      <c r="F16" s="896">
        <f>VLOOKUP(B16,[2]Hoja1!$C$2:$E$279,3,FALSE)</f>
        <v>14060</v>
      </c>
      <c r="G16" s="8">
        <f t="shared" si="0"/>
        <v>218.94219736443429</v>
      </c>
      <c r="H16" s="914">
        <v>13300.01</v>
      </c>
      <c r="I16" s="96">
        <f t="shared" si="1"/>
        <v>207.10763971329658</v>
      </c>
      <c r="J16" s="39">
        <f t="shared" si="2"/>
        <v>5.7142062299201086</v>
      </c>
      <c r="K16" s="153">
        <f t="shared" si="3"/>
        <v>1.557199127769803E-2</v>
      </c>
    </row>
    <row r="17" spans="2:11" ht="17.25" customHeight="1" x14ac:dyDescent="0.25">
      <c r="B17" s="6">
        <f>VLOOKUP(C17,[1]Hoja1!$B$2:$C$260,2,FALSE)</f>
        <v>1210003</v>
      </c>
      <c r="C17" s="6" t="s">
        <v>1143</v>
      </c>
      <c r="D17" s="7">
        <v>1.4156355706998209E-3</v>
      </c>
      <c r="E17" s="32">
        <v>4.9671423533327042E-2</v>
      </c>
      <c r="F17" s="896">
        <f>VLOOKUP(B17,[2]Hoja1!$C$2:$E$279,3,FALSE)</f>
        <v>16235.45</v>
      </c>
      <c r="G17" s="8">
        <f t="shared" si="0"/>
        <v>22.983480526318409</v>
      </c>
      <c r="H17" s="914">
        <v>12852.58</v>
      </c>
      <c r="I17" s="96">
        <f t="shared" si="1"/>
        <v>18.194569423265104</v>
      </c>
      <c r="J17" s="39">
        <f t="shared" si="2"/>
        <v>26.320551982559152</v>
      </c>
      <c r="K17" s="153">
        <f t="shared" si="3"/>
        <v>1.4156355706998209E-3</v>
      </c>
    </row>
    <row r="18" spans="2:11" ht="17.25" customHeight="1" x14ac:dyDescent="0.25">
      <c r="B18" s="6">
        <v>1260024</v>
      </c>
      <c r="C18" s="6" t="s">
        <v>1290</v>
      </c>
      <c r="D18" s="7">
        <v>2.8312711413996414E-2</v>
      </c>
      <c r="E18" s="32">
        <v>0.99342847066654083</v>
      </c>
      <c r="F18" s="896">
        <f>VLOOKUP(B18,[2]Hoja1!$C$2:$E$279,3,FALSE)</f>
        <v>12625.84</v>
      </c>
      <c r="G18" s="8">
        <f t="shared" si="0"/>
        <v>357.47176427929247</v>
      </c>
      <c r="H18" s="32">
        <v>18900</v>
      </c>
      <c r="I18" s="96">
        <f t="shared" si="1"/>
        <v>535.11024572453221</v>
      </c>
      <c r="J18" s="39">
        <f t="shared" si="2"/>
        <v>-33.196613756613758</v>
      </c>
      <c r="K18" s="153">
        <f t="shared" si="3"/>
        <v>2.8312711413996414E-2</v>
      </c>
    </row>
    <row r="19" spans="2:11" ht="17.25" customHeight="1" x14ac:dyDescent="0.25">
      <c r="B19" s="6">
        <f>VLOOKUP(C19,[1]Hoja1!$B$2:$C$260,2,FALSE)</f>
        <v>1260005</v>
      </c>
      <c r="C19" s="6" t="s">
        <v>811</v>
      </c>
      <c r="D19" s="7">
        <v>2.8312711413996414E-2</v>
      </c>
      <c r="E19" s="32">
        <v>0.99342847066654083</v>
      </c>
      <c r="F19" s="896">
        <f>VLOOKUP(B19,[2]Hoja1!$C$2:$E$279,3,FALSE)</f>
        <v>26429</v>
      </c>
      <c r="G19" s="8">
        <f t="shared" si="0"/>
        <v>748.27664996051124</v>
      </c>
      <c r="H19" s="914">
        <v>25850</v>
      </c>
      <c r="I19" s="96">
        <f t="shared" si="1"/>
        <v>731.88359005180735</v>
      </c>
      <c r="J19" s="39">
        <f t="shared" si="2"/>
        <v>2.2398452611218715</v>
      </c>
      <c r="K19" s="153">
        <f t="shared" si="3"/>
        <v>2.8312711413996414E-2</v>
      </c>
    </row>
    <row r="20" spans="2:11" ht="17.25" customHeight="1" x14ac:dyDescent="0.25">
      <c r="B20" s="6">
        <f>VLOOKUP(C20,[1]Hoja1!$B$2:$C$260,2,FALSE)</f>
        <v>1260010</v>
      </c>
      <c r="C20" s="6" t="s">
        <v>1043</v>
      </c>
      <c r="D20" s="7">
        <v>0.14156355706998208</v>
      </c>
      <c r="E20" s="32">
        <v>4.9671423533327044</v>
      </c>
      <c r="F20" s="896">
        <f>VLOOKUP(B20,[2]Hoja1!$C$2:$E$279,3,FALSE)</f>
        <v>6959.71</v>
      </c>
      <c r="G20" s="8">
        <f>F20*D20</f>
        <v>985.24130377552501</v>
      </c>
      <c r="H20" s="880">
        <v>9565.2099999999991</v>
      </c>
      <c r="I20" s="96">
        <f t="shared" si="1"/>
        <v>1354.0851517213632</v>
      </c>
      <c r="J20" s="39">
        <f t="shared" si="2"/>
        <v>-27.239339230398485</v>
      </c>
      <c r="K20" s="153">
        <f t="shared" si="3"/>
        <v>0.14156355706998208</v>
      </c>
    </row>
    <row r="21" spans="2:11" ht="17.25" customHeight="1" x14ac:dyDescent="0.25">
      <c r="B21" s="6">
        <f>VLOOKUP(C21,[1]Hoja1!$B$2:$C$260,2,FALSE)</f>
        <v>1260017</v>
      </c>
      <c r="C21" s="6" t="s">
        <v>832</v>
      </c>
      <c r="D21" s="7">
        <v>0.14156355706998208</v>
      </c>
      <c r="E21" s="32">
        <v>4.9671423533327044</v>
      </c>
      <c r="F21" s="896">
        <f>VLOOKUP(B21,[2]Hoja1!$C$2:$E$279,3,FALSE)</f>
        <v>4500</v>
      </c>
      <c r="G21" s="8">
        <f t="shared" si="0"/>
        <v>637.03600681491935</v>
      </c>
      <c r="H21" s="896">
        <v>4500</v>
      </c>
      <c r="I21" s="96">
        <f t="shared" si="1"/>
        <v>637.03600681491935</v>
      </c>
      <c r="J21" s="39">
        <f t="shared" si="2"/>
        <v>0</v>
      </c>
      <c r="K21" s="153">
        <f t="shared" si="3"/>
        <v>0.14156355706998208</v>
      </c>
    </row>
    <row r="22" spans="2:11" ht="17.25" customHeight="1" x14ac:dyDescent="0.25">
      <c r="B22" s="6">
        <f>VLOOKUP(C22,[1]Hoja1!$B$2:$C$260,2,FALSE)</f>
        <v>1260012</v>
      </c>
      <c r="C22" s="6" t="s">
        <v>1148</v>
      </c>
      <c r="D22" s="7">
        <v>9.2299439209628294E-3</v>
      </c>
      <c r="E22" s="32">
        <v>0.32385768143729227</v>
      </c>
      <c r="F22" s="896">
        <f>VLOOKUP(B22,[2]Hoja1!$C$2:$E$279,3,FALSE)</f>
        <v>46081</v>
      </c>
      <c r="G22" s="8">
        <f t="shared" si="0"/>
        <v>425.32504582188812</v>
      </c>
      <c r="H22" s="106">
        <v>46081</v>
      </c>
      <c r="I22" s="96">
        <f t="shared" si="1"/>
        <v>425.32504582188812</v>
      </c>
      <c r="J22" s="39">
        <f t="shared" si="2"/>
        <v>0</v>
      </c>
      <c r="K22" s="153">
        <f t="shared" si="3"/>
        <v>9.2299439209628294E-3</v>
      </c>
    </row>
    <row r="23" spans="2:11" ht="17.25" customHeight="1" x14ac:dyDescent="0.25">
      <c r="B23" s="6">
        <f>VLOOKUP(C23,[1]Hoja1!$B$2:$C$260,2,FALSE)</f>
        <v>1121009</v>
      </c>
      <c r="C23" s="6" t="s">
        <v>1272</v>
      </c>
      <c r="D23" s="7">
        <v>9.2327751921042311E-2</v>
      </c>
      <c r="E23" s="922">
        <v>3.2395702428435897</v>
      </c>
      <c r="F23" s="896">
        <f>VLOOKUP(B23,[2]Hoja1!$C$2:$E$279,3,FALSE)</f>
        <v>8741.6200000000008</v>
      </c>
      <c r="G23" s="8">
        <f t="shared" si="0"/>
        <v>807.09412274802196</v>
      </c>
      <c r="H23" s="95">
        <v>8754.2800000000007</v>
      </c>
      <c r="I23" s="96">
        <f t="shared" si="1"/>
        <v>808.26299208734235</v>
      </c>
      <c r="J23" s="39">
        <f t="shared" si="2"/>
        <v>-0.14461497690273006</v>
      </c>
      <c r="K23" s="153">
        <f t="shared" si="3"/>
        <v>9.2327751921042311E-2</v>
      </c>
    </row>
    <row r="24" spans="2:11" s="38" customFormat="1" ht="17.25" customHeight="1" x14ac:dyDescent="0.25">
      <c r="B24" s="1763" t="s">
        <v>37</v>
      </c>
      <c r="C24" s="1763"/>
      <c r="D24" s="1273">
        <f>SUM(D5:D23)</f>
        <v>2.8524512083815572</v>
      </c>
      <c r="E24" s="1274">
        <f>SUM(E5:E23)</f>
        <v>100.08600731163355</v>
      </c>
      <c r="F24" s="1274"/>
      <c r="G24" s="1316">
        <f>SUM(G5:G23)</f>
        <v>11820.633258842257</v>
      </c>
      <c r="H24" s="1316"/>
      <c r="I24" s="1316">
        <f>SUM(I5:I23)</f>
        <v>13022.248971917692</v>
      </c>
      <c r="J24" s="1317">
        <f>((G24/I24)*100)-100</f>
        <v>-9.227405463270614</v>
      </c>
      <c r="K24" s="1250"/>
    </row>
    <row r="26" spans="2:11" ht="24" customHeight="1" x14ac:dyDescent="0.35">
      <c r="B26" s="1760" t="s">
        <v>50</v>
      </c>
      <c r="C26" s="1754"/>
      <c r="D26" s="38">
        <f>+C29+(C29*C35%)</f>
        <v>2850</v>
      </c>
      <c r="E26" s="97"/>
      <c r="F26" s="97"/>
      <c r="G26" s="97"/>
      <c r="H26" s="97"/>
      <c r="I26" s="97"/>
      <c r="J26" s="97"/>
    </row>
    <row r="27" spans="2:11" ht="17.25" customHeight="1" x14ac:dyDescent="0.25">
      <c r="B27" s="1264" t="s">
        <v>38</v>
      </c>
      <c r="C27" s="93" t="s">
        <v>167</v>
      </c>
      <c r="H27" s="38"/>
    </row>
    <row r="28" spans="2:11" ht="17.25" customHeight="1" x14ac:dyDescent="0.25">
      <c r="B28" s="1265" t="s">
        <v>39</v>
      </c>
      <c r="C28" s="21" t="s">
        <v>310</v>
      </c>
      <c r="H28" s="38"/>
    </row>
    <row r="29" spans="2:11" ht="17.25" customHeight="1" x14ac:dyDescent="0.25">
      <c r="B29" s="1265" t="s">
        <v>40</v>
      </c>
      <c r="C29" s="21">
        <v>2500</v>
      </c>
      <c r="H29" s="38"/>
    </row>
    <row r="30" spans="2:11" ht="17.25" customHeight="1" x14ac:dyDescent="0.25">
      <c r="B30" s="1265" t="s">
        <v>41</v>
      </c>
      <c r="C30" s="21">
        <v>0</v>
      </c>
      <c r="H30" s="38"/>
    </row>
    <row r="31" spans="2:11" ht="17.25" customHeight="1" x14ac:dyDescent="0.25">
      <c r="B31" s="1265" t="s">
        <v>42</v>
      </c>
      <c r="C31" s="21">
        <v>9</v>
      </c>
      <c r="H31" s="38"/>
    </row>
    <row r="32" spans="2:11" ht="17.25" customHeight="1" x14ac:dyDescent="0.25">
      <c r="B32" s="1265" t="s">
        <v>43</v>
      </c>
      <c r="C32" s="21">
        <v>2</v>
      </c>
      <c r="H32" s="38"/>
    </row>
    <row r="33" spans="2:11" ht="17.25" customHeight="1" x14ac:dyDescent="0.25">
      <c r="B33" s="1265" t="s">
        <v>44</v>
      </c>
      <c r="C33" s="21">
        <v>1</v>
      </c>
      <c r="H33" s="38"/>
    </row>
    <row r="34" spans="2:11" ht="17.25" customHeight="1" x14ac:dyDescent="0.25">
      <c r="B34" s="1265" t="s">
        <v>45</v>
      </c>
      <c r="C34" s="21">
        <v>2</v>
      </c>
      <c r="H34" s="38"/>
    </row>
    <row r="35" spans="2:11" ht="17.25" customHeight="1" x14ac:dyDescent="0.25">
      <c r="B35" s="1265" t="s">
        <v>46</v>
      </c>
      <c r="C35" s="21">
        <f>C34+C33+C32+C31</f>
        <v>14</v>
      </c>
      <c r="H35" s="38"/>
    </row>
    <row r="36" spans="2:11" ht="17.25" customHeight="1" x14ac:dyDescent="0.25">
      <c r="E36" s="728">
        <f>0.21*50</f>
        <v>10.5</v>
      </c>
      <c r="F36" s="728"/>
      <c r="H36" s="97"/>
      <c r="I36" s="97"/>
    </row>
    <row r="37" spans="2:11" ht="27" customHeight="1" x14ac:dyDescent="0.35">
      <c r="B37" s="1776" t="s">
        <v>47</v>
      </c>
      <c r="C37" s="1776"/>
      <c r="D37" s="1776"/>
      <c r="E37" s="1776"/>
      <c r="F37" s="1776"/>
      <c r="G37" s="1776"/>
      <c r="H37" s="1776"/>
      <c r="I37" s="1776"/>
    </row>
    <row r="38" spans="2:11" s="148" customFormat="1" ht="25.5" customHeight="1" x14ac:dyDescent="0.25">
      <c r="B38" s="1324" t="s">
        <v>0</v>
      </c>
      <c r="C38" s="1324" t="s">
        <v>1</v>
      </c>
      <c r="D38" s="1325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326" t="s">
        <v>3</v>
      </c>
      <c r="J38" s="729">
        <v>8363</v>
      </c>
    </row>
    <row r="39" spans="2:11" ht="17.25" customHeight="1" x14ac:dyDescent="0.25">
      <c r="B39" s="4">
        <f>VLOOKUP(C39,[1]Hoja1!$B$2:$C$260,2,FALSE)</f>
        <v>1370031</v>
      </c>
      <c r="C39" s="1168" t="s">
        <v>1201</v>
      </c>
      <c r="D39" s="103">
        <v>10.5</v>
      </c>
      <c r="E39" s="24">
        <f>VLOOKUP(B39,[2]Hoja1!$C$2:$E$279,3,FALSE)</f>
        <v>136.56</v>
      </c>
      <c r="F39" s="24">
        <f>E39*D39</f>
        <v>1433.88</v>
      </c>
      <c r="G39" s="24">
        <v>153.32</v>
      </c>
      <c r="H39" s="24">
        <f>G39*D39</f>
        <v>1609.86</v>
      </c>
      <c r="I39" s="643">
        <f>((E39/G39)*100)-100</f>
        <v>-10.93138533785546</v>
      </c>
      <c r="J39" s="38">
        <f>J38*D39</f>
        <v>87811.5</v>
      </c>
      <c r="K39" s="728"/>
    </row>
    <row r="40" spans="2:11" ht="17.25" customHeight="1" x14ac:dyDescent="0.25">
      <c r="B40" s="4">
        <v>1330027</v>
      </c>
      <c r="C40" s="1168" t="s">
        <v>1288</v>
      </c>
      <c r="D40" s="103">
        <v>1</v>
      </c>
      <c r="E40" s="24">
        <f>VLOOKUP(B40,[2]Hoja1!$C$2:$E$279,3,FALSE)</f>
        <v>331.33</v>
      </c>
      <c r="F40" s="24">
        <f>E40*D40</f>
        <v>331.33</v>
      </c>
      <c r="G40" s="24">
        <v>888.9</v>
      </c>
      <c r="H40" s="24">
        <f>G40*D40</f>
        <v>888.9</v>
      </c>
      <c r="I40" s="643">
        <f>((E40/G40)*100)-100</f>
        <v>-62.725840926988411</v>
      </c>
      <c r="J40" s="38">
        <f>J38*D40</f>
        <v>8363</v>
      </c>
      <c r="K40" s="153"/>
    </row>
    <row r="41" spans="2:11" ht="17.25" customHeight="1" x14ac:dyDescent="0.25">
      <c r="B41" s="4">
        <v>1310018</v>
      </c>
      <c r="C41" s="1168" t="s">
        <v>890</v>
      </c>
      <c r="D41" s="103">
        <v>0.3</v>
      </c>
      <c r="E41" s="24">
        <f>VLOOKUP(B41,[2]Hoja1!$C$2:$E$279,3,FALSE)</f>
        <v>478.26</v>
      </c>
      <c r="F41" s="24">
        <f>E41*D41</f>
        <v>143.47799999999998</v>
      </c>
      <c r="G41" s="24"/>
      <c r="H41" s="24"/>
      <c r="I41" s="643"/>
      <c r="J41" s="38"/>
      <c r="K41" s="153"/>
    </row>
    <row r="42" spans="2:11" ht="17.25" customHeight="1" x14ac:dyDescent="0.25">
      <c r="B42" s="4">
        <f>VLOOKUP(C42,[1]Hoja1!$B$2:$C$260,2,FALSE)</f>
        <v>1320004</v>
      </c>
      <c r="C42" s="1168" t="s">
        <v>1141</v>
      </c>
      <c r="D42" s="103">
        <v>0.3</v>
      </c>
      <c r="E42" s="24">
        <f>VLOOKUP(B42,[2]Hoja1!$C$2:$E$279,3,FALSE)</f>
        <v>1481.51</v>
      </c>
      <c r="F42" s="24">
        <f>E42*D42</f>
        <v>444.45299999999997</v>
      </c>
      <c r="G42" s="24">
        <v>1577.09</v>
      </c>
      <c r="H42" s="24">
        <f>G42*D42</f>
        <v>473.12699999999995</v>
      </c>
      <c r="I42" s="643">
        <f>((E42/G42)*100)-100</f>
        <v>-6.0605292025185662</v>
      </c>
      <c r="J42" s="38">
        <f>J38*D42</f>
        <v>2508.9</v>
      </c>
      <c r="K42" s="153"/>
    </row>
    <row r="43" spans="2:11" ht="17.25" customHeight="1" x14ac:dyDescent="0.25">
      <c r="B43" s="1256"/>
      <c r="C43" s="1256" t="s">
        <v>37</v>
      </c>
      <c r="D43" s="1318"/>
      <c r="E43" s="1257"/>
      <c r="F43" s="1257">
        <f>SUM(F39:F42)</f>
        <v>2353.1410000000001</v>
      </c>
      <c r="G43" s="1257"/>
      <c r="H43" s="1257">
        <f>SUM(H39:H42)</f>
        <v>2971.8869999999997</v>
      </c>
      <c r="I43" s="1268">
        <f>((F43/H43)*100)-100</f>
        <v>-20.819970611264822</v>
      </c>
    </row>
    <row r="44" spans="2:11" ht="17.25" customHeight="1" x14ac:dyDescent="0.25">
      <c r="H44" s="1" t="str">
        <f>+'CIF Y PV'!$G$1</f>
        <v>MAYO</v>
      </c>
      <c r="J44" s="38"/>
    </row>
    <row r="45" spans="2:11" ht="17.25" customHeight="1" x14ac:dyDescent="0.25">
      <c r="B45" s="1750" t="s">
        <v>173</v>
      </c>
      <c r="C45" s="1750"/>
      <c r="E45" s="881"/>
      <c r="F45" s="881"/>
      <c r="G45" s="881"/>
      <c r="H45" s="881">
        <f>+F43+G24</f>
        <v>14173.774258842257</v>
      </c>
      <c r="I45" s="28"/>
      <c r="J45" s="881"/>
      <c r="K45" s="28"/>
    </row>
    <row r="46" spans="2:11" ht="17.25" customHeight="1" x14ac:dyDescent="0.25">
      <c r="B46" s="1758" t="s">
        <v>48</v>
      </c>
      <c r="C46" s="1759"/>
      <c r="E46" s="881"/>
      <c r="F46" s="881"/>
      <c r="G46" s="881"/>
      <c r="H46" s="881">
        <f>+('CIF Y PV'!C3/1000)*2500</f>
        <v>4725</v>
      </c>
      <c r="J46" s="881"/>
    </row>
    <row r="47" spans="2:11" ht="17.25" customHeight="1" x14ac:dyDescent="0.25">
      <c r="B47" s="1758" t="s">
        <v>115</v>
      </c>
      <c r="C47" s="1759"/>
      <c r="E47" s="881"/>
      <c r="F47" s="881"/>
      <c r="G47" s="881"/>
      <c r="H47" s="881">
        <f>+H46+H45</f>
        <v>18898.774258842255</v>
      </c>
      <c r="I47" s="152"/>
      <c r="J47" s="881"/>
      <c r="K47" s="152"/>
    </row>
    <row r="48" spans="2:11" ht="17.25" customHeight="1" x14ac:dyDescent="0.25">
      <c r="B48" s="1750" t="s">
        <v>49</v>
      </c>
      <c r="C48" s="1750"/>
      <c r="E48" s="881"/>
      <c r="F48" s="881"/>
      <c r="G48" s="881"/>
      <c r="H48" s="881">
        <f>'CIF Y PV'!C53</f>
        <v>35476.920000000006</v>
      </c>
      <c r="J48" s="929"/>
      <c r="K48" s="339"/>
    </row>
    <row r="49" spans="2:11" ht="17.25" customHeight="1" x14ac:dyDescent="0.25">
      <c r="B49" s="1750" t="s">
        <v>805</v>
      </c>
      <c r="C49" s="1750"/>
      <c r="E49" s="881"/>
      <c r="F49" s="881"/>
      <c r="G49" s="881"/>
      <c r="H49" s="339">
        <f>+(H48-H47)/H48</f>
        <v>0.46729382768170824</v>
      </c>
      <c r="I49" s="137"/>
      <c r="J49" s="38"/>
      <c r="K49" s="137"/>
    </row>
    <row r="50" spans="2:11" ht="17.25" customHeight="1" x14ac:dyDescent="0.25">
      <c r="H50" s="38"/>
    </row>
    <row r="51" spans="2:11" ht="17.25" customHeight="1" x14ac:dyDescent="0.25">
      <c r="H51" s="38"/>
    </row>
  </sheetData>
  <autoFilter ref="A4:K23" xr:uid="{7561C73B-3E04-45BF-B20E-E0BE345E97FF}"/>
  <mergeCells count="9">
    <mergeCell ref="B49:C49"/>
    <mergeCell ref="B46:C46"/>
    <mergeCell ref="B47:C47"/>
    <mergeCell ref="B48:C48"/>
    <mergeCell ref="B2:J2"/>
    <mergeCell ref="B24:C24"/>
    <mergeCell ref="B26:C26"/>
    <mergeCell ref="B45:C45"/>
    <mergeCell ref="B37:I37"/>
  </mergeCells>
  <pageMargins left="0.7" right="0.7" top="0.75" bottom="0.75" header="0.3" footer="0.3"/>
  <pageSetup scale="41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824A-21DC-4151-BDF3-CA38717E5B55}">
  <sheetPr codeName="Hoja7"/>
  <dimension ref="B2:K51"/>
  <sheetViews>
    <sheetView view="pageBreakPreview" topLeftCell="A39" zoomScale="90" zoomScaleNormal="85" zoomScaleSheetLayoutView="90" workbookViewId="0">
      <selection activeCell="C20" sqref="C20"/>
    </sheetView>
  </sheetViews>
  <sheetFormatPr baseColWidth="10" defaultColWidth="11.5703125" defaultRowHeight="17.25" customHeight="1" x14ac:dyDescent="0.25"/>
  <cols>
    <col min="1" max="1" width="12.28515625" style="1" customWidth="1"/>
    <col min="2" max="2" width="11.5703125" style="1"/>
    <col min="3" max="3" width="58.85546875" style="1" customWidth="1"/>
    <col min="4" max="4" width="11.5703125" style="100"/>
    <col min="5" max="5" width="11.5703125" style="1"/>
    <col min="6" max="6" width="12.5703125" style="1" bestFit="1" customWidth="1"/>
    <col min="7" max="7" width="15" style="1" customWidth="1"/>
    <col min="8" max="8" width="12.5703125" style="1" bestFit="1" customWidth="1"/>
    <col min="9" max="9" width="14.42578125" style="1" bestFit="1" customWidth="1"/>
    <col min="10" max="10" width="13.28515625" style="1" bestFit="1" customWidth="1"/>
    <col min="11" max="11" width="12.28515625" style="1" bestFit="1" customWidth="1"/>
    <col min="12" max="16384" width="11.5703125" style="1"/>
  </cols>
  <sheetData>
    <row r="2" spans="2:11" ht="29.25" customHeight="1" x14ac:dyDescent="0.35">
      <c r="B2" s="1751" t="s">
        <v>1275</v>
      </c>
      <c r="C2" s="1751"/>
      <c r="D2" s="1751"/>
      <c r="E2" s="1751"/>
      <c r="F2" s="1751"/>
      <c r="G2" s="1751"/>
      <c r="H2" s="1751"/>
      <c r="I2" s="1751"/>
      <c r="J2" s="1751"/>
    </row>
    <row r="4" spans="2:11" s="148" customFormat="1" ht="24" customHeight="1" x14ac:dyDescent="0.25">
      <c r="B4" s="1321" t="s">
        <v>0</v>
      </c>
      <c r="C4" s="1321" t="s">
        <v>1</v>
      </c>
      <c r="D4" s="1322" t="s">
        <v>2</v>
      </c>
      <c r="E4" s="132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323">
        <v>2.85</v>
      </c>
    </row>
    <row r="5" spans="2:11" ht="17.25" customHeight="1" x14ac:dyDescent="0.25">
      <c r="B5" s="6">
        <f>VLOOKUP(C5,[1]Hoja1!$B$2:$C$260,2,FALSE)</f>
        <v>1112001</v>
      </c>
      <c r="C5" s="6" t="s">
        <v>797</v>
      </c>
      <c r="D5" s="7">
        <v>1.3547632411597286</v>
      </c>
      <c r="E5" s="32">
        <v>47.535552321393979</v>
      </c>
      <c r="F5" s="896">
        <f>VLOOKUP(B5,[2]Hoja1!$C$2:$E$279,3,FALSE)</f>
        <v>3663.96</v>
      </c>
      <c r="G5" s="8">
        <f>F5*D5</f>
        <v>4963.7983250795987</v>
      </c>
      <c r="H5" s="896">
        <v>4222.72</v>
      </c>
      <c r="I5" s="96">
        <f>H5*D5</f>
        <v>5720.7858337100097</v>
      </c>
      <c r="J5" s="39">
        <f>((F5/H5)*100)-100</f>
        <v>-13.232229463473786</v>
      </c>
      <c r="K5" s="153">
        <f>$K$4*E5%</f>
        <v>1.3547632411597286</v>
      </c>
    </row>
    <row r="6" spans="2:11" ht="17.25" customHeight="1" x14ac:dyDescent="0.25">
      <c r="B6" s="6">
        <f>VLOOKUP(C6,[1]Hoja1!$B$2:$C$260,2,FALSE)</f>
        <v>2906001</v>
      </c>
      <c r="C6" s="6" t="s">
        <v>831</v>
      </c>
      <c r="D6" s="7">
        <v>0.24065804701896953</v>
      </c>
      <c r="E6" s="32">
        <v>8.4441420006655967</v>
      </c>
      <c r="F6" s="896">
        <f>VLOOKUP(B6,[2]Hoja1!$C$2:$E$279,3,FALSE)</f>
        <v>1956.71</v>
      </c>
      <c r="G6" s="8">
        <f t="shared" ref="G6:G23" si="0">F6*D6</f>
        <v>470.8980071824879</v>
      </c>
      <c r="H6" s="896">
        <v>2033.73</v>
      </c>
      <c r="I6" s="96">
        <f t="shared" ref="I6:I23" si="1">H6*D6</f>
        <v>489.43348996388892</v>
      </c>
      <c r="J6" s="39">
        <f t="shared" ref="J6:J23" si="2">((F6/H6)*100)-100</f>
        <v>-3.7871300516784459</v>
      </c>
      <c r="K6" s="153">
        <f t="shared" ref="K6:K23" si="3">$K$4*E6%</f>
        <v>0.24065804701896953</v>
      </c>
    </row>
    <row r="7" spans="2:11" ht="17.25" customHeight="1" x14ac:dyDescent="0.25">
      <c r="B7" s="6">
        <f>VLOOKUP(C7,[1]Hoja1!$B$2:$C$260,2,FALSE)</f>
        <v>1131002</v>
      </c>
      <c r="C7" s="6" t="s">
        <v>663</v>
      </c>
      <c r="D7" s="7">
        <v>0.69759689652945767</v>
      </c>
      <c r="E7" s="32">
        <v>24.4770840887529</v>
      </c>
      <c r="F7" s="896">
        <f>VLOOKUP(B7,[2]Hoja1!$C$2:$E$279,3,FALSE)</f>
        <v>0</v>
      </c>
      <c r="G7" s="8">
        <f t="shared" si="0"/>
        <v>0</v>
      </c>
      <c r="H7" s="879">
        <v>0</v>
      </c>
      <c r="I7" s="96">
        <f t="shared" si="1"/>
        <v>0</v>
      </c>
      <c r="J7" s="39" t="e">
        <f t="shared" si="2"/>
        <v>#DIV/0!</v>
      </c>
      <c r="K7" s="153">
        <f t="shared" si="3"/>
        <v>0.69759689652945767</v>
      </c>
    </row>
    <row r="8" spans="2:11" ht="17.25" customHeight="1" x14ac:dyDescent="0.25">
      <c r="B8" s="6">
        <f>VLOOKUP(C8,[1]Hoja1!$B$2:$C$260,2,FALSE)</f>
        <v>1250009</v>
      </c>
      <c r="C8" s="6" t="s">
        <v>1279</v>
      </c>
      <c r="D8" s="7">
        <v>1.6987626848397846E-3</v>
      </c>
      <c r="E8" s="32">
        <v>5.9605708239992443E-2</v>
      </c>
      <c r="F8" s="896">
        <f>VLOOKUP(B8,[2]Hoja1!$C$2:$E$279,3,FALSE)</f>
        <v>83551.55</v>
      </c>
      <c r="G8" s="8">
        <f t="shared" si="0"/>
        <v>141.9342554005255</v>
      </c>
      <c r="H8" s="388">
        <v>71910.02</v>
      </c>
      <c r="I8" s="96">
        <f t="shared" si="1"/>
        <v>122.15805864208262</v>
      </c>
      <c r="J8" s="39">
        <f>((F8/H8)*100)-100</f>
        <v>16.18902344902699</v>
      </c>
      <c r="K8" s="153">
        <f>$K$4*E8%</f>
        <v>1.6987626848397846E-3</v>
      </c>
    </row>
    <row r="9" spans="2:11" ht="17.25" customHeight="1" x14ac:dyDescent="0.25">
      <c r="B9" s="6">
        <f>VLOOKUP(C9,[1]Hoja1!$B$2:$C$260,2,FALSE)</f>
        <v>1250004</v>
      </c>
      <c r="C9" s="6" t="s">
        <v>969</v>
      </c>
      <c r="D9" s="7">
        <v>2.2650169131197134E-4</v>
      </c>
      <c r="E9" s="32">
        <v>7.947427765332327E-3</v>
      </c>
      <c r="F9" s="896">
        <f>VLOOKUP(B9,[2]Hoja1!$C$2:$E$279,3,FALSE)</f>
        <v>164481.95000000001</v>
      </c>
      <c r="G9" s="8">
        <f t="shared" si="0"/>
        <v>37.255439865291109</v>
      </c>
      <c r="H9" s="106">
        <v>156520.01999999999</v>
      </c>
      <c r="I9" s="96">
        <f t="shared" si="1"/>
        <v>35.452049254183578</v>
      </c>
      <c r="J9" s="39">
        <f t="shared" si="2"/>
        <v>5.0868444816196927</v>
      </c>
      <c r="K9" s="153">
        <f t="shared" si="3"/>
        <v>2.2650169131197134E-4</v>
      </c>
    </row>
    <row r="10" spans="2:11" ht="17.25" customHeight="1" x14ac:dyDescent="0.25">
      <c r="B10" s="6">
        <v>1210005</v>
      </c>
      <c r="C10" s="6" t="s">
        <v>1155</v>
      </c>
      <c r="D10" s="7">
        <v>2.9925000000000004E-2</v>
      </c>
      <c r="E10" s="32">
        <v>1.05</v>
      </c>
      <c r="F10" s="896">
        <f>VLOOKUP(B10,[2]Hoja1!$C$2:$E$279,3,FALSE)</f>
        <v>1356</v>
      </c>
      <c r="G10" s="8">
        <f t="shared" si="0"/>
        <v>40.578300000000006</v>
      </c>
      <c r="H10" s="672"/>
      <c r="I10" s="96"/>
      <c r="J10" s="39"/>
      <c r="K10" s="153">
        <f t="shared" si="3"/>
        <v>2.9925000000000004E-2</v>
      </c>
    </row>
    <row r="11" spans="2:11" ht="17.25" customHeight="1" x14ac:dyDescent="0.25">
      <c r="B11" s="6">
        <v>1210010</v>
      </c>
      <c r="C11" s="6" t="s">
        <v>1351</v>
      </c>
      <c r="D11" s="7">
        <v>1.9949999999999999E-2</v>
      </c>
      <c r="E11" s="32">
        <v>0.7</v>
      </c>
      <c r="F11" s="896">
        <f>VLOOKUP(B11,[2]Hoja1!$C$2:$E$279,3,FALSE)</f>
        <v>11600</v>
      </c>
      <c r="G11" s="8">
        <f t="shared" si="0"/>
        <v>231.42</v>
      </c>
      <c r="H11" s="914">
        <v>8910.1</v>
      </c>
      <c r="I11" s="96">
        <f t="shared" si="1"/>
        <v>177.756495</v>
      </c>
      <c r="J11" s="39">
        <f t="shared" si="2"/>
        <v>30.189335697691376</v>
      </c>
      <c r="K11" s="153">
        <f t="shared" si="3"/>
        <v>1.9949999999999999E-2</v>
      </c>
    </row>
    <row r="12" spans="2:11" ht="17.25" customHeight="1" x14ac:dyDescent="0.25">
      <c r="B12" s="6">
        <f>VLOOKUP(C12,[1]Hoja1!$B$2:$C$260,2,FALSE)</f>
        <v>1210004</v>
      </c>
      <c r="C12" s="6" t="s">
        <v>1131</v>
      </c>
      <c r="D12" s="7">
        <v>4.7423791618443996E-3</v>
      </c>
      <c r="E12" s="32">
        <v>0.16639926883664558</v>
      </c>
      <c r="F12" s="896">
        <f>VLOOKUP(B12,[2]Hoja1!$C$2:$E$279,3,FALSE)</f>
        <v>3841</v>
      </c>
      <c r="G12" s="8">
        <f t="shared" si="0"/>
        <v>18.21547836064434</v>
      </c>
      <c r="H12" s="914">
        <v>3508.01</v>
      </c>
      <c r="I12" s="96">
        <f t="shared" si="1"/>
        <v>16.636313523541773</v>
      </c>
      <c r="J12" s="39">
        <f t="shared" si="2"/>
        <v>9.4922762477871885</v>
      </c>
      <c r="K12" s="153">
        <f t="shared" si="3"/>
        <v>4.7423791618443996E-3</v>
      </c>
    </row>
    <row r="13" spans="2:11" ht="17.25" customHeight="1" x14ac:dyDescent="0.25">
      <c r="B13" s="6">
        <f>VLOOKUP(C13,[1]Hoja1!$B$2:$C$260,2,FALSE)</f>
        <v>121007</v>
      </c>
      <c r="C13" s="6" t="s">
        <v>821</v>
      </c>
      <c r="D13" s="7">
        <v>1.1325084565598567E-2</v>
      </c>
      <c r="E13" s="32">
        <v>0.39737138826661633</v>
      </c>
      <c r="F13" s="896">
        <f>VLOOKUP(B13,[2]Hoja1!$C$2:$E$279,3,FALSE)</f>
        <v>16905</v>
      </c>
      <c r="G13" s="8">
        <f t="shared" si="0"/>
        <v>191.45055458144378</v>
      </c>
      <c r="H13" s="880">
        <v>16100</v>
      </c>
      <c r="I13" s="96">
        <f t="shared" si="1"/>
        <v>182.33386150613694</v>
      </c>
      <c r="J13" s="39">
        <f t="shared" si="2"/>
        <v>5</v>
      </c>
      <c r="K13" s="153">
        <f t="shared" si="3"/>
        <v>1.1325084565598567E-2</v>
      </c>
    </row>
    <row r="14" spans="2:11" ht="17.25" customHeight="1" x14ac:dyDescent="0.25">
      <c r="B14" s="6">
        <f>VLOOKUP(C14,[1]Hoja1!$B$2:$C$260,2,FALSE)</f>
        <v>1240002</v>
      </c>
      <c r="C14" s="6" t="s">
        <v>1140</v>
      </c>
      <c r="D14" s="7">
        <v>1.4156355706998207E-2</v>
      </c>
      <c r="E14" s="32">
        <v>0.49671423533327042</v>
      </c>
      <c r="F14" s="896">
        <f>VLOOKUP(B14,[2]Hoja1!$C$2:$E$279,3,FALSE)</f>
        <v>66115.8</v>
      </c>
      <c r="G14" s="8">
        <f t="shared" si="0"/>
        <v>935.95878265275212</v>
      </c>
      <c r="H14" s="914">
        <v>70840.75</v>
      </c>
      <c r="I14" s="96">
        <f t="shared" si="1"/>
        <v>1002.8468555505333</v>
      </c>
      <c r="J14" s="39">
        <f t="shared" si="2"/>
        <v>-6.6698192777461998</v>
      </c>
      <c r="K14" s="153">
        <f t="shared" si="3"/>
        <v>1.4156355706998207E-2</v>
      </c>
    </row>
    <row r="15" spans="2:11" ht="17.25" customHeight="1" x14ac:dyDescent="0.25">
      <c r="B15" s="6">
        <f>VLOOKUP(C15,[1]Hoja1!$B$2:$C$260,2,FALSE)</f>
        <v>1220015</v>
      </c>
      <c r="C15" s="6" t="s">
        <v>1036</v>
      </c>
      <c r="D15" s="7">
        <v>1.9111080204447583E-2</v>
      </c>
      <c r="E15" s="32">
        <v>0.67056421769991514</v>
      </c>
      <c r="F15" s="896">
        <f>VLOOKUP(B15,[2]Hoja1!$C$2:$E$279,3,FALSE)</f>
        <v>30702.27</v>
      </c>
      <c r="G15" s="8">
        <f t="shared" si="0"/>
        <v>586.75354442860487</v>
      </c>
      <c r="H15" s="25">
        <v>29189.39</v>
      </c>
      <c r="I15" s="96">
        <f t="shared" si="1"/>
        <v>557.84077340890019</v>
      </c>
      <c r="J15" s="39">
        <f t="shared" si="2"/>
        <v>5.1829791578378348</v>
      </c>
      <c r="K15" s="153">
        <f t="shared" si="3"/>
        <v>1.9111080204447583E-2</v>
      </c>
    </row>
    <row r="16" spans="2:11" ht="17.25" customHeight="1" x14ac:dyDescent="0.25">
      <c r="B16" s="6">
        <f>VLOOKUP(C16,[1]Hoja1!$B$2:$C$260,2,FALSE)</f>
        <v>1220014</v>
      </c>
      <c r="C16" s="6" t="s">
        <v>1146</v>
      </c>
      <c r="D16" s="7">
        <v>1.557199127769803E-2</v>
      </c>
      <c r="E16" s="32">
        <v>0.54638565886659751</v>
      </c>
      <c r="F16" s="896">
        <f>VLOOKUP(B16,[2]Hoja1!$C$2:$E$279,3,FALSE)</f>
        <v>14060</v>
      </c>
      <c r="G16" s="8">
        <f t="shared" si="0"/>
        <v>218.94219736443429</v>
      </c>
      <c r="H16" s="914">
        <v>13300.01</v>
      </c>
      <c r="I16" s="96">
        <f t="shared" si="1"/>
        <v>207.10763971329658</v>
      </c>
      <c r="J16" s="39">
        <f t="shared" si="2"/>
        <v>5.7142062299201086</v>
      </c>
      <c r="K16" s="153">
        <f t="shared" si="3"/>
        <v>1.557199127769803E-2</v>
      </c>
    </row>
    <row r="17" spans="2:11" ht="17.25" customHeight="1" x14ac:dyDescent="0.25">
      <c r="B17" s="6">
        <f>VLOOKUP(C17,[1]Hoja1!$B$2:$C$260,2,FALSE)</f>
        <v>1210003</v>
      </c>
      <c r="C17" s="6" t="s">
        <v>1143</v>
      </c>
      <c r="D17" s="7">
        <v>1.4156355706998209E-3</v>
      </c>
      <c r="E17" s="32">
        <v>4.9671423533327042E-2</v>
      </c>
      <c r="F17" s="896">
        <f>VLOOKUP(B17,[2]Hoja1!$C$2:$E$279,3,FALSE)</f>
        <v>16235.45</v>
      </c>
      <c r="G17" s="8">
        <f t="shared" si="0"/>
        <v>22.983480526318409</v>
      </c>
      <c r="H17" s="914">
        <v>12852.58</v>
      </c>
      <c r="I17" s="96">
        <f t="shared" si="1"/>
        <v>18.194569423265104</v>
      </c>
      <c r="J17" s="39">
        <f t="shared" si="2"/>
        <v>26.320551982559152</v>
      </c>
      <c r="K17" s="153">
        <f t="shared" si="3"/>
        <v>1.4156355706998209E-3</v>
      </c>
    </row>
    <row r="18" spans="2:11" ht="17.25" customHeight="1" x14ac:dyDescent="0.25">
      <c r="B18" s="6">
        <v>1260024</v>
      </c>
      <c r="C18" s="6" t="s">
        <v>1290</v>
      </c>
      <c r="D18" s="7">
        <v>2.8312711413996414E-2</v>
      </c>
      <c r="E18" s="32">
        <v>0.99342847066654083</v>
      </c>
      <c r="F18" s="896">
        <f>VLOOKUP(B18,[2]Hoja1!$C$2:$E$279,3,FALSE)</f>
        <v>12625.84</v>
      </c>
      <c r="G18" s="8">
        <f t="shared" si="0"/>
        <v>357.47176427929247</v>
      </c>
      <c r="H18" s="32">
        <v>18900</v>
      </c>
      <c r="I18" s="96">
        <f t="shared" si="1"/>
        <v>535.11024572453221</v>
      </c>
      <c r="J18" s="39">
        <f t="shared" si="2"/>
        <v>-33.196613756613758</v>
      </c>
      <c r="K18" s="153">
        <f t="shared" si="3"/>
        <v>2.8312711413996414E-2</v>
      </c>
    </row>
    <row r="19" spans="2:11" ht="17.25" customHeight="1" x14ac:dyDescent="0.25">
      <c r="B19" s="6">
        <f>VLOOKUP(C19,[1]Hoja1!$B$2:$C$260,2,FALSE)</f>
        <v>1260005</v>
      </c>
      <c r="C19" s="6" t="s">
        <v>811</v>
      </c>
      <c r="D19" s="7">
        <v>2.8312711413996414E-2</v>
      </c>
      <c r="E19" s="32">
        <v>0.99342847066654083</v>
      </c>
      <c r="F19" s="896">
        <f>VLOOKUP(B19,[2]Hoja1!$C$2:$E$279,3,FALSE)</f>
        <v>26429</v>
      </c>
      <c r="G19" s="8">
        <f t="shared" si="0"/>
        <v>748.27664996051124</v>
      </c>
      <c r="H19" s="914">
        <v>25850</v>
      </c>
      <c r="I19" s="96">
        <f t="shared" si="1"/>
        <v>731.88359005180735</v>
      </c>
      <c r="J19" s="39">
        <f t="shared" si="2"/>
        <v>2.2398452611218715</v>
      </c>
      <c r="K19" s="153">
        <f t="shared" si="3"/>
        <v>2.8312711413996414E-2</v>
      </c>
    </row>
    <row r="20" spans="2:11" ht="17.25" customHeight="1" x14ac:dyDescent="0.25">
      <c r="B20" s="6">
        <f>VLOOKUP(C20,[1]Hoja1!$B$2:$C$260,2,FALSE)</f>
        <v>1260010</v>
      </c>
      <c r="C20" s="6" t="s">
        <v>1043</v>
      </c>
      <c r="D20" s="7">
        <v>0.14156355706998208</v>
      </c>
      <c r="E20" s="32">
        <v>4.9671423533327044</v>
      </c>
      <c r="F20" s="896">
        <f>VLOOKUP(B20,[2]Hoja1!$C$2:$E$279,3,FALSE)</f>
        <v>6959.71</v>
      </c>
      <c r="G20" s="8">
        <f>F20*D20</f>
        <v>985.24130377552501</v>
      </c>
      <c r="H20" s="880">
        <v>9565.2099999999991</v>
      </c>
      <c r="I20" s="96">
        <f t="shared" si="1"/>
        <v>1354.0851517213632</v>
      </c>
      <c r="J20" s="39">
        <f t="shared" si="2"/>
        <v>-27.239339230398485</v>
      </c>
      <c r="K20" s="153">
        <f t="shared" si="3"/>
        <v>0.14156355706998208</v>
      </c>
    </row>
    <row r="21" spans="2:11" ht="17.25" customHeight="1" x14ac:dyDescent="0.25">
      <c r="B21" s="6">
        <f>VLOOKUP(C21,[1]Hoja1!$B$2:$C$260,2,FALSE)</f>
        <v>1260017</v>
      </c>
      <c r="C21" s="6" t="s">
        <v>832</v>
      </c>
      <c r="D21" s="7">
        <v>0.14156355706998208</v>
      </c>
      <c r="E21" s="32">
        <v>4.9671423533327044</v>
      </c>
      <c r="F21" s="896">
        <f>VLOOKUP(B21,[2]Hoja1!$C$2:$E$279,3,FALSE)</f>
        <v>4500</v>
      </c>
      <c r="G21" s="8">
        <f t="shared" si="0"/>
        <v>637.03600681491935</v>
      </c>
      <c r="H21" s="896">
        <v>4500</v>
      </c>
      <c r="I21" s="96">
        <f t="shared" si="1"/>
        <v>637.03600681491935</v>
      </c>
      <c r="J21" s="39">
        <f t="shared" si="2"/>
        <v>0</v>
      </c>
      <c r="K21" s="153">
        <f t="shared" si="3"/>
        <v>0.14156355706998208</v>
      </c>
    </row>
    <row r="22" spans="2:11" ht="17.25" customHeight="1" x14ac:dyDescent="0.25">
      <c r="B22" s="6">
        <f>VLOOKUP(C22,[1]Hoja1!$B$2:$C$260,2,FALSE)</f>
        <v>1260012</v>
      </c>
      <c r="C22" s="6" t="s">
        <v>1148</v>
      </c>
      <c r="D22" s="7">
        <v>9.2299439209628294E-3</v>
      </c>
      <c r="E22" s="32">
        <v>0.32385768143729227</v>
      </c>
      <c r="F22" s="896">
        <f>VLOOKUP(B22,[2]Hoja1!$C$2:$E$279,3,FALSE)</f>
        <v>46081</v>
      </c>
      <c r="G22" s="8">
        <f t="shared" si="0"/>
        <v>425.32504582188812</v>
      </c>
      <c r="H22" s="106">
        <v>46081</v>
      </c>
      <c r="I22" s="96">
        <f t="shared" si="1"/>
        <v>425.32504582188812</v>
      </c>
      <c r="J22" s="39">
        <f t="shared" si="2"/>
        <v>0</v>
      </c>
      <c r="K22" s="153">
        <f t="shared" si="3"/>
        <v>9.2299439209628294E-3</v>
      </c>
    </row>
    <row r="23" spans="2:11" ht="17.25" customHeight="1" x14ac:dyDescent="0.25">
      <c r="B23" s="6">
        <f>VLOOKUP(C23,[1]Hoja1!$B$2:$C$260,2,FALSE)</f>
        <v>1121009</v>
      </c>
      <c r="C23" s="6" t="s">
        <v>1272</v>
      </c>
      <c r="D23" s="7">
        <v>9.2327751921042311E-2</v>
      </c>
      <c r="E23" s="922">
        <v>3.2395702428435897</v>
      </c>
      <c r="F23" s="896">
        <f>VLOOKUP(B23,[2]Hoja1!$C$2:$E$279,3,FALSE)</f>
        <v>8741.6200000000008</v>
      </c>
      <c r="G23" s="8">
        <f t="shared" si="0"/>
        <v>807.09412274802196</v>
      </c>
      <c r="H23" s="95">
        <v>8754.2800000000007</v>
      </c>
      <c r="I23" s="96">
        <f t="shared" si="1"/>
        <v>808.26299208734235</v>
      </c>
      <c r="J23" s="39">
        <f t="shared" si="2"/>
        <v>-0.14461497690273006</v>
      </c>
      <c r="K23" s="153">
        <f t="shared" si="3"/>
        <v>9.2327751921042311E-2</v>
      </c>
    </row>
    <row r="24" spans="2:11" s="38" customFormat="1" ht="17.25" customHeight="1" x14ac:dyDescent="0.25">
      <c r="B24" s="1763" t="s">
        <v>37</v>
      </c>
      <c r="C24" s="1763"/>
      <c r="D24" s="1273">
        <f>SUM(D5:D23)</f>
        <v>2.8524512083815572</v>
      </c>
      <c r="E24" s="1274">
        <f>SUM(E5:E23)</f>
        <v>100.08600731163355</v>
      </c>
      <c r="F24" s="1274"/>
      <c r="G24" s="1316">
        <f>SUM(G5:G23)</f>
        <v>11820.633258842257</v>
      </c>
      <c r="H24" s="1316"/>
      <c r="I24" s="1316">
        <f>SUM(I5:I23)</f>
        <v>13022.248971917692</v>
      </c>
      <c r="J24" s="1317">
        <f>((G24/I24)*100)-100</f>
        <v>-9.227405463270614</v>
      </c>
      <c r="K24" s="1250"/>
    </row>
    <row r="26" spans="2:11" ht="24" customHeight="1" x14ac:dyDescent="0.35">
      <c r="B26" s="1760" t="s">
        <v>50</v>
      </c>
      <c r="C26" s="1754"/>
      <c r="D26" s="38">
        <f>+C29+(C29*C35%)</f>
        <v>2850</v>
      </c>
      <c r="E26" s="97"/>
      <c r="F26" s="97"/>
      <c r="G26" s="97"/>
      <c r="H26" s="97"/>
      <c r="I26" s="97"/>
      <c r="J26" s="97"/>
    </row>
    <row r="27" spans="2:11" ht="17.25" customHeight="1" x14ac:dyDescent="0.25">
      <c r="B27" s="1264" t="s">
        <v>38</v>
      </c>
      <c r="C27" s="93" t="s">
        <v>167</v>
      </c>
      <c r="H27" s="38"/>
    </row>
    <row r="28" spans="2:11" ht="17.25" customHeight="1" x14ac:dyDescent="0.25">
      <c r="B28" s="1265" t="s">
        <v>39</v>
      </c>
      <c r="C28" s="21" t="s">
        <v>310</v>
      </c>
      <c r="H28" s="38"/>
    </row>
    <row r="29" spans="2:11" ht="17.25" customHeight="1" x14ac:dyDescent="0.25">
      <c r="B29" s="1265" t="s">
        <v>40</v>
      </c>
      <c r="C29" s="21">
        <v>2500</v>
      </c>
      <c r="H29" s="38"/>
    </row>
    <row r="30" spans="2:11" ht="17.25" customHeight="1" x14ac:dyDescent="0.25">
      <c r="B30" s="1265" t="s">
        <v>41</v>
      </c>
      <c r="C30" s="21">
        <v>0</v>
      </c>
      <c r="H30" s="38"/>
    </row>
    <row r="31" spans="2:11" ht="17.25" customHeight="1" x14ac:dyDescent="0.25">
      <c r="B31" s="1265" t="s">
        <v>42</v>
      </c>
      <c r="C31" s="21">
        <v>9</v>
      </c>
      <c r="H31" s="38"/>
    </row>
    <row r="32" spans="2:11" ht="17.25" customHeight="1" x14ac:dyDescent="0.25">
      <c r="B32" s="1265" t="s">
        <v>43</v>
      </c>
      <c r="C32" s="21">
        <v>2</v>
      </c>
      <c r="H32" s="38"/>
    </row>
    <row r="33" spans="2:11" ht="17.25" customHeight="1" x14ac:dyDescent="0.25">
      <c r="B33" s="1265" t="s">
        <v>44</v>
      </c>
      <c r="C33" s="21">
        <v>1</v>
      </c>
      <c r="H33" s="38"/>
    </row>
    <row r="34" spans="2:11" ht="17.25" customHeight="1" x14ac:dyDescent="0.25">
      <c r="B34" s="1265" t="s">
        <v>45</v>
      </c>
      <c r="C34" s="21">
        <v>2</v>
      </c>
      <c r="H34" s="38"/>
    </row>
    <row r="35" spans="2:11" ht="17.25" customHeight="1" x14ac:dyDescent="0.25">
      <c r="B35" s="1265" t="s">
        <v>46</v>
      </c>
      <c r="C35" s="21">
        <f>C34+C33+C32+C31</f>
        <v>14</v>
      </c>
      <c r="H35" s="38"/>
    </row>
    <row r="36" spans="2:11" ht="17.25" customHeight="1" x14ac:dyDescent="0.25">
      <c r="E36" s="728">
        <f>0.21*50</f>
        <v>10.5</v>
      </c>
      <c r="F36" s="728"/>
      <c r="H36" s="97"/>
      <c r="I36" s="97"/>
    </row>
    <row r="37" spans="2:11" ht="27" customHeight="1" x14ac:dyDescent="0.35">
      <c r="B37" s="1776" t="s">
        <v>47</v>
      </c>
      <c r="C37" s="1776"/>
      <c r="D37" s="1776"/>
      <c r="E37" s="1776"/>
      <c r="F37" s="1776"/>
      <c r="G37" s="1776"/>
      <c r="H37" s="1776"/>
      <c r="I37" s="1776"/>
    </row>
    <row r="38" spans="2:11" s="148" customFormat="1" ht="25.5" customHeight="1" x14ac:dyDescent="0.25">
      <c r="B38" s="1324" t="s">
        <v>0</v>
      </c>
      <c r="C38" s="1324" t="s">
        <v>1</v>
      </c>
      <c r="D38" s="1325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326" t="s">
        <v>3</v>
      </c>
      <c r="J38" s="729">
        <v>8363</v>
      </c>
    </row>
    <row r="39" spans="2:11" ht="17.25" customHeight="1" x14ac:dyDescent="0.25">
      <c r="B39" s="4">
        <f>VLOOKUP(C39,[1]Hoja1!$B$2:$C$260,2,FALSE)</f>
        <v>1370031</v>
      </c>
      <c r="C39" s="1168" t="s">
        <v>1201</v>
      </c>
      <c r="D39" s="103">
        <v>10.5</v>
      </c>
      <c r="E39" s="24">
        <f>VLOOKUP(B39,[2]Hoja1!$C$2:$E$279,3,FALSE)</f>
        <v>136.56</v>
      </c>
      <c r="F39" s="24">
        <f>E39*D39</f>
        <v>1433.88</v>
      </c>
      <c r="G39" s="24">
        <v>153.32</v>
      </c>
      <c r="H39" s="24">
        <f>G39*D39</f>
        <v>1609.86</v>
      </c>
      <c r="I39" s="643">
        <f>((E39/G39)*100)-100</f>
        <v>-10.93138533785546</v>
      </c>
      <c r="J39" s="38">
        <f>J38*D39</f>
        <v>87811.5</v>
      </c>
      <c r="K39" s="728"/>
    </row>
    <row r="40" spans="2:11" ht="17.25" customHeight="1" x14ac:dyDescent="0.25">
      <c r="B40" s="4">
        <v>1330027</v>
      </c>
      <c r="C40" s="1168" t="s">
        <v>1288</v>
      </c>
      <c r="D40" s="103">
        <v>1</v>
      </c>
      <c r="E40" s="24">
        <f>VLOOKUP(B40,[2]Hoja1!$C$2:$E$279,3,FALSE)</f>
        <v>331.33</v>
      </c>
      <c r="F40" s="24">
        <f>E40*D40</f>
        <v>331.33</v>
      </c>
      <c r="G40" s="24"/>
      <c r="H40" s="24"/>
      <c r="I40" s="643"/>
      <c r="J40" s="38"/>
      <c r="K40" s="728"/>
    </row>
    <row r="41" spans="2:11" ht="17.25" customHeight="1" x14ac:dyDescent="0.25">
      <c r="B41" s="4">
        <v>1310066</v>
      </c>
      <c r="C41" s="1168" t="s">
        <v>1291</v>
      </c>
      <c r="D41" s="103">
        <v>0.3</v>
      </c>
      <c r="E41" s="24">
        <f>VLOOKUP(B41,[2]Hoja1!$C$2:$E$279,3,FALSE)</f>
        <v>765.19</v>
      </c>
      <c r="F41" s="24">
        <f>E41*D41</f>
        <v>229.55700000000002</v>
      </c>
      <c r="G41" s="24">
        <v>888.9</v>
      </c>
      <c r="H41" s="24">
        <f>G41*D41</f>
        <v>266.66999999999996</v>
      </c>
      <c r="I41" s="643">
        <f>((E41/G41)*100)-100</f>
        <v>-13.917201034987059</v>
      </c>
      <c r="J41" s="38">
        <f>J38*D41</f>
        <v>2508.9</v>
      </c>
      <c r="K41" s="153"/>
    </row>
    <row r="42" spans="2:11" ht="17.25" customHeight="1" x14ac:dyDescent="0.25">
      <c r="B42" s="4">
        <v>1320004</v>
      </c>
      <c r="C42" s="1168" t="s">
        <v>1141</v>
      </c>
      <c r="D42" s="103">
        <v>0.3</v>
      </c>
      <c r="E42" s="24">
        <f>VLOOKUP(B42,[2]Hoja1!$C$2:$E$279,3,FALSE)</f>
        <v>1481.51</v>
      </c>
      <c r="F42" s="24">
        <f>E42*D42</f>
        <v>444.45299999999997</v>
      </c>
      <c r="G42" s="24">
        <v>1577.09</v>
      </c>
      <c r="H42" s="24">
        <f>G42*D42</f>
        <v>473.12699999999995</v>
      </c>
      <c r="I42" s="643">
        <f>((E42/G42)*100)-100</f>
        <v>-6.0605292025185662</v>
      </c>
      <c r="J42" s="38">
        <f>J38*D42</f>
        <v>2508.9</v>
      </c>
      <c r="K42" s="153"/>
    </row>
    <row r="43" spans="2:11" ht="17.25" customHeight="1" x14ac:dyDescent="0.25">
      <c r="B43" s="1256"/>
      <c r="C43" s="1256" t="s">
        <v>37</v>
      </c>
      <c r="D43" s="1318"/>
      <c r="E43" s="1257"/>
      <c r="F43" s="1257">
        <f>SUM(F39:F42)</f>
        <v>2439.2200000000003</v>
      </c>
      <c r="G43" s="1257"/>
      <c r="H43" s="1257">
        <f>SUM(H39:H42)</f>
        <v>2349.6569999999997</v>
      </c>
      <c r="I43" s="1268">
        <f>((F43/H43)*100)-100</f>
        <v>3.8117478423446869</v>
      </c>
    </row>
    <row r="44" spans="2:11" ht="17.25" customHeight="1" x14ac:dyDescent="0.25">
      <c r="H44" s="1" t="str">
        <f>+'CIF Y PV'!$G$1</f>
        <v>MAYO</v>
      </c>
      <c r="J44" s="38"/>
    </row>
    <row r="45" spans="2:11" ht="17.25" customHeight="1" x14ac:dyDescent="0.25">
      <c r="B45" s="1750" t="s">
        <v>173</v>
      </c>
      <c r="C45" s="1750"/>
      <c r="E45" s="881"/>
      <c r="F45" s="881"/>
      <c r="G45" s="881"/>
      <c r="H45" s="881">
        <f>+F43+G24</f>
        <v>14259.853258842257</v>
      </c>
      <c r="I45" s="28"/>
      <c r="J45" s="881"/>
      <c r="K45" s="28"/>
    </row>
    <row r="46" spans="2:11" ht="17.25" customHeight="1" x14ac:dyDescent="0.25">
      <c r="B46" s="1758" t="s">
        <v>48</v>
      </c>
      <c r="C46" s="1759"/>
      <c r="E46" s="881"/>
      <c r="F46" s="881"/>
      <c r="G46" s="881"/>
      <c r="H46" s="881">
        <f>+('CIF Y PV'!C3/1000)*2500</f>
        <v>4725</v>
      </c>
      <c r="J46" s="881"/>
    </row>
    <row r="47" spans="2:11" ht="17.25" customHeight="1" x14ac:dyDescent="0.25">
      <c r="B47" s="1758" t="s">
        <v>115</v>
      </c>
      <c r="C47" s="1759"/>
      <c r="E47" s="881"/>
      <c r="F47" s="881"/>
      <c r="G47" s="881"/>
      <c r="H47" s="881">
        <f>+H46+H45</f>
        <v>18984.853258842257</v>
      </c>
      <c r="I47" s="152"/>
      <c r="J47" s="881"/>
      <c r="K47" s="152"/>
    </row>
    <row r="48" spans="2:11" ht="17.25" customHeight="1" x14ac:dyDescent="0.25">
      <c r="B48" s="1750" t="s">
        <v>49</v>
      </c>
      <c r="C48" s="1750"/>
      <c r="E48" s="881"/>
      <c r="F48" s="881"/>
      <c r="G48" s="881"/>
      <c r="H48" s="881">
        <f>'CIF Y PV'!C53</f>
        <v>35476.920000000006</v>
      </c>
      <c r="J48" s="929"/>
      <c r="K48" s="339"/>
    </row>
    <row r="49" spans="2:11" ht="17.25" customHeight="1" x14ac:dyDescent="0.25">
      <c r="B49" s="1750" t="s">
        <v>805</v>
      </c>
      <c r="C49" s="1750"/>
      <c r="E49" s="881"/>
      <c r="F49" s="881"/>
      <c r="G49" s="881"/>
      <c r="H49" s="339">
        <f>+(H48-H47)/H48</f>
        <v>0.46486748965687402</v>
      </c>
      <c r="I49" s="137"/>
      <c r="J49" s="38"/>
      <c r="K49" s="137"/>
    </row>
    <row r="50" spans="2:11" ht="17.25" customHeight="1" x14ac:dyDescent="0.25">
      <c r="H50" s="38"/>
    </row>
    <row r="51" spans="2:11" ht="17.25" customHeight="1" x14ac:dyDescent="0.25">
      <c r="H51" s="38"/>
    </row>
  </sheetData>
  <autoFilter ref="A4:K23" xr:uid="{7561C73B-3E04-45BF-B20E-E0BE345E97FF}"/>
  <mergeCells count="9">
    <mergeCell ref="B47:C47"/>
    <mergeCell ref="B48:C48"/>
    <mergeCell ref="B49:C49"/>
    <mergeCell ref="B2:J2"/>
    <mergeCell ref="B24:C24"/>
    <mergeCell ref="B26:C26"/>
    <mergeCell ref="B37:I37"/>
    <mergeCell ref="B45:C45"/>
    <mergeCell ref="B46:C46"/>
  </mergeCells>
  <pageMargins left="0.7" right="0.7" top="0.75" bottom="0.75" header="0.3" footer="0.3"/>
  <pageSetup scale="4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F423-5F8A-466F-BDE3-DD51F42F6AEB}">
  <sheetPr codeName="Hoja24">
    <tabColor rgb="FFFFFF00"/>
  </sheetPr>
  <dimension ref="A2:M46"/>
  <sheetViews>
    <sheetView view="pageBreakPreview" topLeftCell="A2" zoomScaleNormal="100" zoomScaleSheetLayoutView="100" workbookViewId="0">
      <selection activeCell="F17" sqref="F17"/>
    </sheetView>
  </sheetViews>
  <sheetFormatPr baseColWidth="10" defaultColWidth="11.5703125" defaultRowHeight="13.5" x14ac:dyDescent="0.25"/>
  <cols>
    <col min="1" max="1" width="7.42578125" style="120" customWidth="1"/>
    <col min="2" max="2" width="11.5703125" style="120"/>
    <col min="3" max="3" width="67.42578125" style="120" bestFit="1" customWidth="1"/>
    <col min="4" max="4" width="11.5703125" style="119"/>
    <col min="5" max="5" width="11.7109375" style="120" customWidth="1"/>
    <col min="6" max="6" width="12.5703125" style="120" customWidth="1"/>
    <col min="7" max="7" width="11.5703125" style="120"/>
    <col min="8" max="8" width="12.5703125" style="120" bestFit="1" customWidth="1"/>
    <col min="9" max="9" width="14.42578125" style="120" bestFit="1" customWidth="1"/>
    <col min="10" max="10" width="12.5703125" style="146" bestFit="1" customWidth="1"/>
    <col min="11" max="11" width="11.5703125" style="176"/>
    <col min="12" max="12" width="11.5703125" style="120"/>
    <col min="13" max="13" width="16.42578125" style="120" customWidth="1"/>
    <col min="14" max="16384" width="11.5703125" style="120"/>
  </cols>
  <sheetData>
    <row r="2" spans="2:13" ht="25.5" x14ac:dyDescent="0.25">
      <c r="B2" s="1743" t="s">
        <v>946</v>
      </c>
      <c r="C2" s="1743"/>
      <c r="D2" s="1743"/>
      <c r="E2" s="1743"/>
      <c r="F2" s="1743"/>
      <c r="G2" s="1743"/>
      <c r="H2" s="1743"/>
      <c r="I2" s="1743"/>
      <c r="J2" s="1743"/>
    </row>
    <row r="3" spans="2:13" x14ac:dyDescent="0.25">
      <c r="L3" s="846" t="s">
        <v>967</v>
      </c>
      <c r="M3" s="761" t="s">
        <v>1024</v>
      </c>
    </row>
    <row r="4" spans="2:13" ht="25.5" x14ac:dyDescent="0.25">
      <c r="B4" s="1271" t="s">
        <v>0</v>
      </c>
      <c r="C4" s="1271" t="s">
        <v>1</v>
      </c>
      <c r="D4" s="1314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21" t="s">
        <v>3</v>
      </c>
      <c r="K4" s="1277">
        <f>+D21/1000</f>
        <v>0.12342</v>
      </c>
      <c r="L4" s="1277">
        <v>498.5</v>
      </c>
      <c r="M4" s="1272"/>
    </row>
    <row r="5" spans="2:13" ht="14.25" x14ac:dyDescent="0.25">
      <c r="B5" s="154">
        <f>VLOOKUP(C5,[1]Hoja1!$B$2:$C$260,2,FALSE)</f>
        <v>2903003</v>
      </c>
      <c r="C5" s="154" t="s">
        <v>1039</v>
      </c>
      <c r="D5" s="143">
        <v>5.12489208E-2</v>
      </c>
      <c r="E5" s="233">
        <v>41.524000000000001</v>
      </c>
      <c r="F5" s="107">
        <f>VLOOKUP(B5,[2]Hoja1!$C$2:$E$279,3,FALSE)</f>
        <v>11506.13</v>
      </c>
      <c r="G5" s="96">
        <f>F5*D5</f>
        <v>589.67674508450398</v>
      </c>
      <c r="H5" s="107">
        <v>15000</v>
      </c>
      <c r="I5" s="96">
        <f>H5*D5</f>
        <v>768.73381200000006</v>
      </c>
      <c r="J5" s="250">
        <f>((F5/H5)*100)-100</f>
        <v>-23.29246666666667</v>
      </c>
      <c r="K5" s="259">
        <f>$K$4*E5%</f>
        <v>5.12489208E-2</v>
      </c>
      <c r="L5" s="259">
        <f>$L$4*E5%</f>
        <v>206.99714</v>
      </c>
      <c r="M5" s="1218">
        <f>L5*F5</f>
        <v>2381736.0024681999</v>
      </c>
    </row>
    <row r="6" spans="2:13" ht="15" x14ac:dyDescent="0.25">
      <c r="B6" s="154">
        <f>VLOOKUP(C6,[1]Hoja1!$B$2:$C$260,2,FALSE)</f>
        <v>1141001</v>
      </c>
      <c r="C6" s="154" t="s">
        <v>908</v>
      </c>
      <c r="D6" s="143">
        <v>4.9516103999999997E-3</v>
      </c>
      <c r="E6" s="233">
        <v>4.0119999999999996</v>
      </c>
      <c r="F6" s="107">
        <f>VLOOKUP(B6,[2]Hoja1!$C$2:$E$279,3,FALSE)</f>
        <v>15597.29</v>
      </c>
      <c r="G6" s="96">
        <f t="shared" ref="G6:G17" si="0">F6*D6</f>
        <v>77.231703375815997</v>
      </c>
      <c r="H6" s="1529">
        <v>15999.99</v>
      </c>
      <c r="I6" s="96">
        <f t="shared" ref="I6:I17" si="1">H6*D6</f>
        <v>79.225716883895998</v>
      </c>
      <c r="J6" s="250">
        <f t="shared" ref="J6:J17" si="2">((F6/H6)*100)-100</f>
        <v>-2.5168765730478526</v>
      </c>
      <c r="K6" s="259">
        <f>$K$4*E6%</f>
        <v>4.9516103999999997E-3</v>
      </c>
      <c r="L6" s="259">
        <f t="shared" ref="L6:L17" si="3">$L$4*E6%</f>
        <v>19.99982</v>
      </c>
      <c r="M6" s="1217">
        <f t="shared" ref="M6:M17" si="4">L6*F6</f>
        <v>311942.99248780002</v>
      </c>
    </row>
    <row r="7" spans="2:13" x14ac:dyDescent="0.25">
      <c r="B7" s="154">
        <f>VLOOKUP(C7,[1]Hoja1!$B$2:$C$260,2,FALSE)</f>
        <v>1131002</v>
      </c>
      <c r="C7" s="154" t="s">
        <v>663</v>
      </c>
      <c r="D7" s="143">
        <v>2.4758051999999999E-2</v>
      </c>
      <c r="E7" s="233">
        <v>20.059999999999999</v>
      </c>
      <c r="F7" s="107">
        <f>VLOOKUP(B7,[2]Hoja1!$C$2:$E$279,3,FALSE)</f>
        <v>0</v>
      </c>
      <c r="G7" s="96">
        <f t="shared" si="0"/>
        <v>0</v>
      </c>
      <c r="H7" s="1584">
        <v>0</v>
      </c>
      <c r="I7" s="96">
        <f t="shared" si="1"/>
        <v>0</v>
      </c>
      <c r="J7" s="250" t="e">
        <f t="shared" si="2"/>
        <v>#DIV/0!</v>
      </c>
      <c r="K7" s="259">
        <f t="shared" ref="K7:K17" si="5">$K$4*E7%</f>
        <v>2.4758051999999999E-2</v>
      </c>
      <c r="L7" s="259">
        <f t="shared" si="3"/>
        <v>99.999099999999999</v>
      </c>
      <c r="M7" s="1217">
        <f t="shared" si="4"/>
        <v>0</v>
      </c>
    </row>
    <row r="8" spans="2:13" x14ac:dyDescent="0.25">
      <c r="B8" s="154">
        <f>VLOOKUP(C8,[1]Hoja1!$B$2:$C$260,2,FALSE)</f>
        <v>1230006</v>
      </c>
      <c r="C8" s="154" t="s">
        <v>1153</v>
      </c>
      <c r="D8" s="143">
        <v>2.3523852000000003E-3</v>
      </c>
      <c r="E8" s="233">
        <v>1.9059999999999999</v>
      </c>
      <c r="F8" s="107">
        <f>VLOOKUP(B8,[2]Hoja1!$C$2:$E$279,3,FALSE)</f>
        <v>44693.38</v>
      </c>
      <c r="G8" s="96">
        <f t="shared" si="0"/>
        <v>105.13604564997601</v>
      </c>
      <c r="H8" s="107">
        <v>42594.15</v>
      </c>
      <c r="I8" s="96">
        <f t="shared" si="1"/>
        <v>100.19784806658002</v>
      </c>
      <c r="J8" s="250">
        <f t="shared" si="2"/>
        <v>4.9284467467950179</v>
      </c>
      <c r="K8" s="259">
        <f t="shared" si="5"/>
        <v>2.3523852000000003E-3</v>
      </c>
      <c r="L8" s="259">
        <f t="shared" si="3"/>
        <v>9.5014099999999999</v>
      </c>
      <c r="M8" s="1217">
        <f t="shared" si="4"/>
        <v>424650.12766579998</v>
      </c>
    </row>
    <row r="9" spans="2:13" x14ac:dyDescent="0.25">
      <c r="B9" s="154">
        <f>VLOOKUP(C9,[1]Hoja1!$B$2:$C$260,2,FALSE)</f>
        <v>1210006</v>
      </c>
      <c r="C9" s="154" t="s">
        <v>1130</v>
      </c>
      <c r="D9" s="143">
        <v>1.7945267999999999E-3</v>
      </c>
      <c r="E9" s="233">
        <v>1.454</v>
      </c>
      <c r="F9" s="107">
        <f>VLOOKUP(B9,[2]Hoja1!$C$2:$E$279,3,FALSE)</f>
        <v>8904.4500000000007</v>
      </c>
      <c r="G9" s="96">
        <f t="shared" si="0"/>
        <v>15.97927416426</v>
      </c>
      <c r="H9" s="880">
        <v>8910.1</v>
      </c>
      <c r="I9" s="96">
        <f t="shared" si="1"/>
        <v>15.989413240679999</v>
      </c>
      <c r="J9" s="250">
        <f t="shared" si="2"/>
        <v>-6.3411185059649711E-2</v>
      </c>
      <c r="K9" s="259">
        <f t="shared" si="5"/>
        <v>1.7945267999999999E-3</v>
      </c>
      <c r="L9" s="259">
        <f t="shared" si="3"/>
        <v>7.2481899999999992</v>
      </c>
      <c r="M9" s="1217">
        <f t="shared" si="4"/>
        <v>64541.145445499998</v>
      </c>
    </row>
    <row r="10" spans="2:13" x14ac:dyDescent="0.25">
      <c r="B10" s="154">
        <f>VLOOKUP(C10,[1]Hoja1!$B$2:$C$260,2,FALSE)</f>
        <v>1210004</v>
      </c>
      <c r="C10" s="154" t="s">
        <v>1131</v>
      </c>
      <c r="D10" s="143">
        <v>1.04907E-4</v>
      </c>
      <c r="E10" s="233">
        <v>8.5000000000000006E-2</v>
      </c>
      <c r="F10" s="107">
        <f>VLOOKUP(B10,[2]Hoja1!$C$2:$E$279,3,FALSE)</f>
        <v>3841</v>
      </c>
      <c r="G10" s="96">
        <f t="shared" si="0"/>
        <v>0.402947787</v>
      </c>
      <c r="H10" s="95">
        <v>3508.01</v>
      </c>
      <c r="I10" s="96">
        <f t="shared" si="1"/>
        <v>0.36801480507000006</v>
      </c>
      <c r="J10" s="250">
        <f t="shared" si="2"/>
        <v>9.4922762477871885</v>
      </c>
      <c r="K10" s="259">
        <f t="shared" si="5"/>
        <v>1.04907E-4</v>
      </c>
      <c r="L10" s="259">
        <f t="shared" si="3"/>
        <v>0.42372500000000002</v>
      </c>
      <c r="M10" s="1217">
        <f t="shared" si="4"/>
        <v>1627.5277250000001</v>
      </c>
    </row>
    <row r="11" spans="2:13" x14ac:dyDescent="0.25">
      <c r="B11" s="154">
        <f>VLOOKUP(C11,[1]Hoja1!$B$2:$C$260,2,FALSE)</f>
        <v>121007</v>
      </c>
      <c r="C11" s="154" t="s">
        <v>821</v>
      </c>
      <c r="D11" s="143">
        <v>4.9491420000000012E-4</v>
      </c>
      <c r="E11" s="1167">
        <v>0.40100000000000002</v>
      </c>
      <c r="F11" s="107">
        <f>VLOOKUP(B11,[2]Hoja1!$C$2:$E$279,3,FALSE)</f>
        <v>16905</v>
      </c>
      <c r="G11" s="96">
        <f t="shared" si="0"/>
        <v>8.3665245510000013</v>
      </c>
      <c r="H11" s="1585">
        <v>16100</v>
      </c>
      <c r="I11" s="96">
        <f t="shared" si="1"/>
        <v>7.968118620000002</v>
      </c>
      <c r="J11" s="250">
        <f t="shared" si="2"/>
        <v>5</v>
      </c>
      <c r="K11" s="259">
        <f t="shared" si="5"/>
        <v>4.9491420000000012E-4</v>
      </c>
      <c r="L11" s="259">
        <f t="shared" si="3"/>
        <v>1.9989850000000002</v>
      </c>
      <c r="M11" s="1217">
        <f t="shared" si="4"/>
        <v>33792.841425000006</v>
      </c>
    </row>
    <row r="12" spans="2:13" x14ac:dyDescent="0.25">
      <c r="B12" s="154">
        <f>VLOOKUP(C12,[1]Hoja1!$B$2:$C$260,2,FALSE)</f>
        <v>1250003</v>
      </c>
      <c r="C12" s="154" t="s">
        <v>914</v>
      </c>
      <c r="D12" s="143">
        <v>8.1457200000000003E-5</v>
      </c>
      <c r="E12" s="233">
        <v>6.6000000000000003E-2</v>
      </c>
      <c r="F12" s="107">
        <f>VLOOKUP(B12,[2]Hoja1!$C$2:$E$279,3,FALSE)</f>
        <v>50952.79</v>
      </c>
      <c r="G12" s="96">
        <f t="shared" si="0"/>
        <v>4.1504716055880007</v>
      </c>
      <c r="H12" s="914">
        <v>47385.41</v>
      </c>
      <c r="I12" s="96">
        <f t="shared" si="1"/>
        <v>3.8598828194520003</v>
      </c>
      <c r="J12" s="250">
        <f t="shared" si="2"/>
        <v>7.5284354403602123</v>
      </c>
      <c r="K12" s="259">
        <f t="shared" si="5"/>
        <v>8.1457200000000003E-5</v>
      </c>
      <c r="L12" s="259">
        <f t="shared" si="3"/>
        <v>0.32901000000000002</v>
      </c>
      <c r="M12" s="1217">
        <f t="shared" si="4"/>
        <v>16763.977437900001</v>
      </c>
    </row>
    <row r="13" spans="2:13" x14ac:dyDescent="0.25">
      <c r="B13" s="154">
        <f>VLOOKUP(C13,[1]Hoja1!$B$2:$C$260,2,FALSE)</f>
        <v>1250002</v>
      </c>
      <c r="C13" s="154" t="s">
        <v>1151</v>
      </c>
      <c r="D13" s="143">
        <v>2.1104820000000002E-4</v>
      </c>
      <c r="E13" s="233">
        <v>0.17100000000000001</v>
      </c>
      <c r="F13" s="107">
        <f>VLOOKUP(B13,[2]Hoja1!$C$2:$E$279,3,FALSE)</f>
        <v>44120.54</v>
      </c>
      <c r="G13" s="96">
        <f t="shared" si="0"/>
        <v>9.3115605500280001</v>
      </c>
      <c r="H13" s="880">
        <v>43034</v>
      </c>
      <c r="I13" s="96">
        <f t="shared" si="1"/>
        <v>9.0822482388000001</v>
      </c>
      <c r="J13" s="250">
        <f t="shared" si="2"/>
        <v>2.5248408235348734</v>
      </c>
      <c r="K13" s="259">
        <f t="shared" si="5"/>
        <v>2.1104820000000002E-4</v>
      </c>
      <c r="L13" s="259">
        <f t="shared" si="3"/>
        <v>0.85243500000000005</v>
      </c>
      <c r="M13" s="1217">
        <f t="shared" si="4"/>
        <v>37609.892514900006</v>
      </c>
    </row>
    <row r="14" spans="2:13" x14ac:dyDescent="0.25">
      <c r="B14" s="154">
        <f>VLOOKUP(C14,[1]Hoja1!$B$2:$C$260,2,FALSE)</f>
        <v>1260009</v>
      </c>
      <c r="C14" s="154" t="s">
        <v>1027</v>
      </c>
      <c r="D14" s="143">
        <v>4.0852019999999996E-3</v>
      </c>
      <c r="E14" s="233">
        <v>3.31</v>
      </c>
      <c r="F14" s="107">
        <f>VLOOKUP(B14,[2]Hoja1!$C$2:$E$279,3,FALSE)</f>
        <v>7033.69</v>
      </c>
      <c r="G14" s="96">
        <f t="shared" si="0"/>
        <v>28.734044455379994</v>
      </c>
      <c r="H14" s="1584">
        <v>9565.2099999999991</v>
      </c>
      <c r="I14" s="96">
        <f t="shared" si="1"/>
        <v>39.075815022419995</v>
      </c>
      <c r="J14" s="250">
        <f t="shared" si="2"/>
        <v>-26.465911360022403</v>
      </c>
      <c r="K14" s="259">
        <f t="shared" si="5"/>
        <v>4.0852019999999996E-3</v>
      </c>
      <c r="L14" s="259">
        <f t="shared" si="3"/>
        <v>16.500349999999997</v>
      </c>
      <c r="M14" s="1217">
        <f t="shared" si="4"/>
        <v>116058.34679149998</v>
      </c>
    </row>
    <row r="15" spans="2:13" ht="14.25" x14ac:dyDescent="0.25">
      <c r="B15" s="154">
        <f>VLOOKUP(C15,[1]Hoja1!$B$2:$C$260,2,FALSE)</f>
        <v>1121009</v>
      </c>
      <c r="C15" s="154" t="s">
        <v>1272</v>
      </c>
      <c r="D15" s="143">
        <v>2.97096624E-2</v>
      </c>
      <c r="E15" s="233">
        <v>24.071999999999999</v>
      </c>
      <c r="F15" s="107">
        <f>VLOOKUP(B15,[2]Hoja1!$C$2:$E$279,3,FALSE)</f>
        <v>8741.6200000000008</v>
      </c>
      <c r="G15" s="96">
        <f t="shared" si="0"/>
        <v>259.71057902908802</v>
      </c>
      <c r="H15" s="914">
        <v>8754.2800000000007</v>
      </c>
      <c r="I15" s="96">
        <f t="shared" si="1"/>
        <v>260.08670335507202</v>
      </c>
      <c r="J15" s="250">
        <f t="shared" si="2"/>
        <v>-0.14461497690273006</v>
      </c>
      <c r="K15" s="259">
        <f t="shared" si="5"/>
        <v>2.97096624E-2</v>
      </c>
      <c r="L15" s="259">
        <f t="shared" si="3"/>
        <v>119.99892</v>
      </c>
      <c r="M15" s="1218">
        <f t="shared" si="4"/>
        <v>1048984.9590504002</v>
      </c>
    </row>
    <row r="16" spans="2:13" x14ac:dyDescent="0.25">
      <c r="B16" s="154">
        <f>VLOOKUP(C16,[1]Hoja1!$B$2:$C$260,2,FALSE)</f>
        <v>1250005</v>
      </c>
      <c r="C16" s="154" t="s">
        <v>1152</v>
      </c>
      <c r="D16" s="143">
        <v>1.6044599999999999E-4</v>
      </c>
      <c r="E16" s="233">
        <v>0.13</v>
      </c>
      <c r="F16" s="107">
        <f>VLOOKUP(B16,[2]Hoja1!$C$2:$E$279,3,FALSE)</f>
        <v>66921.05</v>
      </c>
      <c r="G16" s="96">
        <f t="shared" si="0"/>
        <v>10.737214788299999</v>
      </c>
      <c r="H16" s="95">
        <v>62991.09</v>
      </c>
      <c r="I16" s="96">
        <f t="shared" si="1"/>
        <v>10.106668426139999</v>
      </c>
      <c r="J16" s="250">
        <f t="shared" si="2"/>
        <v>6.2389141067411344</v>
      </c>
      <c r="K16" s="259">
        <f t="shared" si="5"/>
        <v>1.6044599999999999E-4</v>
      </c>
      <c r="L16" s="259">
        <f t="shared" si="3"/>
        <v>0.64805000000000001</v>
      </c>
      <c r="M16" s="1217">
        <f t="shared" si="4"/>
        <v>43368.186452500006</v>
      </c>
    </row>
    <row r="17" spans="2:13" x14ac:dyDescent="0.25">
      <c r="B17" s="154">
        <f>VLOOKUP(C17,[1]Hoja1!$B$2:$C$260,2,FALSE)</f>
        <v>1260017</v>
      </c>
      <c r="C17" s="154" t="s">
        <v>832</v>
      </c>
      <c r="D17" s="143">
        <v>3.4656335999999999E-3</v>
      </c>
      <c r="E17" s="233">
        <v>2.8079999999999998</v>
      </c>
      <c r="F17" s="107">
        <f>VLOOKUP(B17,[2]Hoja1!$C$2:$E$279,3,FALSE)</f>
        <v>4500</v>
      </c>
      <c r="G17" s="96">
        <f t="shared" si="0"/>
        <v>15.5953512</v>
      </c>
      <c r="H17" s="1584">
        <v>4500</v>
      </c>
      <c r="I17" s="96">
        <f t="shared" si="1"/>
        <v>15.5953512</v>
      </c>
      <c r="J17" s="250">
        <f t="shared" si="2"/>
        <v>0</v>
      </c>
      <c r="K17" s="259">
        <f t="shared" si="5"/>
        <v>3.4656335999999999E-3</v>
      </c>
      <c r="L17" s="259">
        <f t="shared" si="3"/>
        <v>13.997879999999999</v>
      </c>
      <c r="M17" s="1217">
        <f t="shared" si="4"/>
        <v>62990.459999999992</v>
      </c>
    </row>
    <row r="18" spans="2:13" hidden="1" x14ac:dyDescent="0.25">
      <c r="B18" s="154"/>
      <c r="C18" s="154"/>
      <c r="D18" s="143"/>
      <c r="E18" s="154"/>
      <c r="F18" s="107" t="e">
        <f>VLOOKUP(B18,[2]Hoja1!$C$2:$E$279,3,FALSE)</f>
        <v>#N/A</v>
      </c>
      <c r="G18" s="154"/>
      <c r="H18" s="95"/>
      <c r="I18" s="96">
        <f>H18*D18</f>
        <v>0</v>
      </c>
      <c r="J18" s="250"/>
      <c r="L18" s="1160">
        <f>$L$4+E18</f>
        <v>498.5</v>
      </c>
    </row>
    <row r="19" spans="2:13" s="146" customFormat="1" x14ac:dyDescent="0.25">
      <c r="B19" s="1764" t="s">
        <v>37</v>
      </c>
      <c r="C19" s="1764"/>
      <c r="D19" s="1278">
        <f>SUM(D5:D17)</f>
        <v>0.1234187658</v>
      </c>
      <c r="E19" s="1279">
        <f>SUM(E5:E17)</f>
        <v>99.998999999999995</v>
      </c>
      <c r="F19" s="1281"/>
      <c r="G19" s="1281">
        <f>SUM(G5:G17)</f>
        <v>1125.03246224094</v>
      </c>
      <c r="H19" s="1281"/>
      <c r="I19" s="1281">
        <f>SUM(I5:I17)</f>
        <v>1310.2895926781102</v>
      </c>
      <c r="J19" s="1282">
        <f>((G19/I19)*100)-100</f>
        <v>-14.138640150420628</v>
      </c>
      <c r="K19" s="1327"/>
      <c r="L19" s="1327">
        <f>SUM(L5:L17)</f>
        <v>498.49501500000008</v>
      </c>
      <c r="M19" s="1327">
        <f>SUM(M5:M17)</f>
        <v>4544066.4594644997</v>
      </c>
    </row>
    <row r="21" spans="2:13" ht="25.5" x14ac:dyDescent="0.25">
      <c r="B21" s="1765" t="s">
        <v>50</v>
      </c>
      <c r="C21" s="1766"/>
      <c r="D21" s="38">
        <f>+C24+(C24*C30%)</f>
        <v>123.42</v>
      </c>
      <c r="E21" s="159"/>
      <c r="F21" s="159"/>
      <c r="G21" s="159"/>
      <c r="H21" s="159"/>
      <c r="I21" s="159"/>
      <c r="J21" s="130"/>
    </row>
    <row r="22" spans="2:13" x14ac:dyDescent="0.25">
      <c r="B22" s="1284" t="s">
        <v>38</v>
      </c>
      <c r="C22" s="161" t="s">
        <v>313</v>
      </c>
      <c r="D22" s="38"/>
      <c r="H22" s="146"/>
    </row>
    <row r="23" spans="2:13" x14ac:dyDescent="0.25">
      <c r="B23" s="1285" t="s">
        <v>39</v>
      </c>
      <c r="C23" s="163" t="s">
        <v>186</v>
      </c>
      <c r="H23" s="146"/>
    </row>
    <row r="24" spans="2:13" x14ac:dyDescent="0.25">
      <c r="B24" s="1285" t="s">
        <v>40</v>
      </c>
      <c r="C24" s="163">
        <v>110</v>
      </c>
    </row>
    <row r="25" spans="2:13" x14ac:dyDescent="0.25">
      <c r="B25" s="1285" t="s">
        <v>41</v>
      </c>
      <c r="C25" s="163">
        <v>0</v>
      </c>
      <c r="H25" s="146"/>
    </row>
    <row r="26" spans="2:13" x14ac:dyDescent="0.25">
      <c r="B26" s="1285" t="s">
        <v>42</v>
      </c>
      <c r="C26" s="163">
        <v>6</v>
      </c>
      <c r="H26" s="146"/>
    </row>
    <row r="27" spans="2:13" x14ac:dyDescent="0.25">
      <c r="B27" s="1285" t="s">
        <v>43</v>
      </c>
      <c r="C27" s="163">
        <v>1</v>
      </c>
      <c r="H27" s="146"/>
    </row>
    <row r="28" spans="2:13" x14ac:dyDescent="0.25">
      <c r="B28" s="1285" t="s">
        <v>44</v>
      </c>
      <c r="C28" s="163">
        <v>1</v>
      </c>
      <c r="H28" s="146"/>
    </row>
    <row r="29" spans="2:13" x14ac:dyDescent="0.25">
      <c r="B29" s="1285" t="s">
        <v>45</v>
      </c>
      <c r="C29" s="163">
        <v>4.2</v>
      </c>
      <c r="H29" s="146"/>
    </row>
    <row r="30" spans="2:13" x14ac:dyDescent="0.25">
      <c r="B30" s="1285" t="s">
        <v>46</v>
      </c>
      <c r="C30" s="163">
        <f>C29+C28+C27+C26</f>
        <v>12.2</v>
      </c>
      <c r="H30" s="146"/>
    </row>
    <row r="31" spans="2:13" x14ac:dyDescent="0.25">
      <c r="E31" s="120">
        <f>0.0608*2</f>
        <v>0.1216</v>
      </c>
      <c r="H31" s="159"/>
      <c r="I31" s="159"/>
    </row>
    <row r="32" spans="2:13" ht="25.5" x14ac:dyDescent="0.25">
      <c r="B32" s="1767" t="s">
        <v>47</v>
      </c>
      <c r="C32" s="1768"/>
      <c r="D32" s="1768"/>
      <c r="E32" s="1768"/>
      <c r="F32" s="1768"/>
      <c r="G32" s="1768"/>
      <c r="H32" s="1768"/>
      <c r="I32" s="1768"/>
    </row>
    <row r="33" spans="1:11" ht="25.5" x14ac:dyDescent="0.25">
      <c r="B33" s="1266" t="s">
        <v>0</v>
      </c>
      <c r="C33" s="1266" t="s">
        <v>1</v>
      </c>
      <c r="D33" s="1286" t="s">
        <v>2</v>
      </c>
      <c r="E33" s="1243" t="str">
        <f>+'CIF Y PV'!$F$4</f>
        <v xml:space="preserve">JUN-COP/UMB </v>
      </c>
      <c r="F33" s="1243" t="str">
        <f>+'CIF Y PV'!$G$4</f>
        <v>JUN-COP/APP</v>
      </c>
      <c r="G33" s="1243" t="str">
        <f>+'CIF Y PV'!$H$4</f>
        <v xml:space="preserve">MAY-COP/UMB </v>
      </c>
      <c r="H33" s="1243" t="str">
        <f>+'CIF Y PV'!$I$4</f>
        <v>MAY-COP/APP</v>
      </c>
      <c r="I33" s="1326" t="s">
        <v>3</v>
      </c>
      <c r="J33" s="146">
        <v>13522</v>
      </c>
    </row>
    <row r="34" spans="1:11" x14ac:dyDescent="0.25">
      <c r="B34" s="165">
        <f>VLOOKUP(C34,[1]Hoja1!$B$2:$C$260,2,FALSE)</f>
        <v>1370009</v>
      </c>
      <c r="C34" s="165" t="s">
        <v>1154</v>
      </c>
      <c r="D34" s="166">
        <v>0.3</v>
      </c>
      <c r="E34" s="107">
        <f>VLOOKUP(B34,[2]Hoja1!$C$2:$E$279,3,FALSE)</f>
        <v>487.07</v>
      </c>
      <c r="F34" s="167">
        <f>E34*D34</f>
        <v>146.12099999999998</v>
      </c>
      <c r="G34" s="167">
        <v>504.87</v>
      </c>
      <c r="H34" s="167">
        <f>G34*D34</f>
        <v>151.46099999999998</v>
      </c>
      <c r="I34" s="270">
        <f>((E34/G34)*100)-100</f>
        <v>-3.5256600709093391</v>
      </c>
      <c r="J34" s="146">
        <f>J33*D34</f>
        <v>4056.6</v>
      </c>
    </row>
    <row r="35" spans="1:11" x14ac:dyDescent="0.25">
      <c r="B35" s="1649">
        <v>1320010</v>
      </c>
      <c r="C35" s="1646" t="s">
        <v>1284</v>
      </c>
      <c r="D35" s="166">
        <v>3.7999999999999999E-2</v>
      </c>
      <c r="E35" s="107">
        <f>VLOOKUP(B35,[2]Hoja1!$C$2:$E$279,3,FALSE)</f>
        <v>741.22</v>
      </c>
      <c r="F35" s="167">
        <f>E35*D35</f>
        <v>28.166360000000001</v>
      </c>
      <c r="G35" s="24">
        <v>828.94</v>
      </c>
      <c r="H35" s="167">
        <f>G35*D35</f>
        <v>31.49972</v>
      </c>
      <c r="I35" s="270">
        <f>((E35/G35)*100)-100</f>
        <v>-10.582189302000145</v>
      </c>
      <c r="J35" s="146">
        <f>J33*D35</f>
        <v>513.83600000000001</v>
      </c>
    </row>
    <row r="36" spans="1:11" x14ac:dyDescent="0.25">
      <c r="B36" s="165">
        <f>VLOOKUP(C36,[1]Hoja1!$B$2:$C$260,2,FALSE)</f>
        <v>1310018</v>
      </c>
      <c r="C36" s="165" t="s">
        <v>890</v>
      </c>
      <c r="D36" s="166">
        <v>3.7999999999999999E-2</v>
      </c>
      <c r="E36" s="107">
        <f>VLOOKUP(B36,[2]Hoja1!$C$2:$E$279,3,FALSE)</f>
        <v>478.26</v>
      </c>
      <c r="F36" s="167">
        <f>E36*D36</f>
        <v>18.17388</v>
      </c>
      <c r="G36" s="24">
        <v>503.51</v>
      </c>
      <c r="H36" s="167">
        <f>G36*D36</f>
        <v>19.133379999999999</v>
      </c>
      <c r="I36" s="270"/>
    </row>
    <row r="37" spans="1:11" x14ac:dyDescent="0.25">
      <c r="B37" s="165">
        <f>VLOOKUP(C37,[1]Hoja1!$B$2:$C$260,2,FALSE)</f>
        <v>1330081</v>
      </c>
      <c r="C37" s="246" t="s">
        <v>1129</v>
      </c>
      <c r="D37" s="166">
        <v>1</v>
      </c>
      <c r="E37" s="107">
        <f>VLOOKUP(B37,[2]Hoja1!$C$2:$E$279,3,FALSE)</f>
        <v>137.25</v>
      </c>
      <c r="F37" s="167">
        <f>E37*D37</f>
        <v>137.25</v>
      </c>
      <c r="G37" s="167">
        <v>120</v>
      </c>
      <c r="H37" s="167">
        <f>G37*D37</f>
        <v>120</v>
      </c>
      <c r="I37" s="270">
        <f>((E37/G37)*100)-100</f>
        <v>14.375</v>
      </c>
      <c r="J37" s="146">
        <f>J33*D37</f>
        <v>13522</v>
      </c>
    </row>
    <row r="38" spans="1:11" x14ac:dyDescent="0.25">
      <c r="B38" s="1266"/>
      <c r="C38" s="1266" t="s">
        <v>37</v>
      </c>
      <c r="D38" s="1286"/>
      <c r="E38" s="1267"/>
      <c r="F38" s="1267">
        <f>SUM(F34:F37)</f>
        <v>329.71123999999998</v>
      </c>
      <c r="G38" s="1267"/>
      <c r="H38" s="1267">
        <f>SUM(H34:H37)</f>
        <v>322.09409999999997</v>
      </c>
      <c r="I38" s="1287">
        <f>((F38/H38)*100)-100</f>
        <v>2.3648803253459221</v>
      </c>
    </row>
    <row r="39" spans="1:11" x14ac:dyDescent="0.25">
      <c r="H39" s="1" t="str">
        <f>+'CIF Y PV'!$G$1</f>
        <v>MAYO</v>
      </c>
      <c r="I39" s="775"/>
      <c r="K39" s="775"/>
    </row>
    <row r="40" spans="1:11" x14ac:dyDescent="0.25">
      <c r="B40" s="1735" t="s">
        <v>945</v>
      </c>
      <c r="C40" s="1735"/>
      <c r="E40" s="884"/>
      <c r="F40" s="884"/>
      <c r="G40" s="884"/>
      <c r="H40" s="95">
        <f>F38+G19</f>
        <v>1454.7437022409399</v>
      </c>
      <c r="I40" s="173"/>
      <c r="J40" s="884"/>
      <c r="K40" s="936"/>
    </row>
    <row r="41" spans="1:11" x14ac:dyDescent="0.25">
      <c r="B41" s="1736" t="s">
        <v>48</v>
      </c>
      <c r="C41" s="1737"/>
      <c r="E41" s="884"/>
      <c r="F41" s="884"/>
      <c r="G41" s="884"/>
      <c r="H41" s="95">
        <f>+('CIF Y PV'!C3/1000)*110</f>
        <v>207.89999999999998</v>
      </c>
      <c r="I41" s="176"/>
      <c r="J41" s="884"/>
    </row>
    <row r="42" spans="1:11" x14ac:dyDescent="0.25">
      <c r="B42" s="1736" t="s">
        <v>318</v>
      </c>
      <c r="C42" s="1737"/>
      <c r="E42" s="884"/>
      <c r="F42" s="884"/>
      <c r="G42" s="884"/>
      <c r="H42" s="95">
        <f>H40+H41</f>
        <v>1662.64370224094</v>
      </c>
      <c r="I42" s="177"/>
      <c r="J42" s="884"/>
      <c r="K42" s="177"/>
    </row>
    <row r="43" spans="1:11" x14ac:dyDescent="0.2">
      <c r="A43" s="1775" t="s">
        <v>1119</v>
      </c>
      <c r="B43" s="1735" t="s">
        <v>49</v>
      </c>
      <c r="C43" s="1735"/>
      <c r="E43" s="884"/>
      <c r="F43" s="884"/>
      <c r="G43" s="884"/>
      <c r="H43" s="95">
        <f>'CIF Y PV'!C10</f>
        <v>2862.8850000000002</v>
      </c>
      <c r="J43" s="929"/>
      <c r="K43" s="300"/>
    </row>
    <row r="44" spans="1:11" ht="14.45" customHeight="1" x14ac:dyDescent="0.2">
      <c r="A44" s="1775"/>
      <c r="B44" s="1735" t="s">
        <v>805</v>
      </c>
      <c r="C44" s="1735"/>
      <c r="E44" s="884"/>
      <c r="F44" s="884"/>
      <c r="G44" s="884"/>
      <c r="H44" s="928">
        <f>+(H43-H42)/H43</f>
        <v>0.41924188284163005</v>
      </c>
      <c r="I44" s="935"/>
      <c r="J44" s="934"/>
      <c r="K44" s="935"/>
    </row>
    <row r="45" spans="1:11" x14ac:dyDescent="0.25">
      <c r="A45" s="1775"/>
      <c r="H45" s="934"/>
      <c r="I45" s="890"/>
      <c r="J45" s="934"/>
      <c r="K45" s="207"/>
    </row>
    <row r="46" spans="1:11" x14ac:dyDescent="0.25">
      <c r="A46" s="1775"/>
      <c r="H46" s="934"/>
      <c r="I46" s="890"/>
      <c r="J46" s="934"/>
      <c r="K46" s="207"/>
    </row>
  </sheetData>
  <mergeCells count="10">
    <mergeCell ref="A43:A46"/>
    <mergeCell ref="B44:C44"/>
    <mergeCell ref="B41:C41"/>
    <mergeCell ref="B42:C42"/>
    <mergeCell ref="B43:C43"/>
    <mergeCell ref="B2:J2"/>
    <mergeCell ref="B19:C19"/>
    <mergeCell ref="B21:C21"/>
    <mergeCell ref="B32:I32"/>
    <mergeCell ref="B40:C40"/>
  </mergeCells>
  <pageMargins left="0.7" right="0.7" top="0.75" bottom="0.75" header="0.3" footer="0.3"/>
  <pageSetup scale="3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8B44-B245-4AA7-8B5E-B9EEA6DDDF9B}">
  <sheetPr codeName="Hoja8"/>
  <dimension ref="B2:L46"/>
  <sheetViews>
    <sheetView view="pageBreakPreview" zoomScaleNormal="100" zoomScaleSheetLayoutView="100" workbookViewId="0">
      <selection activeCell="F17" sqref="F17"/>
    </sheetView>
  </sheetViews>
  <sheetFormatPr baseColWidth="10" defaultColWidth="11.5703125" defaultRowHeight="13.5" x14ac:dyDescent="0.25"/>
  <cols>
    <col min="1" max="1" width="13.28515625" style="120" customWidth="1"/>
    <col min="2" max="2" width="11.5703125" style="120"/>
    <col min="3" max="3" width="67.42578125" style="120" bestFit="1" customWidth="1"/>
    <col min="4" max="4" width="11.5703125" style="119"/>
    <col min="5" max="5" width="11.5703125" style="120"/>
    <col min="6" max="6" width="13.140625" style="120" customWidth="1"/>
    <col min="7" max="7" width="11.5703125" style="120" customWidth="1"/>
    <col min="8" max="8" width="12.5703125" style="120" bestFit="1" customWidth="1"/>
    <col min="9" max="9" width="14.42578125" style="120" bestFit="1" customWidth="1"/>
    <col min="10" max="10" width="12.5703125" style="120" bestFit="1" customWidth="1"/>
    <col min="11" max="16384" width="11.5703125" style="120"/>
  </cols>
  <sheetData>
    <row r="2" spans="2:12" ht="25.5" x14ac:dyDescent="0.25">
      <c r="B2" s="1743" t="s">
        <v>1107</v>
      </c>
      <c r="C2" s="1743"/>
      <c r="D2" s="1743"/>
      <c r="E2" s="1743"/>
      <c r="F2" s="1743"/>
      <c r="G2" s="1743"/>
      <c r="H2" s="1743"/>
      <c r="I2" s="1743"/>
    </row>
    <row r="4" spans="2:12" ht="25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21" t="s">
        <v>3</v>
      </c>
      <c r="K4" s="1272">
        <f>+D21/1000</f>
        <v>0.24221999999999999</v>
      </c>
    </row>
    <row r="5" spans="2:12" x14ac:dyDescent="0.25">
      <c r="B5" s="165">
        <f>VLOOKUP(C5,[1]Hoja1!$B$2:$C$260,2,FALSE)</f>
        <v>2903003</v>
      </c>
      <c r="C5" s="154" t="s">
        <v>1039</v>
      </c>
      <c r="D5" s="166">
        <v>0.10057943279999999</v>
      </c>
      <c r="E5" s="233">
        <v>41.524000000000001</v>
      </c>
      <c r="F5" s="107">
        <f>VLOOKUP(B5,[2]Hoja1!$C$2:$E$279,3,FALSE)</f>
        <v>11506.13</v>
      </c>
      <c r="G5" s="96">
        <f>F5*D5</f>
        <v>1157.2800291230637</v>
      </c>
      <c r="H5" s="38">
        <v>14000</v>
      </c>
      <c r="I5" s="96">
        <f>H5*D5</f>
        <v>1408.1120592</v>
      </c>
      <c r="J5" s="250">
        <f>((F5/H5)*100)-100</f>
        <v>-17.813357142857143</v>
      </c>
      <c r="K5" s="277">
        <f>$K$4*E5%</f>
        <v>0.10057943279999999</v>
      </c>
      <c r="L5" s="178"/>
    </row>
    <row r="6" spans="2:12" ht="15" x14ac:dyDescent="0.25">
      <c r="B6" s="165">
        <f>VLOOKUP(C6,[1]Hoja1!$B$2:$C$260,2,FALSE)</f>
        <v>1141001</v>
      </c>
      <c r="C6" s="154" t="s">
        <v>908</v>
      </c>
      <c r="D6" s="143">
        <v>9.7178663999999988E-3</v>
      </c>
      <c r="E6" s="233">
        <v>4.0119999999999996</v>
      </c>
      <c r="F6" s="107">
        <f>VLOOKUP(B6,[2]Hoja1!$C$2:$E$279,3,FALSE)</f>
        <v>15597.29</v>
      </c>
      <c r="G6" s="96">
        <f t="shared" ref="G6:G18" si="0">F6*D6</f>
        <v>151.572380422056</v>
      </c>
      <c r="H6" s="949">
        <v>15999.99</v>
      </c>
      <c r="I6" s="96">
        <f t="shared" ref="I6:I17" si="1">H6*D6</f>
        <v>155.48576522133598</v>
      </c>
      <c r="J6" s="250">
        <f t="shared" ref="J6:J17" si="2">((F6/H6)*100)-100</f>
        <v>-2.5168765730478526</v>
      </c>
      <c r="K6" s="277">
        <f t="shared" ref="K6:K17" si="3">$K$4*E6%</f>
        <v>9.7178663999999988E-3</v>
      </c>
      <c r="L6" s="178"/>
    </row>
    <row r="7" spans="2:12" x14ac:dyDescent="0.25">
      <c r="B7" s="165">
        <f>VLOOKUP(C7,[1]Hoja1!$B$2:$C$260,2,FALSE)</f>
        <v>1131002</v>
      </c>
      <c r="C7" s="154" t="s">
        <v>663</v>
      </c>
      <c r="D7" s="143">
        <v>4.8589331999999999E-2</v>
      </c>
      <c r="E7" s="233">
        <v>20.059999999999999</v>
      </c>
      <c r="F7" s="107">
        <f>VLOOKUP(B7,[2]Hoja1!$C$2:$E$279,3,FALSE)</f>
        <v>0</v>
      </c>
      <c r="G7" s="96">
        <f t="shared" si="0"/>
        <v>0</v>
      </c>
      <c r="H7" s="96">
        <v>0</v>
      </c>
      <c r="I7" s="96">
        <f t="shared" si="1"/>
        <v>0</v>
      </c>
      <c r="J7" s="250" t="e">
        <f t="shared" si="2"/>
        <v>#DIV/0!</v>
      </c>
      <c r="K7" s="277">
        <f t="shared" si="3"/>
        <v>4.8589331999999999E-2</v>
      </c>
      <c r="L7" s="178"/>
    </row>
    <row r="8" spans="2:12" x14ac:dyDescent="0.25">
      <c r="B8" s="165">
        <f>VLOOKUP(C8,[1]Hoja1!$B$2:$C$260,2,FALSE)</f>
        <v>1230006</v>
      </c>
      <c r="C8" s="154" t="s">
        <v>1153</v>
      </c>
      <c r="D8" s="143">
        <v>4.6167131999999998E-3</v>
      </c>
      <c r="E8" s="233">
        <v>1.9059999999999999</v>
      </c>
      <c r="F8" s="107">
        <f>VLOOKUP(B8,[2]Hoja1!$C$2:$E$279,3,FALSE)</f>
        <v>44693.38</v>
      </c>
      <c r="G8" s="96">
        <f t="shared" si="0"/>
        <v>206.33651739861597</v>
      </c>
      <c r="H8" s="38">
        <v>42594.15</v>
      </c>
      <c r="I8" s="96">
        <f t="shared" si="1"/>
        <v>196.64497454778001</v>
      </c>
      <c r="J8" s="250">
        <f t="shared" si="2"/>
        <v>4.9284467467950179</v>
      </c>
      <c r="K8" s="277">
        <f t="shared" si="3"/>
        <v>4.6167131999999998E-3</v>
      </c>
      <c r="L8" s="178"/>
    </row>
    <row r="9" spans="2:12" x14ac:dyDescent="0.25">
      <c r="B9" s="165">
        <f>VLOOKUP(C9,[1]Hoja1!$B$2:$C$260,2,FALSE)</f>
        <v>1210006</v>
      </c>
      <c r="C9" s="154" t="s">
        <v>1130</v>
      </c>
      <c r="D9" s="143">
        <v>3.5218787999999998E-3</v>
      </c>
      <c r="E9" s="233">
        <v>1.454</v>
      </c>
      <c r="F9" s="107">
        <f>VLOOKUP(B9,[2]Hoja1!$C$2:$E$279,3,FALSE)</f>
        <v>8904.4500000000007</v>
      </c>
      <c r="G9" s="96">
        <f t="shared" si="0"/>
        <v>31.36039368066</v>
      </c>
      <c r="H9" s="880">
        <v>8910.1</v>
      </c>
      <c r="I9" s="96">
        <f t="shared" si="1"/>
        <v>31.38029229588</v>
      </c>
      <c r="J9" s="250">
        <f t="shared" si="2"/>
        <v>-6.3411185059649711E-2</v>
      </c>
      <c r="K9" s="277">
        <f t="shared" si="3"/>
        <v>3.5218787999999998E-3</v>
      </c>
      <c r="L9" s="178"/>
    </row>
    <row r="10" spans="2:12" x14ac:dyDescent="0.25">
      <c r="B10" s="165">
        <f>VLOOKUP(C10,[1]Hoja1!$B$2:$C$260,2,FALSE)</f>
        <v>1210004</v>
      </c>
      <c r="C10" s="154" t="s">
        <v>1131</v>
      </c>
      <c r="D10" s="143">
        <v>2.05887E-4</v>
      </c>
      <c r="E10" s="233">
        <v>8.5000000000000006E-2</v>
      </c>
      <c r="F10" s="107">
        <f>VLOOKUP(B10,[2]Hoja1!$C$2:$E$279,3,FALSE)</f>
        <v>3841</v>
      </c>
      <c r="G10" s="96">
        <f t="shared" si="0"/>
        <v>0.790811967</v>
      </c>
      <c r="H10" s="95">
        <v>3508.01</v>
      </c>
      <c r="I10" s="96">
        <f t="shared" si="1"/>
        <v>0.72225365487000004</v>
      </c>
      <c r="J10" s="250">
        <f t="shared" si="2"/>
        <v>9.4922762477871885</v>
      </c>
      <c r="K10" s="277">
        <f t="shared" si="3"/>
        <v>2.05887E-4</v>
      </c>
      <c r="L10" s="178"/>
    </row>
    <row r="11" spans="2:12" x14ac:dyDescent="0.25">
      <c r="B11" s="165">
        <f>VLOOKUP(C11,[1]Hoja1!$B$2:$C$260,2,FALSE)</f>
        <v>121007</v>
      </c>
      <c r="C11" s="154" t="s">
        <v>821</v>
      </c>
      <c r="D11" s="143">
        <v>9.7130220000000013E-4</v>
      </c>
      <c r="E11" s="233">
        <v>0.40100000000000002</v>
      </c>
      <c r="F11" s="107">
        <f>VLOOKUP(B11,[2]Hoja1!$C$2:$E$279,3,FALSE)</f>
        <v>16905</v>
      </c>
      <c r="G11" s="96">
        <f t="shared" si="0"/>
        <v>16.419863691000003</v>
      </c>
      <c r="H11" s="926">
        <v>16100</v>
      </c>
      <c r="I11" s="96">
        <f t="shared" si="1"/>
        <v>15.637965420000002</v>
      </c>
      <c r="J11" s="250">
        <f>((F11/H11)*100)-100</f>
        <v>5</v>
      </c>
      <c r="K11" s="277">
        <f t="shared" si="3"/>
        <v>9.7130220000000013E-4</v>
      </c>
      <c r="L11" s="178"/>
    </row>
    <row r="12" spans="2:12" x14ac:dyDescent="0.25">
      <c r="B12" s="165">
        <f>VLOOKUP(C12,[1]Hoja1!$B$2:$C$260,2,FALSE)</f>
        <v>1250003</v>
      </c>
      <c r="C12" s="154" t="s">
        <v>914</v>
      </c>
      <c r="D12" s="143">
        <v>1.5986519999999999E-4</v>
      </c>
      <c r="E12" s="233">
        <v>6.6000000000000003E-2</v>
      </c>
      <c r="F12" s="107">
        <f>VLOOKUP(B12,[2]Hoja1!$C$2:$E$279,3,FALSE)</f>
        <v>50952.79</v>
      </c>
      <c r="G12" s="96">
        <f t="shared" si="0"/>
        <v>8.1455779639079999</v>
      </c>
      <c r="H12" s="914">
        <v>47385.41</v>
      </c>
      <c r="I12" s="96">
        <f t="shared" si="1"/>
        <v>7.5752780467320004</v>
      </c>
      <c r="J12" s="250">
        <f t="shared" si="2"/>
        <v>7.5284354403602123</v>
      </c>
      <c r="K12" s="277">
        <f t="shared" si="3"/>
        <v>1.5986519999999999E-4</v>
      </c>
      <c r="L12" s="178"/>
    </row>
    <row r="13" spans="2:12" x14ac:dyDescent="0.25">
      <c r="B13" s="165">
        <f>VLOOKUP(C13,[1]Hoja1!$B$2:$C$260,2,FALSE)</f>
        <v>1250002</v>
      </c>
      <c r="C13" s="154" t="s">
        <v>1151</v>
      </c>
      <c r="D13" s="143">
        <v>4.1419620000000004E-4</v>
      </c>
      <c r="E13" s="233">
        <v>0.17100000000000001</v>
      </c>
      <c r="F13" s="107">
        <f>VLOOKUP(B13,[2]Hoja1!$C$2:$E$279,3,FALSE)</f>
        <v>44120.54</v>
      </c>
      <c r="G13" s="96">
        <f t="shared" si="0"/>
        <v>18.274560009948001</v>
      </c>
      <c r="H13" s="880">
        <v>43034</v>
      </c>
      <c r="I13" s="96">
        <f t="shared" si="1"/>
        <v>17.824519270800003</v>
      </c>
      <c r="J13" s="250">
        <f t="shared" si="2"/>
        <v>2.5248408235348734</v>
      </c>
      <c r="K13" s="277">
        <f t="shared" si="3"/>
        <v>4.1419620000000004E-4</v>
      </c>
      <c r="L13" s="178"/>
    </row>
    <row r="14" spans="2:12" x14ac:dyDescent="0.25">
      <c r="B14" s="165">
        <f>VLOOKUP(C14,[1]Hoja1!$B$2:$C$260,2,FALSE)</f>
        <v>1260009</v>
      </c>
      <c r="C14" s="154" t="s">
        <v>1027</v>
      </c>
      <c r="D14" s="143">
        <v>8.0174819999999994E-3</v>
      </c>
      <c r="E14" s="233">
        <v>3.31</v>
      </c>
      <c r="F14" s="107">
        <f>VLOOKUP(B14,[2]Hoja1!$C$2:$E$279,3,FALSE)</f>
        <v>7033.69</v>
      </c>
      <c r="G14" s="96">
        <f t="shared" si="0"/>
        <v>56.392482968579991</v>
      </c>
      <c r="H14" s="96">
        <v>9565.2099999999991</v>
      </c>
      <c r="I14" s="96">
        <f t="shared" si="1"/>
        <v>76.688899001219994</v>
      </c>
      <c r="J14" s="250">
        <f t="shared" si="2"/>
        <v>-26.465911360022403</v>
      </c>
      <c r="K14" s="277">
        <f t="shared" si="3"/>
        <v>8.0174819999999994E-3</v>
      </c>
      <c r="L14" s="178"/>
    </row>
    <row r="15" spans="2:12" x14ac:dyDescent="0.25">
      <c r="B15" s="165">
        <f>VLOOKUP(C15,[1]Hoja1!$B$2:$C$260,2,FALSE)</f>
        <v>1121009</v>
      </c>
      <c r="C15" s="154" t="s">
        <v>1272</v>
      </c>
      <c r="D15" s="143">
        <v>5.8307198399999996E-2</v>
      </c>
      <c r="E15" s="233">
        <v>24.071999999999999</v>
      </c>
      <c r="F15" s="107">
        <f>VLOOKUP(B15,[2]Hoja1!$C$2:$E$279,3,FALSE)</f>
        <v>8741.6200000000008</v>
      </c>
      <c r="G15" s="96">
        <f t="shared" si="0"/>
        <v>509.69937167740801</v>
      </c>
      <c r="H15" s="914">
        <v>8754.2800000000007</v>
      </c>
      <c r="I15" s="96">
        <f t="shared" si="1"/>
        <v>510.43754080915198</v>
      </c>
      <c r="J15" s="250">
        <f t="shared" si="2"/>
        <v>-0.14461497690273006</v>
      </c>
      <c r="K15" s="277">
        <f t="shared" si="3"/>
        <v>5.8307198399999996E-2</v>
      </c>
      <c r="L15" s="178"/>
    </row>
    <row r="16" spans="2:12" x14ac:dyDescent="0.25">
      <c r="B16" s="165">
        <f>VLOOKUP(C16,[1]Hoja1!$B$2:$C$260,2,FALSE)</f>
        <v>1250005</v>
      </c>
      <c r="C16" s="154" t="s">
        <v>1152</v>
      </c>
      <c r="D16" s="143">
        <v>3.1488599999999995E-4</v>
      </c>
      <c r="E16" s="233">
        <v>0.13</v>
      </c>
      <c r="F16" s="107">
        <f>VLOOKUP(B16,[2]Hoja1!$C$2:$E$279,3,FALSE)</f>
        <v>66921.05</v>
      </c>
      <c r="G16" s="96">
        <f t="shared" si="0"/>
        <v>21.072501750299999</v>
      </c>
      <c r="H16" s="95">
        <v>62991.09</v>
      </c>
      <c r="I16" s="96">
        <f t="shared" si="1"/>
        <v>19.835012365739995</v>
      </c>
      <c r="J16" s="250">
        <f t="shared" si="2"/>
        <v>6.2389141067411344</v>
      </c>
      <c r="K16" s="277">
        <f t="shared" si="3"/>
        <v>3.1488599999999995E-4</v>
      </c>
      <c r="L16" s="178"/>
    </row>
    <row r="17" spans="2:12" x14ac:dyDescent="0.25">
      <c r="B17" s="165">
        <f>VLOOKUP(C17,[1]Hoja1!$B$2:$C$260,2,FALSE)</f>
        <v>1260017</v>
      </c>
      <c r="C17" s="154" t="s">
        <v>832</v>
      </c>
      <c r="D17" s="143">
        <v>6.8015375999999992E-3</v>
      </c>
      <c r="E17" s="233">
        <v>2.8079999999999998</v>
      </c>
      <c r="F17" s="107">
        <f>VLOOKUP(B17,[2]Hoja1!$C$2:$E$279,3,FALSE)</f>
        <v>4500</v>
      </c>
      <c r="G17" s="96">
        <f t="shared" si="0"/>
        <v>30.606919199999997</v>
      </c>
      <c r="H17" s="96">
        <v>4500</v>
      </c>
      <c r="I17" s="96">
        <f t="shared" si="1"/>
        <v>30.606919199999997</v>
      </c>
      <c r="J17" s="250">
        <f t="shared" si="2"/>
        <v>0</v>
      </c>
      <c r="K17" s="277">
        <f t="shared" si="3"/>
        <v>6.8015375999999992E-3</v>
      </c>
      <c r="L17" s="178"/>
    </row>
    <row r="18" spans="2:12" hidden="1" x14ac:dyDescent="0.25">
      <c r="B18" s="154"/>
      <c r="C18" s="154"/>
      <c r="D18" s="143"/>
      <c r="E18" s="154"/>
      <c r="F18" s="107" t="e">
        <f>VLOOKUP(B18,[2]Hoja1!$C$2:$E$279,3,FALSE)</f>
        <v>#N/A</v>
      </c>
      <c r="G18" s="96" t="e">
        <f t="shared" si="0"/>
        <v>#N/A</v>
      </c>
      <c r="H18" s="95"/>
      <c r="I18" s="96">
        <f>H18*D18</f>
        <v>0</v>
      </c>
      <c r="J18" s="250"/>
    </row>
    <row r="19" spans="2:12" s="146" customFormat="1" x14ac:dyDescent="0.25">
      <c r="B19" s="1764" t="s">
        <v>37</v>
      </c>
      <c r="C19" s="1764"/>
      <c r="D19" s="1278">
        <f>SUM(D5:D17)</f>
        <v>0.24221757779999992</v>
      </c>
      <c r="E19" s="1281">
        <f>SUM(E5:E17)</f>
        <v>99.998999999999995</v>
      </c>
      <c r="F19" s="1281"/>
      <c r="G19" s="1281">
        <f>SUM(G5:G17)</f>
        <v>2207.9514098525401</v>
      </c>
      <c r="H19" s="1281"/>
      <c r="I19" s="1281">
        <f>SUM(I5:I17)</f>
        <v>2470.9514790335102</v>
      </c>
      <c r="J19" s="1282">
        <f>((G19/I19)*100)-100</f>
        <v>-10.643675985245977</v>
      </c>
      <c r="K19" s="1283"/>
    </row>
    <row r="20" spans="2:12" x14ac:dyDescent="0.25">
      <c r="J20" s="775"/>
    </row>
    <row r="21" spans="2:12" ht="25.5" x14ac:dyDescent="0.25">
      <c r="B21" s="1765" t="s">
        <v>50</v>
      </c>
      <c r="C21" s="1766"/>
      <c r="D21" s="38">
        <f>+C24+(C24*C30%)</f>
        <v>242.22</v>
      </c>
      <c r="E21" s="159"/>
      <c r="F21" s="159"/>
      <c r="G21" s="159"/>
      <c r="H21" s="159"/>
      <c r="I21" s="159"/>
      <c r="J21" s="159"/>
    </row>
    <row r="22" spans="2:12" x14ac:dyDescent="0.25">
      <c r="B22" s="1284" t="s">
        <v>38</v>
      </c>
      <c r="C22" s="161" t="s">
        <v>123</v>
      </c>
      <c r="H22" s="146"/>
    </row>
    <row r="23" spans="2:12" x14ac:dyDescent="0.25">
      <c r="B23" s="1285" t="s">
        <v>39</v>
      </c>
      <c r="C23" s="163" t="s">
        <v>186</v>
      </c>
      <c r="H23" s="146"/>
    </row>
    <row r="24" spans="2:12" x14ac:dyDescent="0.25">
      <c r="B24" s="1285" t="s">
        <v>40</v>
      </c>
      <c r="C24" s="163">
        <v>220</v>
      </c>
      <c r="H24" s="146"/>
    </row>
    <row r="25" spans="2:12" x14ac:dyDescent="0.25">
      <c r="B25" s="1285" t="s">
        <v>41</v>
      </c>
      <c r="C25" s="163">
        <v>0</v>
      </c>
      <c r="H25" s="146"/>
    </row>
    <row r="26" spans="2:12" x14ac:dyDescent="0.25">
      <c r="B26" s="1285" t="s">
        <v>42</v>
      </c>
      <c r="C26" s="163">
        <v>6</v>
      </c>
      <c r="H26" s="146"/>
    </row>
    <row r="27" spans="2:12" x14ac:dyDescent="0.25">
      <c r="B27" s="1285" t="s">
        <v>43</v>
      </c>
      <c r="C27" s="163">
        <v>1</v>
      </c>
      <c r="H27" s="146"/>
    </row>
    <row r="28" spans="2:12" x14ac:dyDescent="0.25">
      <c r="B28" s="1285" t="s">
        <v>44</v>
      </c>
      <c r="C28" s="163">
        <v>1</v>
      </c>
      <c r="H28" s="146"/>
    </row>
    <row r="29" spans="2:12" x14ac:dyDescent="0.25">
      <c r="B29" s="1285" t="s">
        <v>45</v>
      </c>
      <c r="C29" s="163">
        <v>2.1</v>
      </c>
      <c r="H29" s="146"/>
    </row>
    <row r="30" spans="2:12" x14ac:dyDescent="0.25">
      <c r="B30" s="1285" t="s">
        <v>46</v>
      </c>
      <c r="C30" s="163">
        <f>C29+C28+C27+C26</f>
        <v>10.1</v>
      </c>
      <c r="H30" s="146"/>
    </row>
    <row r="31" spans="2:12" x14ac:dyDescent="0.25">
      <c r="E31" s="120">
        <f>0.015*4</f>
        <v>0.06</v>
      </c>
      <c r="H31" s="159"/>
      <c r="I31" s="159"/>
    </row>
    <row r="32" spans="2:12" ht="25.5" x14ac:dyDescent="0.25">
      <c r="B32" s="1767" t="s">
        <v>47</v>
      </c>
      <c r="C32" s="1768"/>
      <c r="D32" s="1768"/>
      <c r="E32" s="1768"/>
      <c r="F32" s="1768"/>
      <c r="G32" s="1768"/>
      <c r="H32" s="1768"/>
      <c r="I32" s="1768"/>
    </row>
    <row r="33" spans="2:11" ht="25.5" x14ac:dyDescent="0.25">
      <c r="B33" s="1266" t="s">
        <v>0</v>
      </c>
      <c r="C33" s="1266" t="s">
        <v>1</v>
      </c>
      <c r="D33" s="1286" t="s">
        <v>2</v>
      </c>
      <c r="E33" s="1243" t="str">
        <f>+'CIF Y PV'!$F$4</f>
        <v xml:space="preserve">JUN-COP/UMB </v>
      </c>
      <c r="F33" s="1243" t="str">
        <f>+'CIF Y PV'!$G$4</f>
        <v>JUN-COP/APP</v>
      </c>
      <c r="G33" s="1243" t="str">
        <f>+'CIF Y PV'!$H$4</f>
        <v xml:space="preserve">MAY-COP/UMB </v>
      </c>
      <c r="H33" s="1243" t="str">
        <f>+'CIF Y PV'!$I$4</f>
        <v>MAY-COP/APP</v>
      </c>
      <c r="I33" s="1244" t="s">
        <v>3</v>
      </c>
      <c r="J33" s="146">
        <v>3380</v>
      </c>
    </row>
    <row r="34" spans="2:11" x14ac:dyDescent="0.25">
      <c r="B34" s="165">
        <f>VLOOKUP(C34,[1]Hoja1!$B$2:$C$260,2,FALSE)</f>
        <v>1370009</v>
      </c>
      <c r="C34" s="165" t="s">
        <v>1154</v>
      </c>
      <c r="D34" s="166">
        <v>0.06</v>
      </c>
      <c r="E34" s="167">
        <f>VLOOKUP(B34,[2]Hoja1!$C$2:$E$279,3,FALSE)</f>
        <v>487.07</v>
      </c>
      <c r="F34" s="167">
        <f>E34*D34</f>
        <v>29.2242</v>
      </c>
      <c r="G34" s="167">
        <v>504.87</v>
      </c>
      <c r="H34" s="167">
        <f>G34*D34</f>
        <v>30.292199999999998</v>
      </c>
      <c r="I34" s="250">
        <f>((E34/G34)*100)-100</f>
        <v>-3.5256600709093391</v>
      </c>
      <c r="J34" s="146">
        <f>$J$33*D34</f>
        <v>202.79999999999998</v>
      </c>
    </row>
    <row r="35" spans="2:11" x14ac:dyDescent="0.25">
      <c r="B35" s="165">
        <f>VLOOKUP(C35,[1]Hoja1!$B$2:$C$260,2,FALSE)</f>
        <v>1320005</v>
      </c>
      <c r="C35" s="165" t="s">
        <v>1145</v>
      </c>
      <c r="D35" s="166">
        <v>7.4999999999999997E-2</v>
      </c>
      <c r="E35" s="167">
        <f>VLOOKUP(B35,[2]Hoja1!$C$2:$E$279,3,FALSE)</f>
        <v>740.21</v>
      </c>
      <c r="F35" s="167">
        <f>E35*D35</f>
        <v>55.515750000000004</v>
      </c>
      <c r="G35" s="24">
        <v>828.94</v>
      </c>
      <c r="H35" s="167">
        <f>G35*D35</f>
        <v>62.170500000000004</v>
      </c>
      <c r="I35" s="250">
        <f>((E35/G35)*100)-100</f>
        <v>-10.704031654884545</v>
      </c>
      <c r="J35" s="146">
        <f>$J$33*D35</f>
        <v>253.5</v>
      </c>
    </row>
    <row r="36" spans="2:11" x14ac:dyDescent="0.25">
      <c r="B36" s="165">
        <f>VLOOKUP(C36,[1]Hoja1!$B$2:$C$260,2,FALSE)</f>
        <v>1310055</v>
      </c>
      <c r="C36" s="165" t="s">
        <v>1105</v>
      </c>
      <c r="D36" s="166">
        <v>7.4999999999999997E-2</v>
      </c>
      <c r="E36" s="167">
        <f>VLOOKUP(B36,[2]Hoja1!$C$2:$E$279,3,FALSE)</f>
        <v>889</v>
      </c>
      <c r="F36" s="167">
        <f>E36*D36</f>
        <v>66.674999999999997</v>
      </c>
      <c r="G36" s="871">
        <v>889</v>
      </c>
      <c r="H36" s="167">
        <f>G36*D36</f>
        <v>66.674999999999997</v>
      </c>
      <c r="I36" s="250">
        <f>((E36/G36)*100)-100</f>
        <v>0</v>
      </c>
      <c r="J36" s="146">
        <f>$J$33*D36</f>
        <v>253.5</v>
      </c>
    </row>
    <row r="37" spans="2:11" ht="15" x14ac:dyDescent="0.25">
      <c r="B37" s="165">
        <f>VLOOKUP(C37,[1]Hoja1!$B$2:$C$260,2,FALSE)</f>
        <v>1330074</v>
      </c>
      <c r="C37" s="1142" t="s">
        <v>1106</v>
      </c>
      <c r="D37" s="166">
        <v>1</v>
      </c>
      <c r="E37" s="167">
        <f>VLOOKUP(B37,[2]Hoja1!$C$2:$E$279,3,FALSE)</f>
        <v>87.82</v>
      </c>
      <c r="F37" s="167">
        <f>E37*D37</f>
        <v>87.82</v>
      </c>
      <c r="G37" s="871">
        <v>77</v>
      </c>
      <c r="H37" s="167">
        <f>G37*D37</f>
        <v>77</v>
      </c>
      <c r="I37" s="250">
        <f>((E37/G37)*100)-100</f>
        <v>14.051948051948045</v>
      </c>
      <c r="J37" s="146">
        <f>$J$33*D37</f>
        <v>3380</v>
      </c>
    </row>
    <row r="38" spans="2:11" x14ac:dyDescent="0.25">
      <c r="B38" s="1266"/>
      <c r="C38" s="1266" t="s">
        <v>37</v>
      </c>
      <c r="D38" s="1286"/>
      <c r="E38" s="1267"/>
      <c r="F38" s="1267">
        <f>SUM(F34:F37)</f>
        <v>239.23495</v>
      </c>
      <c r="G38" s="1267"/>
      <c r="H38" s="1267">
        <f>SUM(H34:H37)</f>
        <v>236.1377</v>
      </c>
      <c r="I38" s="1328">
        <f>((F38/H38)*100)-100</f>
        <v>1.3116287657582717</v>
      </c>
    </row>
    <row r="39" spans="2:11" x14ac:dyDescent="0.25">
      <c r="H39" s="1" t="str">
        <f>+'CIF Y PV'!$G$1</f>
        <v>MAYO</v>
      </c>
      <c r="J39" s="146"/>
    </row>
    <row r="40" spans="2:11" x14ac:dyDescent="0.25">
      <c r="B40" s="1735" t="s">
        <v>891</v>
      </c>
      <c r="C40" s="1735"/>
      <c r="E40" s="884"/>
      <c r="F40" s="884"/>
      <c r="G40" s="884"/>
      <c r="H40" s="884">
        <f>+F38+G19</f>
        <v>2447.1863598525401</v>
      </c>
      <c r="I40" s="169"/>
      <c r="J40" s="884"/>
      <c r="K40" s="169"/>
    </row>
    <row r="41" spans="2:11" x14ac:dyDescent="0.25">
      <c r="B41" s="1736" t="s">
        <v>48</v>
      </c>
      <c r="C41" s="1737"/>
      <c r="E41" s="884"/>
      <c r="F41" s="884"/>
      <c r="G41" s="884"/>
      <c r="H41" s="884">
        <f>+('CIF Y PV'!C3/1000)*440</f>
        <v>831.59999999999991</v>
      </c>
      <c r="I41" s="170"/>
      <c r="J41" s="884"/>
      <c r="K41" s="170"/>
    </row>
    <row r="42" spans="2:11" x14ac:dyDescent="0.25">
      <c r="B42" s="1736" t="s">
        <v>892</v>
      </c>
      <c r="C42" s="1737"/>
      <c r="E42" s="884"/>
      <c r="F42" s="884"/>
      <c r="G42" s="884"/>
      <c r="H42" s="884">
        <f>+H40+H41</f>
        <v>3278.78635985254</v>
      </c>
      <c r="I42" s="171"/>
      <c r="J42" s="884"/>
      <c r="K42" s="171"/>
    </row>
    <row r="43" spans="2:11" x14ac:dyDescent="0.25">
      <c r="B43" s="1735" t="s">
        <v>49</v>
      </c>
      <c r="C43" s="1735"/>
      <c r="E43" s="884"/>
      <c r="F43" s="884"/>
      <c r="G43" s="884"/>
      <c r="H43" s="884">
        <f>'CIF Y PV'!C11</f>
        <v>5559</v>
      </c>
      <c r="J43" s="884"/>
      <c r="K43" s="403"/>
    </row>
    <row r="44" spans="2:11" ht="14.45" customHeight="1" x14ac:dyDescent="0.2">
      <c r="B44" s="1735" t="s">
        <v>805</v>
      </c>
      <c r="C44" s="1735"/>
      <c r="E44" s="884"/>
      <c r="F44" s="884"/>
      <c r="G44" s="884"/>
      <c r="H44" s="928">
        <f>+(H43-H42)/H43</f>
        <v>0.41018414105908618</v>
      </c>
      <c r="I44" s="199"/>
      <c r="J44" s="146"/>
      <c r="K44" s="199"/>
    </row>
    <row r="45" spans="2:11" x14ac:dyDescent="0.25">
      <c r="H45" s="146"/>
    </row>
    <row r="46" spans="2:11" x14ac:dyDescent="0.25">
      <c r="H46" s="146"/>
    </row>
  </sheetData>
  <mergeCells count="9">
    <mergeCell ref="B42:C42"/>
    <mergeCell ref="B43:C43"/>
    <mergeCell ref="B44:C44"/>
    <mergeCell ref="B2:I2"/>
    <mergeCell ref="B19:C19"/>
    <mergeCell ref="B21:C21"/>
    <mergeCell ref="B32:I32"/>
    <mergeCell ref="B40:C40"/>
    <mergeCell ref="B41:C41"/>
  </mergeCells>
  <pageMargins left="0.7" right="0.7" top="0.75" bottom="0.75" header="0.3" footer="0.3"/>
  <pageSetup scale="4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69F6-9A0F-4A15-BF2A-39AF37C5C226}">
  <sheetPr codeName="Hoja89"/>
  <dimension ref="B2:L47"/>
  <sheetViews>
    <sheetView view="pageBreakPreview" topLeftCell="A26" zoomScale="90" zoomScaleNormal="100" zoomScaleSheetLayoutView="90" workbookViewId="0">
      <selection activeCell="F17" sqref="F17"/>
    </sheetView>
  </sheetViews>
  <sheetFormatPr baseColWidth="10" defaultColWidth="11.5703125" defaultRowHeight="13.5" x14ac:dyDescent="0.25"/>
  <cols>
    <col min="1" max="1" width="6.85546875" style="120" customWidth="1"/>
    <col min="2" max="2" width="11.5703125" style="120"/>
    <col min="3" max="3" width="67.42578125" style="120" bestFit="1" customWidth="1"/>
    <col min="4" max="4" width="11.5703125" style="119"/>
    <col min="5" max="5" width="11.5703125" style="120"/>
    <col min="6" max="6" width="13.140625" style="120" customWidth="1"/>
    <col min="7" max="7" width="11.5703125" style="120" customWidth="1"/>
    <col min="8" max="8" width="12.5703125" style="120" bestFit="1" customWidth="1"/>
    <col min="9" max="9" width="14.42578125" style="120" bestFit="1" customWidth="1"/>
    <col min="10" max="10" width="12.5703125" style="120" bestFit="1" customWidth="1"/>
    <col min="11" max="16384" width="11.5703125" style="120"/>
  </cols>
  <sheetData>
    <row r="2" spans="2:12" ht="25.5" x14ac:dyDescent="0.25">
      <c r="B2" s="1743" t="s">
        <v>893</v>
      </c>
      <c r="C2" s="1743"/>
      <c r="D2" s="1743"/>
      <c r="E2" s="1743"/>
      <c r="F2" s="1743"/>
      <c r="G2" s="1743"/>
      <c r="H2" s="1743"/>
      <c r="I2" s="1743"/>
    </row>
    <row r="4" spans="2:12" ht="25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21" t="s">
        <v>3</v>
      </c>
      <c r="K4" s="1272">
        <f>+D21/1000</f>
        <v>0.48443999999999998</v>
      </c>
    </row>
    <row r="5" spans="2:12" x14ac:dyDescent="0.25">
      <c r="B5" s="165">
        <f>VLOOKUP(C5,[1]Hoja1!$B$2:$C$260,2,FALSE)</f>
        <v>2903003</v>
      </c>
      <c r="C5" s="154" t="s">
        <v>1039</v>
      </c>
      <c r="D5" s="166">
        <v>0.20115886559999999</v>
      </c>
      <c r="E5" s="233">
        <v>41.524000000000001</v>
      </c>
      <c r="F5" s="107">
        <f>VLOOKUP(B5,[2]Hoja1!$C$2:$E$279,3,FALSE)</f>
        <v>11506.13</v>
      </c>
      <c r="G5" s="96">
        <f>F5*D5</f>
        <v>2314.5600582461275</v>
      </c>
      <c r="H5" s="38">
        <v>14000</v>
      </c>
      <c r="I5" s="96">
        <f>H5*D5</f>
        <v>2816.2241184</v>
      </c>
      <c r="J5" s="250">
        <f>((F5/H5)*100)-100</f>
        <v>-17.813357142857143</v>
      </c>
      <c r="K5" s="178">
        <f>$K$4*E5%</f>
        <v>0.20115886559999999</v>
      </c>
      <c r="L5" s="178"/>
    </row>
    <row r="6" spans="2:12" ht="15" x14ac:dyDescent="0.25">
      <c r="B6" s="165">
        <f>VLOOKUP(C6,[1]Hoja1!$B$2:$C$260,2,FALSE)</f>
        <v>1141001</v>
      </c>
      <c r="C6" s="154" t="s">
        <v>908</v>
      </c>
      <c r="D6" s="143">
        <v>1.9435732799999998E-2</v>
      </c>
      <c r="E6" s="233">
        <v>4.0119999999999996</v>
      </c>
      <c r="F6" s="107">
        <f>VLOOKUP(B6,[2]Hoja1!$C$2:$E$279,3,FALSE)</f>
        <v>15597.29</v>
      </c>
      <c r="G6" s="96">
        <f t="shared" ref="G6:G18" si="0">F6*D6</f>
        <v>303.144760844112</v>
      </c>
      <c r="H6" s="949">
        <v>15999.99</v>
      </c>
      <c r="I6" s="96">
        <f t="shared" ref="I6:I17" si="1">H6*D6</f>
        <v>310.97153044267196</v>
      </c>
      <c r="J6" s="250">
        <f t="shared" ref="J6:J17" si="2">((F6/H6)*100)-100</f>
        <v>-2.5168765730478526</v>
      </c>
      <c r="K6" s="178">
        <f t="shared" ref="K6:K17" si="3">$K$4*E6%</f>
        <v>1.9435732799999998E-2</v>
      </c>
      <c r="L6" s="178"/>
    </row>
    <row r="7" spans="2:12" x14ac:dyDescent="0.25">
      <c r="B7" s="165">
        <f>VLOOKUP(C7,[1]Hoja1!$B$2:$C$260,2,FALSE)</f>
        <v>1131002</v>
      </c>
      <c r="C7" s="154" t="s">
        <v>663</v>
      </c>
      <c r="D7" s="143">
        <v>9.7178663999999998E-2</v>
      </c>
      <c r="E7" s="233">
        <v>20.059999999999999</v>
      </c>
      <c r="F7" s="107">
        <f>VLOOKUP(B7,[2]Hoja1!$C$2:$E$279,3,FALSE)</f>
        <v>0</v>
      </c>
      <c r="G7" s="96">
        <f t="shared" si="0"/>
        <v>0</v>
      </c>
      <c r="H7" s="96">
        <v>0</v>
      </c>
      <c r="I7" s="96">
        <f t="shared" si="1"/>
        <v>0</v>
      </c>
      <c r="J7" s="250" t="e">
        <f t="shared" si="2"/>
        <v>#DIV/0!</v>
      </c>
      <c r="K7" s="178">
        <f t="shared" si="3"/>
        <v>9.7178663999999998E-2</v>
      </c>
      <c r="L7" s="178"/>
    </row>
    <row r="8" spans="2:12" x14ac:dyDescent="0.25">
      <c r="B8" s="165">
        <f>VLOOKUP(C8,[1]Hoja1!$B$2:$C$260,2,FALSE)</f>
        <v>1230006</v>
      </c>
      <c r="C8" s="154" t="s">
        <v>1153</v>
      </c>
      <c r="D8" s="143">
        <v>9.2334263999999996E-3</v>
      </c>
      <c r="E8" s="233">
        <v>1.9059999999999999</v>
      </c>
      <c r="F8" s="107">
        <f>VLOOKUP(B8,[2]Hoja1!$C$2:$E$279,3,FALSE)</f>
        <v>44693.38</v>
      </c>
      <c r="G8" s="96">
        <f t="shared" si="0"/>
        <v>412.67303479723194</v>
      </c>
      <c r="H8" s="38">
        <v>42594.15</v>
      </c>
      <c r="I8" s="96">
        <f t="shared" si="1"/>
        <v>393.28994909556002</v>
      </c>
      <c r="J8" s="250">
        <f t="shared" si="2"/>
        <v>4.9284467467950179</v>
      </c>
      <c r="K8" s="178">
        <f t="shared" si="3"/>
        <v>9.2334263999999996E-3</v>
      </c>
      <c r="L8" s="178"/>
    </row>
    <row r="9" spans="2:12" x14ac:dyDescent="0.25">
      <c r="B9" s="165">
        <f>VLOOKUP(C9,[1]Hoja1!$B$2:$C$260,2,FALSE)</f>
        <v>1210006</v>
      </c>
      <c r="C9" s="154" t="s">
        <v>1130</v>
      </c>
      <c r="D9" s="143">
        <v>7.0437575999999997E-3</v>
      </c>
      <c r="E9" s="233">
        <v>1.454</v>
      </c>
      <c r="F9" s="107">
        <f>VLOOKUP(B9,[2]Hoja1!$C$2:$E$279,3,FALSE)</f>
        <v>8904.4500000000007</v>
      </c>
      <c r="G9" s="96">
        <f t="shared" si="0"/>
        <v>62.720787361319999</v>
      </c>
      <c r="H9" s="880">
        <v>8910.1</v>
      </c>
      <c r="I9" s="96">
        <f t="shared" si="1"/>
        <v>62.760584591760001</v>
      </c>
      <c r="J9" s="250">
        <f t="shared" si="2"/>
        <v>-6.3411185059649711E-2</v>
      </c>
      <c r="K9" s="178">
        <f t="shared" si="3"/>
        <v>7.0437575999999997E-3</v>
      </c>
      <c r="L9" s="178"/>
    </row>
    <row r="10" spans="2:12" x14ac:dyDescent="0.25">
      <c r="B10" s="165">
        <f>VLOOKUP(C10,[1]Hoja1!$B$2:$C$260,2,FALSE)</f>
        <v>1210004</v>
      </c>
      <c r="C10" s="154" t="s">
        <v>1131</v>
      </c>
      <c r="D10" s="143">
        <v>4.1177400000000001E-4</v>
      </c>
      <c r="E10" s="233">
        <v>8.5000000000000006E-2</v>
      </c>
      <c r="F10" s="107">
        <f>VLOOKUP(B10,[2]Hoja1!$C$2:$E$279,3,FALSE)</f>
        <v>3841</v>
      </c>
      <c r="G10" s="96">
        <f t="shared" si="0"/>
        <v>1.581623934</v>
      </c>
      <c r="H10" s="95">
        <v>3508.01</v>
      </c>
      <c r="I10" s="96">
        <f t="shared" si="1"/>
        <v>1.4445073097400001</v>
      </c>
      <c r="J10" s="250">
        <f t="shared" si="2"/>
        <v>9.4922762477871885</v>
      </c>
      <c r="K10" s="178">
        <f t="shared" si="3"/>
        <v>4.1177400000000001E-4</v>
      </c>
      <c r="L10" s="178"/>
    </row>
    <row r="11" spans="2:12" x14ac:dyDescent="0.25">
      <c r="B11" s="165">
        <f>VLOOKUP(C11,[1]Hoja1!$B$2:$C$260,2,FALSE)</f>
        <v>121007</v>
      </c>
      <c r="C11" s="154" t="s">
        <v>821</v>
      </c>
      <c r="D11" s="143">
        <v>1.9426044000000003E-3</v>
      </c>
      <c r="E11" s="233">
        <v>0.40100000000000002</v>
      </c>
      <c r="F11" s="107">
        <f>VLOOKUP(B11,[2]Hoja1!$C$2:$E$279,3,FALSE)</f>
        <v>16905</v>
      </c>
      <c r="G11" s="96">
        <f t="shared" si="0"/>
        <v>32.839727382000007</v>
      </c>
      <c r="H11" s="926">
        <v>16100</v>
      </c>
      <c r="I11" s="96">
        <f t="shared" si="1"/>
        <v>31.275930840000004</v>
      </c>
      <c r="J11" s="250">
        <f>((F11/H11)*100)-100</f>
        <v>5</v>
      </c>
      <c r="K11" s="178">
        <f t="shared" si="3"/>
        <v>1.9426044000000003E-3</v>
      </c>
      <c r="L11" s="178"/>
    </row>
    <row r="12" spans="2:12" x14ac:dyDescent="0.25">
      <c r="B12" s="165">
        <f>VLOOKUP(C12,[1]Hoja1!$B$2:$C$260,2,FALSE)</f>
        <v>1250003</v>
      </c>
      <c r="C12" s="154" t="s">
        <v>914</v>
      </c>
      <c r="D12" s="143">
        <v>3.1973039999999998E-4</v>
      </c>
      <c r="E12" s="233">
        <v>6.6000000000000003E-2</v>
      </c>
      <c r="F12" s="107">
        <f>VLOOKUP(B12,[2]Hoja1!$C$2:$E$279,3,FALSE)</f>
        <v>50952.79</v>
      </c>
      <c r="G12" s="96">
        <f t="shared" si="0"/>
        <v>16.291155927816</v>
      </c>
      <c r="H12" s="914">
        <v>47385.41</v>
      </c>
      <c r="I12" s="96">
        <f t="shared" si="1"/>
        <v>15.150556093464001</v>
      </c>
      <c r="J12" s="250">
        <f t="shared" si="2"/>
        <v>7.5284354403602123</v>
      </c>
      <c r="K12" s="178">
        <f t="shared" si="3"/>
        <v>3.1973039999999998E-4</v>
      </c>
      <c r="L12" s="178"/>
    </row>
    <row r="13" spans="2:12" x14ac:dyDescent="0.25">
      <c r="B13" s="165">
        <f>VLOOKUP(C13,[1]Hoja1!$B$2:$C$260,2,FALSE)</f>
        <v>1250002</v>
      </c>
      <c r="C13" s="154" t="s">
        <v>1151</v>
      </c>
      <c r="D13" s="143">
        <v>8.2839240000000009E-4</v>
      </c>
      <c r="E13" s="233">
        <v>0.17100000000000001</v>
      </c>
      <c r="F13" s="107">
        <f>VLOOKUP(B13,[2]Hoja1!$C$2:$E$279,3,FALSE)</f>
        <v>44120.54</v>
      </c>
      <c r="G13" s="96">
        <f t="shared" si="0"/>
        <v>36.549120019896002</v>
      </c>
      <c r="H13" s="880">
        <v>43034</v>
      </c>
      <c r="I13" s="96">
        <f t="shared" si="1"/>
        <v>35.649038541600007</v>
      </c>
      <c r="J13" s="250">
        <f t="shared" si="2"/>
        <v>2.5248408235348734</v>
      </c>
      <c r="K13" s="178">
        <f t="shared" si="3"/>
        <v>8.2839240000000009E-4</v>
      </c>
      <c r="L13" s="178"/>
    </row>
    <row r="14" spans="2:12" x14ac:dyDescent="0.25">
      <c r="B14" s="165">
        <f>VLOOKUP(C14,[1]Hoja1!$B$2:$C$260,2,FALSE)</f>
        <v>1260009</v>
      </c>
      <c r="C14" s="154" t="s">
        <v>1027</v>
      </c>
      <c r="D14" s="143">
        <v>1.6034963999999999E-2</v>
      </c>
      <c r="E14" s="233">
        <v>3.31</v>
      </c>
      <c r="F14" s="107">
        <f>VLOOKUP(B14,[2]Hoja1!$C$2:$E$279,3,FALSE)</f>
        <v>7033.69</v>
      </c>
      <c r="G14" s="96">
        <f t="shared" si="0"/>
        <v>112.78496593715998</v>
      </c>
      <c r="H14" s="96">
        <v>9565.2099999999991</v>
      </c>
      <c r="I14" s="96">
        <f t="shared" si="1"/>
        <v>153.37779800243999</v>
      </c>
      <c r="J14" s="250">
        <f t="shared" si="2"/>
        <v>-26.465911360022403</v>
      </c>
      <c r="K14" s="178">
        <f t="shared" si="3"/>
        <v>1.6034963999999999E-2</v>
      </c>
      <c r="L14" s="178"/>
    </row>
    <row r="15" spans="2:12" x14ac:dyDescent="0.25">
      <c r="B15" s="165">
        <f>VLOOKUP(C15,[1]Hoja1!$B$2:$C$260,2,FALSE)</f>
        <v>1121009</v>
      </c>
      <c r="C15" s="154" t="s">
        <v>1272</v>
      </c>
      <c r="D15" s="143">
        <v>0.11661439679999999</v>
      </c>
      <c r="E15" s="233">
        <v>24.071999999999999</v>
      </c>
      <c r="F15" s="107">
        <f>VLOOKUP(B15,[2]Hoja1!$C$2:$E$279,3,FALSE)</f>
        <v>8741.6200000000008</v>
      </c>
      <c r="G15" s="96">
        <f t="shared" si="0"/>
        <v>1019.398743354816</v>
      </c>
      <c r="H15" s="914">
        <v>8754.2800000000007</v>
      </c>
      <c r="I15" s="96">
        <f t="shared" si="1"/>
        <v>1020.875081618304</v>
      </c>
      <c r="J15" s="250">
        <f t="shared" si="2"/>
        <v>-0.14461497690273006</v>
      </c>
      <c r="K15" s="178">
        <f t="shared" si="3"/>
        <v>0.11661439679999999</v>
      </c>
      <c r="L15" s="178"/>
    </row>
    <row r="16" spans="2:12" x14ac:dyDescent="0.25">
      <c r="B16" s="165">
        <f>VLOOKUP(C16,[1]Hoja1!$B$2:$C$260,2,FALSE)</f>
        <v>1250005</v>
      </c>
      <c r="C16" s="154" t="s">
        <v>1152</v>
      </c>
      <c r="D16" s="143">
        <v>6.2977199999999991E-4</v>
      </c>
      <c r="E16" s="233">
        <v>0.13</v>
      </c>
      <c r="F16" s="107">
        <f>VLOOKUP(B16,[2]Hoja1!$C$2:$E$279,3,FALSE)</f>
        <v>66921.05</v>
      </c>
      <c r="G16" s="96">
        <f t="shared" si="0"/>
        <v>42.145003500599998</v>
      </c>
      <c r="H16" s="95">
        <v>62991.09</v>
      </c>
      <c r="I16" s="96">
        <f t="shared" si="1"/>
        <v>39.670024731479991</v>
      </c>
      <c r="J16" s="250">
        <f t="shared" si="2"/>
        <v>6.2389141067411344</v>
      </c>
      <c r="K16" s="178">
        <f t="shared" si="3"/>
        <v>6.2977199999999991E-4</v>
      </c>
      <c r="L16" s="178"/>
    </row>
    <row r="17" spans="2:12" x14ac:dyDescent="0.25">
      <c r="B17" s="165">
        <f>VLOOKUP(C17,[1]Hoja1!$B$2:$C$260,2,FALSE)</f>
        <v>1260017</v>
      </c>
      <c r="C17" s="154" t="s">
        <v>832</v>
      </c>
      <c r="D17" s="143">
        <v>1.3603075199999998E-2</v>
      </c>
      <c r="E17" s="233">
        <v>2.8079999999999998</v>
      </c>
      <c r="F17" s="107">
        <f>VLOOKUP(B17,[2]Hoja1!$C$2:$E$279,3,FALSE)</f>
        <v>4500</v>
      </c>
      <c r="G17" s="96">
        <f t="shared" si="0"/>
        <v>61.213838399999993</v>
      </c>
      <c r="H17" s="96">
        <v>4500</v>
      </c>
      <c r="I17" s="96">
        <f t="shared" si="1"/>
        <v>61.213838399999993</v>
      </c>
      <c r="J17" s="250">
        <f t="shared" si="2"/>
        <v>0</v>
      </c>
      <c r="K17" s="178">
        <f t="shared" si="3"/>
        <v>1.3603075199999998E-2</v>
      </c>
      <c r="L17" s="178"/>
    </row>
    <row r="18" spans="2:12" hidden="1" x14ac:dyDescent="0.25">
      <c r="B18" s="154"/>
      <c r="C18" s="154"/>
      <c r="D18" s="143"/>
      <c r="E18" s="154"/>
      <c r="F18" s="107" t="e">
        <f>VLOOKUP(B18,[2]Hoja1!$C$2:$E$279,3,FALSE)</f>
        <v>#N/A</v>
      </c>
      <c r="G18" s="96" t="e">
        <f t="shared" si="0"/>
        <v>#N/A</v>
      </c>
      <c r="H18" s="95"/>
      <c r="I18" s="96">
        <f>H18*D18</f>
        <v>0</v>
      </c>
      <c r="J18" s="250"/>
    </row>
    <row r="19" spans="2:12" s="146" customFormat="1" x14ac:dyDescent="0.25">
      <c r="B19" s="1764" t="s">
        <v>37</v>
      </c>
      <c r="C19" s="1764"/>
      <c r="D19" s="1278">
        <f>SUM(D5:D17)</f>
        <v>0.48443515559999983</v>
      </c>
      <c r="E19" s="1281">
        <f>SUM(E5:E17)</f>
        <v>99.998999999999995</v>
      </c>
      <c r="F19" s="1281"/>
      <c r="G19" s="1281">
        <f>SUM(G5:G17)</f>
        <v>4415.9028197050802</v>
      </c>
      <c r="H19" s="1281"/>
      <c r="I19" s="1281">
        <f>SUM(I5:I17)</f>
        <v>4941.9029580670203</v>
      </c>
      <c r="J19" s="1282">
        <f>((G19/I19)*100)-100</f>
        <v>-10.643675985245977</v>
      </c>
      <c r="K19" s="1283"/>
    </row>
    <row r="20" spans="2:12" x14ac:dyDescent="0.25">
      <c r="J20" s="775"/>
    </row>
    <row r="21" spans="2:12" ht="25.5" x14ac:dyDescent="0.25">
      <c r="B21" s="1765" t="s">
        <v>50</v>
      </c>
      <c r="C21" s="1766"/>
      <c r="D21" s="38">
        <f>+C24+(C24*C30%)</f>
        <v>484.44</v>
      </c>
      <c r="E21" s="159"/>
      <c r="F21" s="159"/>
      <c r="G21" s="159"/>
      <c r="H21" s="159"/>
      <c r="I21" s="159"/>
      <c r="J21" s="159"/>
    </row>
    <row r="22" spans="2:12" x14ac:dyDescent="0.25">
      <c r="B22" s="1284" t="s">
        <v>38</v>
      </c>
      <c r="C22" s="161" t="s">
        <v>123</v>
      </c>
      <c r="H22" s="146"/>
    </row>
    <row r="23" spans="2:12" x14ac:dyDescent="0.25">
      <c r="B23" s="1285" t="s">
        <v>39</v>
      </c>
      <c r="C23" s="163" t="s">
        <v>186</v>
      </c>
      <c r="H23" s="146"/>
    </row>
    <row r="24" spans="2:12" x14ac:dyDescent="0.25">
      <c r="B24" s="1285" t="s">
        <v>40</v>
      </c>
      <c r="C24" s="163">
        <v>440</v>
      </c>
      <c r="H24" s="146"/>
    </row>
    <row r="25" spans="2:12" x14ac:dyDescent="0.25">
      <c r="B25" s="1285" t="s">
        <v>41</v>
      </c>
      <c r="C25" s="163">
        <v>0</v>
      </c>
      <c r="H25" s="146"/>
    </row>
    <row r="26" spans="2:12" x14ac:dyDescent="0.25">
      <c r="B26" s="1285" t="s">
        <v>42</v>
      </c>
      <c r="C26" s="163">
        <v>6</v>
      </c>
      <c r="H26" s="146"/>
    </row>
    <row r="27" spans="2:12" x14ac:dyDescent="0.25">
      <c r="B27" s="1285" t="s">
        <v>43</v>
      </c>
      <c r="C27" s="163">
        <v>1</v>
      </c>
      <c r="H27" s="146"/>
    </row>
    <row r="28" spans="2:12" x14ac:dyDescent="0.25">
      <c r="B28" s="1285" t="s">
        <v>44</v>
      </c>
      <c r="C28" s="163">
        <v>1</v>
      </c>
      <c r="H28" s="146"/>
    </row>
    <row r="29" spans="2:12" x14ac:dyDescent="0.25">
      <c r="B29" s="1285" t="s">
        <v>45</v>
      </c>
      <c r="C29" s="163">
        <v>2.1</v>
      </c>
      <c r="H29" s="146"/>
    </row>
    <row r="30" spans="2:12" x14ac:dyDescent="0.25">
      <c r="B30" s="1285" t="s">
        <v>46</v>
      </c>
      <c r="C30" s="163">
        <f>C29+C28+C27+C26</f>
        <v>10.1</v>
      </c>
      <c r="H30" s="146"/>
    </row>
    <row r="31" spans="2:12" x14ac:dyDescent="0.25">
      <c r="H31" s="159"/>
      <c r="I31" s="159"/>
    </row>
    <row r="32" spans="2:12" ht="25.5" x14ac:dyDescent="0.25">
      <c r="B32" s="1767" t="s">
        <v>47</v>
      </c>
      <c r="C32" s="1768"/>
      <c r="D32" s="1768"/>
      <c r="E32" s="1768"/>
      <c r="F32" s="1768"/>
      <c r="G32" s="1768"/>
      <c r="H32" s="1768"/>
      <c r="I32" s="1768"/>
    </row>
    <row r="33" spans="2:11" ht="25.5" x14ac:dyDescent="0.25">
      <c r="B33" s="1266" t="s">
        <v>0</v>
      </c>
      <c r="C33" s="1266" t="s">
        <v>1</v>
      </c>
      <c r="D33" s="1286" t="s">
        <v>2</v>
      </c>
      <c r="E33" s="1243" t="str">
        <f>+'CIF Y PV'!$F$4</f>
        <v xml:space="preserve">JUN-COP/UMB </v>
      </c>
      <c r="F33" s="1243" t="str">
        <f>+'CIF Y PV'!$G$4</f>
        <v>JUN-COP/APP</v>
      </c>
      <c r="G33" s="1243" t="str">
        <f>+'CIF Y PV'!$H$4</f>
        <v xml:space="preserve">MAY-COP/UMB </v>
      </c>
      <c r="H33" s="1243" t="str">
        <f>+'CIF Y PV'!$I$4</f>
        <v>MAY-COP/APP</v>
      </c>
      <c r="I33" s="1244" t="s">
        <v>3</v>
      </c>
      <c r="J33" s="146">
        <v>3380</v>
      </c>
    </row>
    <row r="34" spans="2:11" x14ac:dyDescent="0.25">
      <c r="B34" s="165">
        <f>VLOOKUP(C34,[1]Hoja1!$B$2:$C$260,2,FALSE)</f>
        <v>1370009</v>
      </c>
      <c r="C34" s="165" t="s">
        <v>1154</v>
      </c>
      <c r="D34" s="166">
        <v>1.2</v>
      </c>
      <c r="E34" s="167">
        <f>VLOOKUP(B34,[2]Hoja1!$C$2:$E$279,3,FALSE)</f>
        <v>487.07</v>
      </c>
      <c r="F34" s="167">
        <f>E34*D34</f>
        <v>584.48399999999992</v>
      </c>
      <c r="G34" s="167">
        <v>504.87</v>
      </c>
      <c r="H34" s="167">
        <f>G34*D34</f>
        <v>605.84399999999994</v>
      </c>
      <c r="I34" s="250">
        <f>((E34/G34)*100)-100</f>
        <v>-3.5256600709093391</v>
      </c>
      <c r="J34" s="146">
        <f>$J$33*D34</f>
        <v>4056</v>
      </c>
    </row>
    <row r="35" spans="2:11" x14ac:dyDescent="0.25">
      <c r="B35" s="165">
        <f>VLOOKUP(C35,[1]Hoja1!$B$2:$C$260,2,FALSE)</f>
        <v>1320005</v>
      </c>
      <c r="C35" s="165" t="s">
        <v>1145</v>
      </c>
      <c r="D35" s="166">
        <v>7.4999999999999997E-2</v>
      </c>
      <c r="E35" s="167">
        <f>VLOOKUP(B35,[2]Hoja1!$C$2:$E$279,3,FALSE)</f>
        <v>740.21</v>
      </c>
      <c r="F35" s="167">
        <f>E35*D35</f>
        <v>55.515750000000004</v>
      </c>
      <c r="G35" s="24">
        <v>828.94</v>
      </c>
      <c r="H35" s="167">
        <f>G35*D35</f>
        <v>62.170500000000004</v>
      </c>
      <c r="I35" s="250">
        <f>((E35/G35)*100)-100</f>
        <v>-10.704031654884545</v>
      </c>
      <c r="J35" s="146">
        <f>$J$33*D35</f>
        <v>253.5</v>
      </c>
    </row>
    <row r="36" spans="2:11" x14ac:dyDescent="0.25">
      <c r="B36" s="165">
        <f>VLOOKUP(C36,[1]Hoja1!$B$2:$C$260,2,FALSE)</f>
        <v>1310018</v>
      </c>
      <c r="C36" s="165" t="s">
        <v>890</v>
      </c>
      <c r="D36" s="166">
        <v>7.4999999999999997E-2</v>
      </c>
      <c r="E36" s="167">
        <f>VLOOKUP(B36,[2]Hoja1!$C$2:$E$279,3,FALSE)</f>
        <v>478.26</v>
      </c>
      <c r="F36" s="167">
        <f>E36*D36</f>
        <v>35.869499999999995</v>
      </c>
      <c r="G36" s="871">
        <v>889</v>
      </c>
      <c r="H36" s="167">
        <f>G36*D36</f>
        <v>66.674999999999997</v>
      </c>
      <c r="I36" s="250">
        <f>((E36/G36)*100)-100</f>
        <v>-46.202474690663664</v>
      </c>
      <c r="J36" s="146">
        <f>$J$33*D36</f>
        <v>253.5</v>
      </c>
    </row>
    <row r="37" spans="2:11" x14ac:dyDescent="0.25">
      <c r="B37" s="165">
        <v>1330011</v>
      </c>
      <c r="C37" s="120" t="s">
        <v>1360</v>
      </c>
      <c r="D37" s="166">
        <v>1</v>
      </c>
      <c r="E37" s="167">
        <f>VLOOKUP(B37,[2]Hoja1!$C$2:$E$279,3,FALSE)</f>
        <v>141.4</v>
      </c>
      <c r="F37" s="167">
        <f>E37*D37</f>
        <v>141.4</v>
      </c>
      <c r="G37" s="871"/>
      <c r="H37" s="167"/>
      <c r="I37" s="250"/>
      <c r="J37" s="146"/>
    </row>
    <row r="38" spans="2:11" ht="15" x14ac:dyDescent="0.25">
      <c r="B38" s="165">
        <f>VLOOKUP(C38,[1]Hoja1!$B$2:$C$260,2,FALSE)</f>
        <v>1330068</v>
      </c>
      <c r="C38" s="1142" t="s">
        <v>1359</v>
      </c>
      <c r="D38" s="166">
        <v>1</v>
      </c>
      <c r="E38" s="167">
        <f>VLOOKUP(B38,[2]Hoja1!$C$2:$E$279,3,FALSE)</f>
        <v>77</v>
      </c>
      <c r="F38" s="167">
        <f>E38*D38</f>
        <v>77</v>
      </c>
      <c r="G38" s="871">
        <v>82.78</v>
      </c>
      <c r="H38" s="167">
        <f>G38*D38</f>
        <v>82.78</v>
      </c>
      <c r="I38" s="250">
        <f>((E38/G38)*100)-100</f>
        <v>-6.9823628895868524</v>
      </c>
      <c r="J38" s="146">
        <f>$J$33*D38</f>
        <v>3380</v>
      </c>
    </row>
    <row r="39" spans="2:11" x14ac:dyDescent="0.25">
      <c r="B39" s="1266"/>
      <c r="C39" s="1266" t="s">
        <v>37</v>
      </c>
      <c r="D39" s="1286"/>
      <c r="E39" s="1267"/>
      <c r="F39" s="1267">
        <f>SUM(F34:F38)</f>
        <v>894.26924999999994</v>
      </c>
      <c r="G39" s="1267"/>
      <c r="H39" s="1267">
        <f>SUM(H34:H38)</f>
        <v>817.46949999999993</v>
      </c>
      <c r="I39" s="1328">
        <f>((F39/H39)*100)-100</f>
        <v>9.3948153417344713</v>
      </c>
    </row>
    <row r="40" spans="2:11" x14ac:dyDescent="0.25">
      <c r="H40" s="1" t="str">
        <f>+'CIF Y PV'!$G$1</f>
        <v>MAYO</v>
      </c>
      <c r="J40" s="146"/>
    </row>
    <row r="41" spans="2:11" x14ac:dyDescent="0.25">
      <c r="B41" s="1735" t="s">
        <v>891</v>
      </c>
      <c r="C41" s="1735"/>
      <c r="E41" s="884"/>
      <c r="F41" s="884"/>
      <c r="G41" s="884"/>
      <c r="H41" s="884">
        <f>+F39+G19</f>
        <v>5310.1720697050805</v>
      </c>
      <c r="I41" s="169"/>
      <c r="J41" s="884"/>
      <c r="K41" s="169"/>
    </row>
    <row r="42" spans="2:11" x14ac:dyDescent="0.25">
      <c r="B42" s="1736" t="s">
        <v>48</v>
      </c>
      <c r="C42" s="1737"/>
      <c r="E42" s="884"/>
      <c r="F42" s="884"/>
      <c r="G42" s="884"/>
      <c r="H42" s="884">
        <f>+('CIF Y PV'!C3/1000)*440</f>
        <v>831.59999999999991</v>
      </c>
      <c r="I42" s="170"/>
      <c r="J42" s="884"/>
      <c r="K42" s="170"/>
    </row>
    <row r="43" spans="2:11" x14ac:dyDescent="0.25">
      <c r="B43" s="1736" t="s">
        <v>892</v>
      </c>
      <c r="C43" s="1737"/>
      <c r="E43" s="884"/>
      <c r="F43" s="884"/>
      <c r="G43" s="884"/>
      <c r="H43" s="884">
        <f>+H41+H42</f>
        <v>6141.7720697050809</v>
      </c>
      <c r="I43" s="171"/>
      <c r="J43" s="884"/>
      <c r="K43" s="171"/>
    </row>
    <row r="44" spans="2:11" x14ac:dyDescent="0.25">
      <c r="B44" s="1735" t="s">
        <v>49</v>
      </c>
      <c r="C44" s="1735"/>
      <c r="E44" s="884"/>
      <c r="F44" s="884"/>
      <c r="G44" s="884"/>
      <c r="H44" s="884">
        <f>'CIF Y PV'!C12</f>
        <v>11131.210000000001</v>
      </c>
      <c r="J44" s="884"/>
      <c r="K44" s="403"/>
    </row>
    <row r="45" spans="2:11" ht="14.45" customHeight="1" x14ac:dyDescent="0.2">
      <c r="B45" s="1735" t="s">
        <v>805</v>
      </c>
      <c r="C45" s="1735"/>
      <c r="E45" s="884"/>
      <c r="F45" s="884"/>
      <c r="G45" s="884"/>
      <c r="H45" s="928">
        <f>+(H44-H43)/H44</f>
        <v>0.44823859493216994</v>
      </c>
      <c r="I45" s="199"/>
      <c r="J45" s="146"/>
      <c r="K45" s="199"/>
    </row>
    <row r="46" spans="2:11" x14ac:dyDescent="0.25">
      <c r="H46" s="146"/>
    </row>
    <row r="47" spans="2:11" x14ac:dyDescent="0.25">
      <c r="H47" s="146"/>
    </row>
  </sheetData>
  <mergeCells count="9">
    <mergeCell ref="B43:C43"/>
    <mergeCell ref="B44:C44"/>
    <mergeCell ref="B45:C45"/>
    <mergeCell ref="B2:I2"/>
    <mergeCell ref="B19:C19"/>
    <mergeCell ref="B21:C21"/>
    <mergeCell ref="B32:I32"/>
    <mergeCell ref="B41:C41"/>
    <mergeCell ref="B42:C42"/>
  </mergeCells>
  <pageMargins left="0.7" right="0.7" top="0.75" bottom="0.75" header="0.3" footer="0.3"/>
  <pageSetup scale="4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1802-26A1-475F-B0CE-24876032C703}">
  <sheetPr codeName="Hoja26"/>
  <dimension ref="B2:M45"/>
  <sheetViews>
    <sheetView view="pageBreakPreview" zoomScale="80" zoomScaleNormal="100" zoomScaleSheetLayoutView="80" workbookViewId="0">
      <selection activeCell="F17" sqref="F17"/>
    </sheetView>
  </sheetViews>
  <sheetFormatPr baseColWidth="10" defaultColWidth="11.5703125" defaultRowHeight="17.25" customHeight="1" x14ac:dyDescent="0.25"/>
  <cols>
    <col min="1" max="1" width="11.85546875" style="120" customWidth="1"/>
    <col min="2" max="2" width="11.7109375" style="120" bestFit="1" customWidth="1"/>
    <col min="3" max="3" width="67.42578125" style="120" bestFit="1" customWidth="1"/>
    <col min="4" max="4" width="11.7109375" style="119" bestFit="1" customWidth="1"/>
    <col min="5" max="5" width="13.85546875" style="120" bestFit="1" customWidth="1"/>
    <col min="6" max="6" width="12.5703125" style="120" customWidth="1"/>
    <col min="7" max="7" width="12.85546875" style="120" customWidth="1"/>
    <col min="8" max="8" width="14.28515625" style="120" bestFit="1" customWidth="1"/>
    <col min="9" max="9" width="14.5703125" style="120" bestFit="1" customWidth="1"/>
    <col min="10" max="10" width="12.7109375" style="146" bestFit="1" customWidth="1"/>
    <col min="11" max="11" width="13.85546875" style="120" bestFit="1" customWidth="1"/>
    <col min="12" max="12" width="11.7109375" style="120" bestFit="1" customWidth="1"/>
    <col min="13" max="13" width="17.42578125" style="120" bestFit="1" customWidth="1"/>
    <col min="14" max="16384" width="11.5703125" style="120"/>
  </cols>
  <sheetData>
    <row r="2" spans="2:13" ht="17.25" customHeight="1" x14ac:dyDescent="0.25">
      <c r="B2" s="1743" t="s">
        <v>1124</v>
      </c>
      <c r="C2" s="1743"/>
      <c r="D2" s="1743"/>
      <c r="E2" s="1743"/>
      <c r="F2" s="1743"/>
      <c r="G2" s="1743"/>
      <c r="H2" s="1743"/>
      <c r="I2" s="1743"/>
    </row>
    <row r="3" spans="2:13" ht="17.25" customHeight="1" x14ac:dyDescent="0.25">
      <c r="L3" s="846" t="s">
        <v>967</v>
      </c>
    </row>
    <row r="4" spans="2:13" ht="27.75" customHeight="1" x14ac:dyDescent="0.25">
      <c r="B4" s="1333" t="s">
        <v>0</v>
      </c>
      <c r="C4" s="1333" t="s">
        <v>1</v>
      </c>
      <c r="D4" s="1334" t="s">
        <v>2</v>
      </c>
      <c r="E4" s="1333" t="s">
        <v>3</v>
      </c>
      <c r="F4" s="1335" t="str">
        <f>+'CIF Y PV'!$F$2</f>
        <v xml:space="preserve">JUN-COP/Kg </v>
      </c>
      <c r="G4" s="1335" t="str">
        <f>+'CIF Y PV'!$G$2</f>
        <v>JUN-COP/APP</v>
      </c>
      <c r="H4" s="1335" t="str">
        <f>+'CIF Y PV'!$H$2</f>
        <v xml:space="preserve">MAY-COP/Kg </v>
      </c>
      <c r="I4" s="1335" t="str">
        <f>+'CIF Y PV'!$I$2</f>
        <v>MAY-COP/APP</v>
      </c>
      <c r="J4" s="1336" t="s">
        <v>3</v>
      </c>
      <c r="K4" s="1338">
        <f>+D20/1000</f>
        <v>1.1990000000000001</v>
      </c>
      <c r="L4" s="1338">
        <v>498</v>
      </c>
      <c r="M4" s="1340" t="s">
        <v>1127</v>
      </c>
    </row>
    <row r="5" spans="2:13" ht="17.25" customHeight="1" x14ac:dyDescent="0.3">
      <c r="B5" s="523">
        <f>VLOOKUP(C5,[1]Hoja1!$B$2:$C$260,2,FALSE)</f>
        <v>2903003</v>
      </c>
      <c r="C5" s="523" t="s">
        <v>1039</v>
      </c>
      <c r="D5" s="190">
        <v>0.49787276000000003</v>
      </c>
      <c r="E5" s="536">
        <v>41.524000000000001</v>
      </c>
      <c r="F5" s="1076">
        <f>VLOOKUP(B5,[2]Hoja1!$C$2:$E$279,3,FALSE)</f>
        <v>11506.13</v>
      </c>
      <c r="G5" s="73">
        <f>F5*D5</f>
        <v>5728.5887000187995</v>
      </c>
      <c r="H5" s="693">
        <v>14000</v>
      </c>
      <c r="I5" s="73">
        <f>H5*D5</f>
        <v>6970.2186400000001</v>
      </c>
      <c r="J5" s="560">
        <f>((F5/H5)*100)-100</f>
        <v>-17.813357142857143</v>
      </c>
      <c r="K5" s="336">
        <f>$K$4*E5%</f>
        <v>0.49787276000000003</v>
      </c>
      <c r="L5" s="336">
        <f>$L$4*E5%</f>
        <v>206.78952000000001</v>
      </c>
      <c r="M5" s="1233">
        <f>L5*F5</f>
        <v>2379347.0997576001</v>
      </c>
    </row>
    <row r="6" spans="2:13" ht="17.25" customHeight="1" x14ac:dyDescent="0.3">
      <c r="B6" s="523">
        <f>VLOOKUP(C6,[1]Hoja1!$B$2:$C$260,2,FALSE)</f>
        <v>1141001</v>
      </c>
      <c r="C6" s="523" t="s">
        <v>908</v>
      </c>
      <c r="D6" s="190">
        <v>4.8103879999999995E-2</v>
      </c>
      <c r="E6" s="536">
        <v>4.0119999999999996</v>
      </c>
      <c r="F6" s="1076">
        <f>VLOOKUP(B6,[2]Hoja1!$C$2:$E$279,3,FALSE)</f>
        <v>15597.29</v>
      </c>
      <c r="G6" s="73">
        <f t="shared" ref="G6:G17" si="0">F6*D6</f>
        <v>750.29016648519996</v>
      </c>
      <c r="H6" s="1234">
        <v>15999.99</v>
      </c>
      <c r="I6" s="73">
        <f t="shared" ref="I6:I17" si="1">H6*D6</f>
        <v>769.66159896119996</v>
      </c>
      <c r="J6" s="560">
        <f t="shared" ref="J6:J17" si="2">((F6/H6)*100)-100</f>
        <v>-2.5168765730478526</v>
      </c>
      <c r="K6" s="336">
        <f t="shared" ref="K6:K17" si="3">$K$4*E6%</f>
        <v>4.8103879999999995E-2</v>
      </c>
      <c r="L6" s="336">
        <f t="shared" ref="L6:L17" si="4">$L$4*E6%</f>
        <v>19.979759999999999</v>
      </c>
      <c r="M6" s="1233">
        <f t="shared" ref="M6:M17" si="5">L6*F6</f>
        <v>311630.1108504</v>
      </c>
    </row>
    <row r="7" spans="2:13" ht="17.25" customHeight="1" x14ac:dyDescent="0.3">
      <c r="B7" s="523">
        <f>VLOOKUP(C7,[1]Hoja1!$B$2:$C$260,2,FALSE)</f>
        <v>1131002</v>
      </c>
      <c r="C7" s="523" t="s">
        <v>663</v>
      </c>
      <c r="D7" s="190">
        <v>0.24051940000000002</v>
      </c>
      <c r="E7" s="536">
        <v>20.059999999999999</v>
      </c>
      <c r="F7" s="1076">
        <f>VLOOKUP(B7,[2]Hoja1!$C$2:$E$279,3,FALSE)</f>
        <v>0</v>
      </c>
      <c r="G7" s="73">
        <f t="shared" si="0"/>
        <v>0</v>
      </c>
      <c r="H7" s="73">
        <v>0</v>
      </c>
      <c r="I7" s="73">
        <f t="shared" si="1"/>
        <v>0</v>
      </c>
      <c r="J7" s="560" t="e">
        <f t="shared" si="2"/>
        <v>#DIV/0!</v>
      </c>
      <c r="K7" s="336">
        <f t="shared" si="3"/>
        <v>0.24051940000000002</v>
      </c>
      <c r="L7" s="336">
        <f t="shared" si="4"/>
        <v>99.898799999999994</v>
      </c>
      <c r="M7" s="1233">
        <f t="shared" si="5"/>
        <v>0</v>
      </c>
    </row>
    <row r="8" spans="2:13" ht="17.25" customHeight="1" x14ac:dyDescent="0.3">
      <c r="B8" s="523">
        <f>VLOOKUP(C8,[1]Hoja1!$B$2:$C$260,2,FALSE)</f>
        <v>1230006</v>
      </c>
      <c r="C8" s="523" t="s">
        <v>1153</v>
      </c>
      <c r="D8" s="190">
        <v>2.2852940000000002E-2</v>
      </c>
      <c r="E8" s="536">
        <v>1.9059999999999999</v>
      </c>
      <c r="F8" s="1076">
        <f>VLOOKUP(B8,[2]Hoja1!$C$2:$E$279,3,FALSE)</f>
        <v>44693.38</v>
      </c>
      <c r="G8" s="73">
        <f t="shared" si="0"/>
        <v>1021.3751315372</v>
      </c>
      <c r="H8" s="693">
        <v>42594.15</v>
      </c>
      <c r="I8" s="73">
        <f t="shared" si="1"/>
        <v>973.40155430100015</v>
      </c>
      <c r="J8" s="560">
        <f t="shared" si="2"/>
        <v>4.9284467467950179</v>
      </c>
      <c r="K8" s="336">
        <f t="shared" si="3"/>
        <v>2.2852940000000002E-2</v>
      </c>
      <c r="L8" s="336">
        <f t="shared" si="4"/>
        <v>9.4918800000000001</v>
      </c>
      <c r="M8" s="1233">
        <f t="shared" si="5"/>
        <v>424224.1997544</v>
      </c>
    </row>
    <row r="9" spans="2:13" ht="17.25" customHeight="1" x14ac:dyDescent="0.3">
      <c r="B9" s="523">
        <f>VLOOKUP(C9,[1]Hoja1!$B$2:$C$260,2,FALSE)</f>
        <v>1210006</v>
      </c>
      <c r="C9" s="523" t="s">
        <v>1130</v>
      </c>
      <c r="D9" s="190">
        <v>1.7433460000000001E-2</v>
      </c>
      <c r="E9" s="536">
        <v>1.454</v>
      </c>
      <c r="F9" s="1076">
        <f>VLOOKUP(B9,[2]Hoja1!$C$2:$E$279,3,FALSE)</f>
        <v>8904.4500000000007</v>
      </c>
      <c r="G9" s="73">
        <f t="shared" si="0"/>
        <v>155.23537289700002</v>
      </c>
      <c r="H9" s="964">
        <v>8910.1</v>
      </c>
      <c r="I9" s="73">
        <f t="shared" si="1"/>
        <v>155.33387194600002</v>
      </c>
      <c r="J9" s="560">
        <f t="shared" si="2"/>
        <v>-6.3411185059649711E-2</v>
      </c>
      <c r="K9" s="336">
        <f t="shared" si="3"/>
        <v>1.7433460000000001E-2</v>
      </c>
      <c r="L9" s="336">
        <f t="shared" si="4"/>
        <v>7.2409199999999991</v>
      </c>
      <c r="M9" s="1233">
        <f t="shared" si="5"/>
        <v>64476.410093999999</v>
      </c>
    </row>
    <row r="10" spans="2:13" ht="17.25" customHeight="1" x14ac:dyDescent="0.3">
      <c r="B10" s="523">
        <f>VLOOKUP(C10,[1]Hoja1!$B$2:$C$260,2,FALSE)</f>
        <v>1210004</v>
      </c>
      <c r="C10" s="523" t="s">
        <v>1131</v>
      </c>
      <c r="D10" s="190">
        <v>1.0191500000000001E-3</v>
      </c>
      <c r="E10" s="536">
        <v>8.5000000000000006E-2</v>
      </c>
      <c r="F10" s="1076">
        <f>VLOOKUP(B10,[2]Hoja1!$C$2:$E$279,3,FALSE)</f>
        <v>3841</v>
      </c>
      <c r="G10" s="73">
        <f t="shared" si="0"/>
        <v>3.9145551500000004</v>
      </c>
      <c r="H10" s="88">
        <v>3508.01</v>
      </c>
      <c r="I10" s="73">
        <f t="shared" si="1"/>
        <v>3.5751883915000007</v>
      </c>
      <c r="J10" s="560">
        <f t="shared" si="2"/>
        <v>9.4922762477871885</v>
      </c>
      <c r="K10" s="336">
        <f t="shared" si="3"/>
        <v>1.0191500000000001E-3</v>
      </c>
      <c r="L10" s="336">
        <f t="shared" si="4"/>
        <v>0.42330000000000001</v>
      </c>
      <c r="M10" s="1233">
        <f t="shared" si="5"/>
        <v>1625.8953000000001</v>
      </c>
    </row>
    <row r="11" spans="2:13" ht="17.25" customHeight="1" x14ac:dyDescent="0.3">
      <c r="B11" s="523">
        <f>VLOOKUP(C11,[1]Hoja1!$B$2:$C$260,2,FALSE)</f>
        <v>121007</v>
      </c>
      <c r="C11" s="523" t="s">
        <v>821</v>
      </c>
      <c r="D11" s="190">
        <v>4.8079900000000007E-3</v>
      </c>
      <c r="E11" s="536">
        <v>0.40100000000000002</v>
      </c>
      <c r="F11" s="1076">
        <f>VLOOKUP(B11,[2]Hoja1!$C$2:$E$279,3,FALSE)</f>
        <v>16905</v>
      </c>
      <c r="G11" s="73">
        <f t="shared" si="0"/>
        <v>81.279070950000005</v>
      </c>
      <c r="H11" s="1235">
        <v>16100</v>
      </c>
      <c r="I11" s="73">
        <f t="shared" si="1"/>
        <v>77.408639000000008</v>
      </c>
      <c r="J11" s="560">
        <f>((F11/H11)*100)-100</f>
        <v>5</v>
      </c>
      <c r="K11" s="336">
        <f t="shared" si="3"/>
        <v>4.8079900000000007E-3</v>
      </c>
      <c r="L11" s="336">
        <f t="shared" si="4"/>
        <v>1.9969800000000002</v>
      </c>
      <c r="M11" s="1233">
        <f t="shared" si="5"/>
        <v>33758.946900000003</v>
      </c>
    </row>
    <row r="12" spans="2:13" ht="17.25" customHeight="1" x14ac:dyDescent="0.3">
      <c r="B12" s="523">
        <f>VLOOKUP(C12,[1]Hoja1!$B$2:$C$260,2,FALSE)</f>
        <v>1250003</v>
      </c>
      <c r="C12" s="523" t="s">
        <v>914</v>
      </c>
      <c r="D12" s="190">
        <v>7.9134000000000008E-4</v>
      </c>
      <c r="E12" s="536">
        <v>6.6000000000000003E-2</v>
      </c>
      <c r="F12" s="1076">
        <f>VLOOKUP(B12,[2]Hoja1!$C$2:$E$279,3,FALSE)</f>
        <v>50952.79</v>
      </c>
      <c r="G12" s="73">
        <f t="shared" si="0"/>
        <v>40.320980838600008</v>
      </c>
      <c r="H12" s="965">
        <v>47385.41</v>
      </c>
      <c r="I12" s="73">
        <f t="shared" si="1"/>
        <v>37.497970349400006</v>
      </c>
      <c r="J12" s="560">
        <f t="shared" si="2"/>
        <v>7.5284354403602123</v>
      </c>
      <c r="K12" s="336">
        <f t="shared" si="3"/>
        <v>7.9134000000000008E-4</v>
      </c>
      <c r="L12" s="336">
        <f t="shared" si="4"/>
        <v>0.32867999999999997</v>
      </c>
      <c r="M12" s="1233">
        <f t="shared" si="5"/>
        <v>16747.1630172</v>
      </c>
    </row>
    <row r="13" spans="2:13" ht="17.25" customHeight="1" x14ac:dyDescent="0.3">
      <c r="B13" s="523">
        <f>VLOOKUP(C13,[1]Hoja1!$B$2:$C$260,2,FALSE)</f>
        <v>1250002</v>
      </c>
      <c r="C13" s="523" t="s">
        <v>1151</v>
      </c>
      <c r="D13" s="190">
        <v>2.0502900000000002E-3</v>
      </c>
      <c r="E13" s="536">
        <v>0.17100000000000001</v>
      </c>
      <c r="F13" s="1076">
        <f>VLOOKUP(B13,[2]Hoja1!$C$2:$E$279,3,FALSE)</f>
        <v>44120.54</v>
      </c>
      <c r="G13" s="73">
        <f t="shared" si="0"/>
        <v>90.459901956600007</v>
      </c>
      <c r="H13" s="964">
        <v>43034</v>
      </c>
      <c r="I13" s="73">
        <f t="shared" si="1"/>
        <v>88.232179860000002</v>
      </c>
      <c r="J13" s="560">
        <f t="shared" si="2"/>
        <v>2.5248408235348734</v>
      </c>
      <c r="K13" s="336">
        <f t="shared" si="3"/>
        <v>2.0502900000000002E-3</v>
      </c>
      <c r="L13" s="336">
        <f t="shared" si="4"/>
        <v>0.85158000000000011</v>
      </c>
      <c r="M13" s="1233">
        <f t="shared" si="5"/>
        <v>37572.169453200004</v>
      </c>
    </row>
    <row r="14" spans="2:13" ht="17.25" customHeight="1" x14ac:dyDescent="0.3">
      <c r="B14" s="523">
        <f>VLOOKUP(C14,[1]Hoja1!$B$2:$C$260,2,FALSE)</f>
        <v>1260009</v>
      </c>
      <c r="C14" s="523" t="s">
        <v>1027</v>
      </c>
      <c r="D14" s="190">
        <v>3.9686899999999997E-2</v>
      </c>
      <c r="E14" s="536">
        <v>3.31</v>
      </c>
      <c r="F14" s="1076">
        <f>VLOOKUP(B14,[2]Hoja1!$C$2:$E$279,3,FALSE)</f>
        <v>7033.69</v>
      </c>
      <c r="G14" s="73">
        <f t="shared" si="0"/>
        <v>279.14535166099995</v>
      </c>
      <c r="H14" s="73">
        <v>9565.2099999999991</v>
      </c>
      <c r="I14" s="73">
        <f t="shared" si="1"/>
        <v>379.61353274899994</v>
      </c>
      <c r="J14" s="560">
        <f t="shared" si="2"/>
        <v>-26.465911360022403</v>
      </c>
      <c r="K14" s="336">
        <f t="shared" si="3"/>
        <v>3.9686899999999997E-2</v>
      </c>
      <c r="L14" s="336">
        <f t="shared" si="4"/>
        <v>16.483799999999999</v>
      </c>
      <c r="M14" s="1233">
        <f t="shared" si="5"/>
        <v>115941.93922199999</v>
      </c>
    </row>
    <row r="15" spans="2:13" ht="17.25" customHeight="1" x14ac:dyDescent="0.3">
      <c r="B15" s="523">
        <f>VLOOKUP(C15,[1]Hoja1!$B$2:$C$260,2,FALSE)</f>
        <v>1121009</v>
      </c>
      <c r="C15" s="523" t="s">
        <v>1272</v>
      </c>
      <c r="D15" s="190">
        <v>0.28862327999999998</v>
      </c>
      <c r="E15" s="536">
        <v>24.071999999999999</v>
      </c>
      <c r="F15" s="1076">
        <f>VLOOKUP(B15,[2]Hoja1!$C$2:$E$279,3,FALSE)</f>
        <v>8741.6200000000008</v>
      </c>
      <c r="G15" s="73">
        <f t="shared" si="0"/>
        <v>2523.0350369135999</v>
      </c>
      <c r="H15" s="965">
        <v>8754.2800000000007</v>
      </c>
      <c r="I15" s="73">
        <f t="shared" si="1"/>
        <v>2526.6890076384002</v>
      </c>
      <c r="J15" s="560">
        <f t="shared" si="2"/>
        <v>-0.14461497690273006</v>
      </c>
      <c r="K15" s="336">
        <f t="shared" si="3"/>
        <v>0.28862327999999998</v>
      </c>
      <c r="L15" s="336">
        <f t="shared" si="4"/>
        <v>119.87855999999999</v>
      </c>
      <c r="M15" s="1233">
        <f t="shared" si="5"/>
        <v>1047932.8176672</v>
      </c>
    </row>
    <row r="16" spans="2:13" ht="17.25" customHeight="1" x14ac:dyDescent="0.3">
      <c r="B16" s="523">
        <f>VLOOKUP(C16,[1]Hoja1!$B$2:$C$260,2,FALSE)</f>
        <v>1250005</v>
      </c>
      <c r="C16" s="523" t="s">
        <v>1152</v>
      </c>
      <c r="D16" s="190">
        <v>1.5587000000000001E-3</v>
      </c>
      <c r="E16" s="536">
        <v>0.13</v>
      </c>
      <c r="F16" s="1076">
        <f>VLOOKUP(B16,[2]Hoja1!$C$2:$E$279,3,FALSE)</f>
        <v>66921.05</v>
      </c>
      <c r="G16" s="73">
        <f t="shared" si="0"/>
        <v>104.30984063500001</v>
      </c>
      <c r="H16" s="88">
        <v>62991.09</v>
      </c>
      <c r="I16" s="73">
        <f t="shared" si="1"/>
        <v>98.184211982999997</v>
      </c>
      <c r="J16" s="560">
        <f t="shared" si="2"/>
        <v>6.2389141067411344</v>
      </c>
      <c r="K16" s="336">
        <f t="shared" si="3"/>
        <v>1.5587000000000001E-3</v>
      </c>
      <c r="L16" s="336">
        <f t="shared" si="4"/>
        <v>0.64739999999999998</v>
      </c>
      <c r="M16" s="1233">
        <f t="shared" si="5"/>
        <v>43324.687769999997</v>
      </c>
    </row>
    <row r="17" spans="2:13" ht="17.25" customHeight="1" x14ac:dyDescent="0.3">
      <c r="B17" s="523">
        <f>VLOOKUP(C17,[1]Hoja1!$B$2:$C$260,2,FALSE)</f>
        <v>1260017</v>
      </c>
      <c r="C17" s="523" t="s">
        <v>832</v>
      </c>
      <c r="D17" s="190">
        <v>3.3667919999999997E-2</v>
      </c>
      <c r="E17" s="536">
        <v>2.8079999999999998</v>
      </c>
      <c r="F17" s="1076">
        <f>VLOOKUP(B17,[2]Hoja1!$C$2:$E$279,3,FALSE)</f>
        <v>4500</v>
      </c>
      <c r="G17" s="73">
        <f t="shared" si="0"/>
        <v>151.50564</v>
      </c>
      <c r="H17" s="73">
        <v>4500</v>
      </c>
      <c r="I17" s="73">
        <f t="shared" si="1"/>
        <v>151.50564</v>
      </c>
      <c r="J17" s="560">
        <f t="shared" si="2"/>
        <v>0</v>
      </c>
      <c r="K17" s="336">
        <f t="shared" si="3"/>
        <v>3.3667919999999997E-2</v>
      </c>
      <c r="L17" s="336">
        <f t="shared" si="4"/>
        <v>13.983839999999999</v>
      </c>
      <c r="M17" s="1233">
        <f t="shared" si="5"/>
        <v>62927.28</v>
      </c>
    </row>
    <row r="18" spans="2:13" s="146" customFormat="1" ht="17.25" customHeight="1" x14ac:dyDescent="0.25">
      <c r="B18" s="1780" t="s">
        <v>37</v>
      </c>
      <c r="C18" s="1780"/>
      <c r="D18" s="1329">
        <f>SUM(D5:D17)</f>
        <v>1.1989880100000001</v>
      </c>
      <c r="E18" s="1330">
        <f>SUM(E5:E17)</f>
        <v>99.998999999999995</v>
      </c>
      <c r="F18" s="1330"/>
      <c r="G18" s="1330">
        <f>SUM(G5:G17)</f>
        <v>10929.459749042999</v>
      </c>
      <c r="H18" s="1330"/>
      <c r="I18" s="1330">
        <f>SUM(I5:I17)</f>
        <v>12231.322035179499</v>
      </c>
      <c r="J18" s="1342">
        <f>((G18/I18)*100)-100</f>
        <v>-10.643675985245977</v>
      </c>
      <c r="K18" s="1343"/>
      <c r="L18" s="1343"/>
      <c r="M18" s="1343">
        <f>SUM(M5:M17)</f>
        <v>4539508.7197859995</v>
      </c>
    </row>
    <row r="19" spans="2:13" ht="17.25" customHeight="1" x14ac:dyDescent="0.25">
      <c r="B19" s="42"/>
      <c r="C19" s="42"/>
      <c r="D19" s="191"/>
      <c r="E19" s="42"/>
      <c r="F19" s="42"/>
      <c r="G19" s="42"/>
      <c r="H19" s="42"/>
      <c r="I19" s="42"/>
      <c r="J19" s="345"/>
      <c r="K19" s="42"/>
      <c r="L19" s="42"/>
      <c r="M19" s="42"/>
    </row>
    <row r="20" spans="2:13" ht="17.25" customHeight="1" x14ac:dyDescent="0.25">
      <c r="B20" s="1765" t="s">
        <v>50</v>
      </c>
      <c r="C20" s="1766"/>
      <c r="D20" s="38">
        <f>+C23+(C23*C29%)</f>
        <v>1199</v>
      </c>
      <c r="E20" s="159"/>
      <c r="F20" s="159"/>
      <c r="G20" s="159"/>
      <c r="H20" s="159"/>
      <c r="I20" s="159"/>
      <c r="J20" s="130"/>
    </row>
    <row r="21" spans="2:13" ht="17.25" customHeight="1" x14ac:dyDescent="0.25">
      <c r="B21" s="1344" t="s">
        <v>38</v>
      </c>
      <c r="C21" s="967" t="s">
        <v>123</v>
      </c>
      <c r="H21" s="146"/>
    </row>
    <row r="22" spans="2:13" ht="17.25" customHeight="1" x14ac:dyDescent="0.25">
      <c r="B22" s="1345" t="s">
        <v>39</v>
      </c>
      <c r="C22" s="968" t="s">
        <v>186</v>
      </c>
      <c r="H22" s="146"/>
    </row>
    <row r="23" spans="2:13" ht="17.25" customHeight="1" x14ac:dyDescent="0.25">
      <c r="B23" s="1345" t="s">
        <v>40</v>
      </c>
      <c r="C23" s="968">
        <v>1100</v>
      </c>
      <c r="H23" s="146"/>
    </row>
    <row r="24" spans="2:13" ht="17.25" customHeight="1" x14ac:dyDescent="0.25">
      <c r="B24" s="1345" t="s">
        <v>41</v>
      </c>
      <c r="C24" s="968">
        <v>0</v>
      </c>
      <c r="H24" s="146"/>
    </row>
    <row r="25" spans="2:13" ht="17.25" customHeight="1" x14ac:dyDescent="0.25">
      <c r="B25" s="1345" t="s">
        <v>42</v>
      </c>
      <c r="C25" s="968">
        <v>6</v>
      </c>
      <c r="H25" s="146"/>
    </row>
    <row r="26" spans="2:13" ht="17.25" customHeight="1" x14ac:dyDescent="0.25">
      <c r="B26" s="1345" t="s">
        <v>43</v>
      </c>
      <c r="C26" s="968">
        <v>1</v>
      </c>
      <c r="H26" s="146"/>
    </row>
    <row r="27" spans="2:13" ht="17.25" customHeight="1" x14ac:dyDescent="0.25">
      <c r="B27" s="1345" t="s">
        <v>44</v>
      </c>
      <c r="C27" s="968">
        <v>1</v>
      </c>
      <c r="H27" s="146"/>
    </row>
    <row r="28" spans="2:13" ht="17.25" customHeight="1" x14ac:dyDescent="0.25">
      <c r="B28" s="1345" t="s">
        <v>45</v>
      </c>
      <c r="C28" s="968">
        <v>1</v>
      </c>
      <c r="H28" s="146"/>
    </row>
    <row r="29" spans="2:13" ht="17.25" customHeight="1" x14ac:dyDescent="0.25">
      <c r="B29" s="1345" t="s">
        <v>46</v>
      </c>
      <c r="C29" s="968">
        <f>C28+C27+C26+C25</f>
        <v>9</v>
      </c>
      <c r="H29" s="146"/>
    </row>
    <row r="30" spans="2:13" ht="17.25" customHeight="1" x14ac:dyDescent="0.25">
      <c r="E30" s="1160">
        <f>0.15*20</f>
        <v>3</v>
      </c>
      <c r="H30" s="159"/>
      <c r="I30" s="159"/>
    </row>
    <row r="31" spans="2:13" ht="19.5" customHeight="1" x14ac:dyDescent="0.25">
      <c r="B31" s="1767" t="s">
        <v>47</v>
      </c>
      <c r="C31" s="1768"/>
      <c r="D31" s="1768"/>
      <c r="E31" s="1768"/>
      <c r="F31" s="1768"/>
      <c r="G31" s="1768"/>
      <c r="H31" s="1768"/>
      <c r="I31" s="1768"/>
    </row>
    <row r="32" spans="2:13" ht="27.75" customHeight="1" x14ac:dyDescent="0.25">
      <c r="B32" s="1346" t="s">
        <v>0</v>
      </c>
      <c r="C32" s="1346" t="s">
        <v>1</v>
      </c>
      <c r="D32" s="1347" t="s">
        <v>2</v>
      </c>
      <c r="E32" s="1335" t="str">
        <f>+'CIF Y PV'!$F$4</f>
        <v xml:space="preserve">JUN-COP/UMB </v>
      </c>
      <c r="F32" s="1335" t="str">
        <f>+'CIF Y PV'!$G$4</f>
        <v>JUN-COP/APP</v>
      </c>
      <c r="G32" s="1335" t="str">
        <f>+'CIF Y PV'!$H$4</f>
        <v xml:space="preserve">MAY-COP/UMB </v>
      </c>
      <c r="H32" s="1335" t="str">
        <f>+'CIF Y PV'!$I$4</f>
        <v>MAY-COP/APP</v>
      </c>
      <c r="I32" s="1348" t="s">
        <v>3</v>
      </c>
      <c r="J32" s="345">
        <v>1591</v>
      </c>
    </row>
    <row r="33" spans="2:11" ht="17.25" customHeight="1" x14ac:dyDescent="0.25">
      <c r="B33" s="576">
        <v>1370009</v>
      </c>
      <c r="C33" s="576" t="s">
        <v>1154</v>
      </c>
      <c r="D33" s="494">
        <v>3</v>
      </c>
      <c r="E33" s="507">
        <f>VLOOKUP(B33,[2]Hoja1!$C$2:$E$279,3,FALSE)</f>
        <v>487.07</v>
      </c>
      <c r="F33" s="507">
        <f>E33*D33</f>
        <v>1461.21</v>
      </c>
      <c r="G33" s="507">
        <v>504.87</v>
      </c>
      <c r="H33" s="507">
        <f>G33*D33</f>
        <v>1514.6100000000001</v>
      </c>
      <c r="I33" s="566">
        <f>((E33/G33)*100)-100</f>
        <v>-3.5256600709093391</v>
      </c>
      <c r="J33" s="345">
        <f>J32*D33</f>
        <v>4773</v>
      </c>
      <c r="K33" s="178"/>
    </row>
    <row r="34" spans="2:11" ht="17.25" customHeight="1" x14ac:dyDescent="0.3">
      <c r="B34" s="576">
        <v>1320005</v>
      </c>
      <c r="C34" s="576" t="s">
        <v>1035</v>
      </c>
      <c r="D34" s="494">
        <v>0.15</v>
      </c>
      <c r="E34" s="507">
        <f>VLOOKUP(B34,[2]Hoja1!$C$2:$E$279,3,FALSE)</f>
        <v>740.21</v>
      </c>
      <c r="F34" s="507">
        <f>E34*D34</f>
        <v>111.03150000000001</v>
      </c>
      <c r="G34" s="582">
        <v>828.94</v>
      </c>
      <c r="H34" s="507">
        <f>G34*D34</f>
        <v>124.34100000000001</v>
      </c>
      <c r="I34" s="566">
        <f>((E34/G34)*100)-100</f>
        <v>-10.704031654884545</v>
      </c>
      <c r="J34" s="345">
        <f>J32*D34</f>
        <v>238.64999999999998</v>
      </c>
      <c r="K34" s="178"/>
    </row>
    <row r="35" spans="2:11" ht="17.25" customHeight="1" x14ac:dyDescent="0.3">
      <c r="B35" s="576">
        <v>1310018</v>
      </c>
      <c r="C35" s="1168" t="s">
        <v>890</v>
      </c>
      <c r="D35" s="494">
        <v>0.15</v>
      </c>
      <c r="E35" s="507">
        <f>VLOOKUP(B35,[2]Hoja1!$C$2:$E$279,3,FALSE)</f>
        <v>478.26</v>
      </c>
      <c r="F35" s="507">
        <f>E35*D35</f>
        <v>71.73899999999999</v>
      </c>
      <c r="G35" s="970">
        <v>889</v>
      </c>
      <c r="H35" s="507">
        <f>G35*D35</f>
        <v>133.35</v>
      </c>
      <c r="I35" s="566">
        <f>((E35/G35)*100)-100</f>
        <v>-46.202474690663664</v>
      </c>
      <c r="J35" s="345">
        <f>J32*D35</f>
        <v>238.64999999999998</v>
      </c>
      <c r="K35" s="178"/>
    </row>
    <row r="36" spans="2:11" ht="17.25" customHeight="1" x14ac:dyDescent="0.3">
      <c r="B36" s="42">
        <v>1330002</v>
      </c>
      <c r="C36" s="1544" t="s">
        <v>1262</v>
      </c>
      <c r="D36" s="1089">
        <v>1</v>
      </c>
      <c r="E36" s="507">
        <f>VLOOKUP(B36,[2]Hoja1!$C$2:$E$279,3,FALSE)</f>
        <v>75</v>
      </c>
      <c r="F36" s="507">
        <f>E36*D36</f>
        <v>75</v>
      </c>
      <c r="G36" s="1601"/>
      <c r="H36" s="1091"/>
      <c r="I36" s="877"/>
      <c r="J36" s="345"/>
      <c r="K36" s="178"/>
    </row>
    <row r="37" spans="2:11" ht="17.25" customHeight="1" x14ac:dyDescent="0.25">
      <c r="B37" s="1346"/>
      <c r="C37" s="1346" t="s">
        <v>37</v>
      </c>
      <c r="D37" s="1347"/>
      <c r="E37" s="1349"/>
      <c r="F37" s="1349">
        <f>SUM(F33:F36)</f>
        <v>1718.9805000000001</v>
      </c>
      <c r="G37" s="1349"/>
      <c r="H37" s="1349">
        <f>SUM(H33:H35)</f>
        <v>1772.3009999999999</v>
      </c>
      <c r="I37" s="1350">
        <f>((F37/H37)*100)-100</f>
        <v>-3.0085465166469874</v>
      </c>
      <c r="J37" s="345"/>
    </row>
    <row r="38" spans="2:11" ht="17.25" customHeight="1" x14ac:dyDescent="0.25">
      <c r="E38" s="178"/>
      <c r="H38" s="1" t="str">
        <f>+'CIF Y PV'!$G$1</f>
        <v>MAYO</v>
      </c>
    </row>
    <row r="39" spans="2:11" ht="17.25" customHeight="1" x14ac:dyDescent="0.25">
      <c r="B39" s="1779" t="s">
        <v>987</v>
      </c>
      <c r="C39" s="1779"/>
      <c r="D39" s="191"/>
      <c r="E39" s="972"/>
      <c r="F39" s="972"/>
      <c r="G39" s="972"/>
      <c r="H39" s="972">
        <f>+F37+G18</f>
        <v>12648.440249042998</v>
      </c>
      <c r="I39" s="173"/>
      <c r="J39" s="884"/>
      <c r="K39" s="173"/>
    </row>
    <row r="40" spans="2:11" ht="17.25" customHeight="1" x14ac:dyDescent="0.25">
      <c r="B40" s="1777" t="s">
        <v>48</v>
      </c>
      <c r="C40" s="1778"/>
      <c r="D40" s="191"/>
      <c r="E40" s="972"/>
      <c r="F40" s="972"/>
      <c r="G40" s="972"/>
      <c r="H40" s="972">
        <f>+('CIF Y PV'!C3/1000)*1100</f>
        <v>2079</v>
      </c>
      <c r="I40" s="176"/>
      <c r="J40" s="884"/>
      <c r="K40" s="176"/>
    </row>
    <row r="41" spans="2:11" ht="17.25" customHeight="1" x14ac:dyDescent="0.25">
      <c r="B41" s="1777" t="s">
        <v>191</v>
      </c>
      <c r="C41" s="1778"/>
      <c r="D41" s="191"/>
      <c r="E41" s="972"/>
      <c r="F41" s="972"/>
      <c r="G41" s="972"/>
      <c r="H41" s="972">
        <f>+H39+H40</f>
        <v>14727.440249042998</v>
      </c>
      <c r="I41" s="177"/>
      <c r="J41" s="884"/>
      <c r="K41" s="177"/>
    </row>
    <row r="42" spans="2:11" ht="17.25" customHeight="1" x14ac:dyDescent="0.25">
      <c r="B42" s="1779" t="s">
        <v>49</v>
      </c>
      <c r="C42" s="1779"/>
      <c r="D42" s="191"/>
      <c r="E42" s="972"/>
      <c r="F42" s="972"/>
      <c r="G42" s="972"/>
      <c r="H42" s="972">
        <f>'CIF Y PV'!C9</f>
        <v>26346.075000000001</v>
      </c>
      <c r="J42" s="884"/>
      <c r="K42" s="300"/>
    </row>
    <row r="43" spans="2:11" ht="17.25" customHeight="1" x14ac:dyDescent="0.2">
      <c r="B43" s="1779" t="s">
        <v>805</v>
      </c>
      <c r="C43" s="1779"/>
      <c r="D43" s="191"/>
      <c r="E43" s="972"/>
      <c r="F43" s="972"/>
      <c r="G43" s="972"/>
      <c r="H43" s="976">
        <f>+(H42-H41)/H42</f>
        <v>0.44100059500160849</v>
      </c>
      <c r="I43" s="168"/>
      <c r="K43" s="168">
        <f>1-K42</f>
        <v>1</v>
      </c>
    </row>
    <row r="44" spans="2:11" ht="17.25" customHeight="1" x14ac:dyDescent="0.25">
      <c r="H44" s="146"/>
    </row>
    <row r="45" spans="2:11" ht="17.25" customHeight="1" x14ac:dyDescent="0.25">
      <c r="C45" s="120" t="s">
        <v>818</v>
      </c>
      <c r="H45" s="146"/>
    </row>
  </sheetData>
  <mergeCells count="9">
    <mergeCell ref="B41:C41"/>
    <mergeCell ref="B42:C42"/>
    <mergeCell ref="B43:C43"/>
    <mergeCell ref="B2:I2"/>
    <mergeCell ref="B18:C18"/>
    <mergeCell ref="B20:C20"/>
    <mergeCell ref="B31:I31"/>
    <mergeCell ref="B39:C39"/>
    <mergeCell ref="B40:C40"/>
  </mergeCells>
  <pageMargins left="0.7" right="0.7" top="0.75" bottom="0.75" header="0.3" footer="0.3"/>
  <pageSetup scale="3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5DEB-9821-4540-903C-C1D9ABE273AA}">
  <sheetPr codeName="Hoja28">
    <tabColor rgb="FF0070C0"/>
  </sheetPr>
  <dimension ref="B2:M46"/>
  <sheetViews>
    <sheetView view="pageBreakPreview" topLeftCell="A27" zoomScaleNormal="100" zoomScaleSheetLayoutView="100" workbookViewId="0">
      <selection activeCell="F19" sqref="F19"/>
    </sheetView>
  </sheetViews>
  <sheetFormatPr baseColWidth="10" defaultColWidth="11.5703125" defaultRowHeight="15" customHeight="1" x14ac:dyDescent="0.25"/>
  <cols>
    <col min="1" max="1" width="7" style="120" customWidth="1"/>
    <col min="2" max="2" width="11.5703125" style="120"/>
    <col min="3" max="3" width="52.5703125" style="120" customWidth="1"/>
    <col min="4" max="4" width="11.7109375" style="119" bestFit="1" customWidth="1"/>
    <col min="5" max="5" width="11.7109375" style="120" bestFit="1" customWidth="1"/>
    <col min="6" max="6" width="12.85546875" style="120" customWidth="1"/>
    <col min="7" max="7" width="12.42578125" style="120" customWidth="1"/>
    <col min="8" max="8" width="12.5703125" style="120" bestFit="1" customWidth="1"/>
    <col min="9" max="9" width="14.5703125" style="120" bestFit="1" customWidth="1"/>
    <col min="10" max="10" width="12.7109375" style="120" bestFit="1" customWidth="1"/>
    <col min="11" max="11" width="11.5703125" style="120"/>
    <col min="12" max="12" width="11.7109375" style="120" bestFit="1" customWidth="1"/>
    <col min="13" max="13" width="14.7109375" style="120" bestFit="1" customWidth="1"/>
    <col min="14" max="16384" width="11.5703125" style="120"/>
  </cols>
  <sheetData>
    <row r="2" spans="2:13" ht="15" customHeight="1" x14ac:dyDescent="0.25">
      <c r="B2" s="1743" t="s">
        <v>1098</v>
      </c>
      <c r="C2" s="1743"/>
      <c r="D2" s="1743"/>
      <c r="E2" s="1743"/>
      <c r="F2" s="1743"/>
      <c r="G2" s="1743"/>
      <c r="H2" s="1743"/>
      <c r="I2" s="1743"/>
    </row>
    <row r="4" spans="2:13" ht="20.25" customHeight="1" x14ac:dyDescent="0.25">
      <c r="B4" s="1271" t="s">
        <v>0</v>
      </c>
      <c r="C4" s="1271" t="s">
        <v>1</v>
      </c>
      <c r="D4" s="1314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51" t="s">
        <v>3</v>
      </c>
      <c r="K4" s="1353">
        <f>+D22/1000</f>
        <v>0.114</v>
      </c>
      <c r="L4" s="1310">
        <v>300.27800000000002</v>
      </c>
      <c r="M4" s="1352" t="s">
        <v>1001</v>
      </c>
    </row>
    <row r="5" spans="2:13" ht="15" customHeight="1" x14ac:dyDescent="0.25">
      <c r="B5" s="6">
        <f>VLOOKUP(C5,[1]Hoja1!$B$2:$C$260,2,FALSE)</f>
        <v>1122001</v>
      </c>
      <c r="C5" s="6" t="s">
        <v>1030</v>
      </c>
      <c r="D5" s="1202">
        <v>4.8594968662372888E-2</v>
      </c>
      <c r="E5" s="204">
        <f>(D5*100)/$D$20</f>
        <v>42.626434059258372</v>
      </c>
      <c r="F5" s="107">
        <f>VLOOKUP(B5,[2]Hoja1!$C$2:$E$279,3,FALSE)</f>
        <v>11506.13</v>
      </c>
      <c r="G5" s="204">
        <f>F5*D5</f>
        <v>559.14002677518852</v>
      </c>
      <c r="H5" s="38">
        <v>14000</v>
      </c>
      <c r="I5" s="96">
        <f>H5*D5</f>
        <v>680.32956127322041</v>
      </c>
      <c r="J5" s="233">
        <f>((F5/H5)*100)-100</f>
        <v>-17.813357142857143</v>
      </c>
      <c r="K5" s="1037">
        <f>$K$4*E5%</f>
        <v>4.8594134827554543E-2</v>
      </c>
      <c r="L5" s="277">
        <f>$L$4*E5%</f>
        <v>127.99780366445987</v>
      </c>
      <c r="M5" s="1231">
        <f>L5*F5</f>
        <v>1472759.3686777514</v>
      </c>
    </row>
    <row r="6" spans="2:13" ht="15" customHeight="1" x14ac:dyDescent="0.25">
      <c r="B6" s="6">
        <f>VLOOKUP(C6,[1]Hoja1!$B$2:$C$260,2,FALSE)</f>
        <v>1121009</v>
      </c>
      <c r="C6" s="6" t="s">
        <v>1272</v>
      </c>
      <c r="D6" s="1202">
        <v>3.4168337340730923E-2</v>
      </c>
      <c r="E6" s="204">
        <f t="shared" ref="E6:E19" si="0">(D6*100)/$D$20</f>
        <v>29.971711447916025</v>
      </c>
      <c r="F6" s="107">
        <f>VLOOKUP(B6,[2]Hoja1!$C$2:$E$279,3,FALSE)</f>
        <v>8741.6200000000008</v>
      </c>
      <c r="G6" s="204">
        <f t="shared" ref="G6:G19" si="1">F6*D6</f>
        <v>298.68662106448028</v>
      </c>
      <c r="H6" s="949">
        <v>8754.2800000000007</v>
      </c>
      <c r="I6" s="96">
        <f t="shared" ref="I6:I19" si="2">H6*D6</f>
        <v>299.1191922152139</v>
      </c>
      <c r="J6" s="233">
        <f t="shared" ref="J6:J19" si="3">((F6/H6)*100)-100</f>
        <v>-0.14461497690273006</v>
      </c>
      <c r="K6" s="1037">
        <f t="shared" ref="K6:K19" si="4">$K$4*E6%</f>
        <v>3.4167751050624272E-2</v>
      </c>
      <c r="L6" s="277">
        <f t="shared" ref="L6:L19" si="5">$L$4*E6%</f>
        <v>89.998455701573292</v>
      </c>
      <c r="M6" s="1231">
        <f t="shared" ref="M6:M19" si="6">L6*F6</f>
        <v>786732.30032998719</v>
      </c>
    </row>
    <row r="7" spans="2:13" ht="15" customHeight="1" x14ac:dyDescent="0.25">
      <c r="B7" s="6">
        <f>VLOOKUP(C7,[1]Hoja1!$B$2:$C$260,2,FALSE)</f>
        <v>1131002</v>
      </c>
      <c r="C7" s="6" t="s">
        <v>663</v>
      </c>
      <c r="D7" s="1202">
        <v>2.1260298789788128E-2</v>
      </c>
      <c r="E7" s="204">
        <f t="shared" si="0"/>
        <v>18.649064900925527</v>
      </c>
      <c r="F7" s="107">
        <f>VLOOKUP(B7,[2]Hoja1!$C$2:$E$279,3,FALSE)</f>
        <v>0</v>
      </c>
      <c r="G7" s="204">
        <f t="shared" si="1"/>
        <v>0</v>
      </c>
      <c r="H7" s="96">
        <v>0</v>
      </c>
      <c r="I7" s="96">
        <f t="shared" si="2"/>
        <v>0</v>
      </c>
      <c r="J7" s="233" t="e">
        <f t="shared" si="3"/>
        <v>#DIV/0!</v>
      </c>
      <c r="K7" s="1037">
        <f t="shared" si="4"/>
        <v>2.1259933987055103E-2</v>
      </c>
      <c r="L7" s="277">
        <f t="shared" si="5"/>
        <v>55.999039103201156</v>
      </c>
      <c r="M7" s="1231">
        <f t="shared" si="6"/>
        <v>0</v>
      </c>
    </row>
    <row r="8" spans="2:13" ht="15" customHeight="1" x14ac:dyDescent="0.25">
      <c r="B8" s="6">
        <f>VLOOKUP(C8,[1]Hoja1!$B$2:$C$260,2,FALSE)</f>
        <v>1260009</v>
      </c>
      <c r="C8" s="6" t="s">
        <v>1027</v>
      </c>
      <c r="D8" s="1202">
        <v>3.416833734073092E-3</v>
      </c>
      <c r="E8" s="204">
        <f t="shared" si="0"/>
        <v>2.9971711447916025</v>
      </c>
      <c r="F8" s="107">
        <f>VLOOKUP(B8,[2]Hoja1!$C$2:$E$279,3,FALSE)</f>
        <v>7033.69</v>
      </c>
      <c r="G8" s="204">
        <f t="shared" si="1"/>
        <v>24.032949267012565</v>
      </c>
      <c r="H8" s="880">
        <v>9565.2099999999991</v>
      </c>
      <c r="I8" s="96">
        <f t="shared" si="2"/>
        <v>32.68273220149328</v>
      </c>
      <c r="J8" s="233">
        <f t="shared" si="3"/>
        <v>-26.465911360022403</v>
      </c>
      <c r="K8" s="1037">
        <f t="shared" si="4"/>
        <v>3.416775105062427E-3</v>
      </c>
      <c r="L8" s="277">
        <f t="shared" si="5"/>
        <v>8.9998455701573281</v>
      </c>
      <c r="M8" s="1231">
        <f t="shared" si="6"/>
        <v>63302.123788359895</v>
      </c>
    </row>
    <row r="9" spans="2:13" ht="15" customHeight="1" x14ac:dyDescent="0.25">
      <c r="B9" s="6">
        <f>VLOOKUP(C9,[1]Hoja1!$B$2:$C$260,2,FALSE)</f>
        <v>1230005</v>
      </c>
      <c r="C9" s="6" t="s">
        <v>1158</v>
      </c>
      <c r="D9" s="1202">
        <v>2.277889156048729E-3</v>
      </c>
      <c r="E9" s="204">
        <f t="shared" si="0"/>
        <v>1.998114096527736</v>
      </c>
      <c r="F9" s="107">
        <f>VLOOKUP(B9,[2]Hoja1!$C$2:$E$279,3,FALSE)</f>
        <v>45711.59</v>
      </c>
      <c r="G9" s="204">
        <f t="shared" si="1"/>
        <v>104.12593516674551</v>
      </c>
      <c r="H9" s="95">
        <v>42915.05</v>
      </c>
      <c r="I9" s="96">
        <f t="shared" si="2"/>
        <v>97.755727026289009</v>
      </c>
      <c r="J9" s="233">
        <f t="shared" si="3"/>
        <v>6.5164551829719244</v>
      </c>
      <c r="K9" s="1037">
        <f t="shared" si="4"/>
        <v>2.2778500700416189E-3</v>
      </c>
      <c r="L9" s="277">
        <f t="shared" si="5"/>
        <v>5.9998970467715553</v>
      </c>
      <c r="M9" s="1231">
        <f t="shared" si="6"/>
        <v>274264.83384423214</v>
      </c>
    </row>
    <row r="10" spans="2:13" ht="15" customHeight="1" x14ac:dyDescent="0.25">
      <c r="B10" s="6">
        <f>VLOOKUP(C10,[1]Hoja1!$B$2:$C$260,2,FALSE)</f>
        <v>1260017</v>
      </c>
      <c r="C10" s="6" t="s">
        <v>832</v>
      </c>
      <c r="D10" s="1202">
        <v>1.4426631321641946E-3</v>
      </c>
      <c r="E10" s="204">
        <f t="shared" si="0"/>
        <v>1.2654722611342322</v>
      </c>
      <c r="F10" s="107">
        <f>VLOOKUP(B10,[2]Hoja1!$C$2:$E$279,3,FALSE)</f>
        <v>4500</v>
      </c>
      <c r="G10" s="204">
        <f t="shared" si="1"/>
        <v>6.4919840947388758</v>
      </c>
      <c r="H10" s="95">
        <v>4500</v>
      </c>
      <c r="I10" s="96">
        <f t="shared" si="2"/>
        <v>6.4919840947388758</v>
      </c>
      <c r="J10" s="233">
        <f t="shared" si="3"/>
        <v>0</v>
      </c>
      <c r="K10" s="1037">
        <f t="shared" si="4"/>
        <v>1.4426383776930249E-3</v>
      </c>
      <c r="L10" s="277">
        <f t="shared" si="5"/>
        <v>3.7999347962886501</v>
      </c>
      <c r="M10" s="1231">
        <f t="shared" si="6"/>
        <v>17099.706583298925</v>
      </c>
    </row>
    <row r="11" spans="2:13" ht="15" customHeight="1" x14ac:dyDescent="0.25">
      <c r="B11" s="6">
        <f>VLOOKUP(C11,[1]Hoja1!$B$2:$C$260,2,FALSE)</f>
        <v>1210005</v>
      </c>
      <c r="C11" s="6" t="s">
        <v>1155</v>
      </c>
      <c r="D11" s="1202">
        <v>1.1970000000000001E-3</v>
      </c>
      <c r="E11" s="1563">
        <v>1.05</v>
      </c>
      <c r="F11" s="107">
        <f>VLOOKUP(B11,[2]Hoja1!$C$2:$E$279,3,FALSE)</f>
        <v>1356</v>
      </c>
      <c r="G11" s="204">
        <f t="shared" si="1"/>
        <v>1.6231320000000002</v>
      </c>
      <c r="H11" s="880">
        <v>1360</v>
      </c>
      <c r="I11" s="96">
        <f t="shared" si="2"/>
        <v>1.6279200000000003</v>
      </c>
      <c r="J11" s="233">
        <f t="shared" si="3"/>
        <v>-0.29411764705882604</v>
      </c>
      <c r="K11" s="1037">
        <f t="shared" si="4"/>
        <v>1.1970000000000001E-3</v>
      </c>
      <c r="L11" s="1564">
        <f>$L$4*E11%</f>
        <v>3.1529190000000002</v>
      </c>
      <c r="M11" s="1231">
        <f t="shared" si="6"/>
        <v>4275.3581640000002</v>
      </c>
    </row>
    <row r="12" spans="2:13" ht="15" customHeight="1" x14ac:dyDescent="0.25">
      <c r="B12" s="6">
        <f>VLOOKUP(C12,[1]Hoja1!$B$2:$C$260,2,FALSE)</f>
        <v>121007</v>
      </c>
      <c r="C12" s="6" t="s">
        <v>821</v>
      </c>
      <c r="D12" s="1202">
        <v>5.3150746974470349E-4</v>
      </c>
      <c r="E12" s="204">
        <f t="shared" si="0"/>
        <v>0.4662266225231384</v>
      </c>
      <c r="F12" s="107">
        <f>VLOOKUP(B12,[2]Hoja1!$C$2:$E$279,3,FALSE)</f>
        <v>16905</v>
      </c>
      <c r="G12" s="204">
        <f t="shared" si="1"/>
        <v>8.9851337760342123</v>
      </c>
      <c r="H12" s="880">
        <v>16100</v>
      </c>
      <c r="I12" s="96">
        <f t="shared" si="2"/>
        <v>8.5572702628897268</v>
      </c>
      <c r="J12" s="233">
        <f t="shared" si="3"/>
        <v>5</v>
      </c>
      <c r="K12" s="1037">
        <f t="shared" si="4"/>
        <v>5.3149834967637774E-4</v>
      </c>
      <c r="L12" s="277">
        <f t="shared" si="5"/>
        <v>1.3999759775800296</v>
      </c>
      <c r="M12" s="1231">
        <f t="shared" si="6"/>
        <v>23666.5939009904</v>
      </c>
    </row>
    <row r="13" spans="2:13" ht="15" customHeight="1" x14ac:dyDescent="0.25">
      <c r="B13" s="6">
        <f>VLOOKUP(C13,[1]Hoja1!$B$2:$C$260,2,FALSE)</f>
        <v>1220014</v>
      </c>
      <c r="C13" s="6" t="s">
        <v>1146</v>
      </c>
      <c r="D13" s="1202">
        <v>5.1252506011096439E-4</v>
      </c>
      <c r="E13" s="204">
        <f t="shared" si="0"/>
        <v>0.44957567171874091</v>
      </c>
      <c r="F13" s="107">
        <f>VLOOKUP(B13,[2]Hoja1!$C$2:$E$279,3,FALSE)</f>
        <v>14060</v>
      </c>
      <c r="G13" s="204">
        <f t="shared" si="1"/>
        <v>7.2061023451601596</v>
      </c>
      <c r="H13" s="914">
        <v>13300.01</v>
      </c>
      <c r="I13" s="96">
        <f t="shared" si="2"/>
        <v>6.8165884247264277</v>
      </c>
      <c r="J13" s="233">
        <f t="shared" si="3"/>
        <v>5.7142062299201086</v>
      </c>
      <c r="K13" s="1037">
        <f t="shared" si="4"/>
        <v>5.1251626575936468E-4</v>
      </c>
      <c r="L13" s="277">
        <f t="shared" si="5"/>
        <v>1.349976835523601</v>
      </c>
      <c r="M13" s="1231">
        <f t="shared" si="6"/>
        <v>18980.674307461832</v>
      </c>
    </row>
    <row r="14" spans="2:13" ht="15" customHeight="1" x14ac:dyDescent="0.25">
      <c r="B14" s="6">
        <f>VLOOKUP(C14,[1]Hoja1!$B$2:$C$260,2,FALSE)</f>
        <v>1210004</v>
      </c>
      <c r="C14" s="6" t="s">
        <v>1131</v>
      </c>
      <c r="D14" s="1202">
        <v>9.5760000000000005E-5</v>
      </c>
      <c r="E14" s="1565">
        <v>8.4000000000000005E-2</v>
      </c>
      <c r="F14" s="107">
        <f>VLOOKUP(B14,[2]Hoja1!$C$2:$E$279,3,FALSE)</f>
        <v>3841</v>
      </c>
      <c r="G14" s="204">
        <f t="shared" si="1"/>
        <v>0.36781416</v>
      </c>
      <c r="H14" s="914">
        <v>3508.01</v>
      </c>
      <c r="I14" s="96">
        <f t="shared" si="2"/>
        <v>0.33592703760000003</v>
      </c>
      <c r="J14" s="233">
        <f t="shared" si="3"/>
        <v>9.4922762477871885</v>
      </c>
      <c r="K14" s="1037">
        <f t="shared" si="4"/>
        <v>9.5760000000000005E-5</v>
      </c>
      <c r="L14" s="1564">
        <f t="shared" si="5"/>
        <v>0.25223352000000004</v>
      </c>
      <c r="M14" s="1231">
        <f t="shared" si="6"/>
        <v>968.82895032000022</v>
      </c>
    </row>
    <row r="15" spans="2:13" ht="15" customHeight="1" x14ac:dyDescent="0.25">
      <c r="B15" s="6">
        <f>VLOOKUP(C15,[1]Hoja1!$B$2:$C$260,2,FALSE)</f>
        <v>1250005</v>
      </c>
      <c r="C15" s="6" t="s">
        <v>1152</v>
      </c>
      <c r="D15" s="1202">
        <v>1.7122133489632957E-4</v>
      </c>
      <c r="E15" s="204">
        <f t="shared" si="0"/>
        <v>0.15019157625566823</v>
      </c>
      <c r="F15" s="107">
        <f>VLOOKUP(B15,[2]Hoja1!$C$2:$E$279,3,FALSE)</f>
        <v>66921.05</v>
      </c>
      <c r="G15" s="204">
        <f t="shared" si="1"/>
        <v>11.458311513664016</v>
      </c>
      <c r="H15" s="95">
        <v>62991.09</v>
      </c>
      <c r="I15" s="96">
        <f t="shared" si="2"/>
        <v>10.785418516374836</v>
      </c>
      <c r="J15" s="233">
        <f t="shared" si="3"/>
        <v>6.2389141067411344</v>
      </c>
      <c r="K15" s="1037">
        <f t="shared" si="4"/>
        <v>1.7121839693146179E-4</v>
      </c>
      <c r="L15" s="277">
        <f t="shared" si="5"/>
        <v>0.45099226134899545</v>
      </c>
      <c r="M15" s="1231">
        <f t="shared" si="6"/>
        <v>30180.875671349193</v>
      </c>
    </row>
    <row r="16" spans="2:13" ht="15" customHeight="1" x14ac:dyDescent="0.25">
      <c r="B16" s="6">
        <f>VLOOKUP(C16,[1]Hoja1!$B$2:$C$260,2,FALSE)</f>
        <v>1270004</v>
      </c>
      <c r="C16" s="6" t="s">
        <v>1032</v>
      </c>
      <c r="D16" s="1202">
        <v>1.1920953249988351E-4</v>
      </c>
      <c r="E16" s="204">
        <f t="shared" si="0"/>
        <v>0.10456797105161819</v>
      </c>
      <c r="F16" s="107">
        <f>VLOOKUP(B16,[2]Hoja1!$C$2:$E$279,3,FALSE)</f>
        <v>50662</v>
      </c>
      <c r="G16" s="204">
        <f t="shared" si="1"/>
        <v>6.0393933355090983</v>
      </c>
      <c r="H16" s="95">
        <v>53849.37</v>
      </c>
      <c r="I16" s="96">
        <f t="shared" si="2"/>
        <v>6.4193582231132522</v>
      </c>
      <c r="J16" s="233">
        <f t="shared" si="3"/>
        <v>-5.9190478922966179</v>
      </c>
      <c r="K16" s="1037">
        <f t="shared" si="4"/>
        <v>1.1920748699884476E-4</v>
      </c>
      <c r="L16" s="277">
        <f t="shared" si="5"/>
        <v>0.31399461211437812</v>
      </c>
      <c r="M16" s="1231">
        <f t="shared" si="6"/>
        <v>15907.595038938625</v>
      </c>
    </row>
    <row r="17" spans="2:13" ht="15" customHeight="1" x14ac:dyDescent="0.25">
      <c r="B17" s="6">
        <f>VLOOKUP(C17,[1]Hoja1!$B$2:$C$260,2,FALSE)</f>
        <v>1220001</v>
      </c>
      <c r="C17" s="6" t="s">
        <v>1156</v>
      </c>
      <c r="D17" s="1202">
        <v>1.1389445780243647E-4</v>
      </c>
      <c r="E17" s="204">
        <f t="shared" si="0"/>
        <v>9.9905704826386818E-2</v>
      </c>
      <c r="F17" s="107">
        <f>VLOOKUP(B17,[2]Hoja1!$C$2:$E$279,3,FALSE)</f>
        <v>85579.98</v>
      </c>
      <c r="G17" s="204">
        <f t="shared" si="1"/>
        <v>9.7470854208433568</v>
      </c>
      <c r="H17" s="25">
        <v>81899.73</v>
      </c>
      <c r="I17" s="96">
        <f t="shared" si="2"/>
        <v>9.3279253425159396</v>
      </c>
      <c r="J17" s="233">
        <f t="shared" si="3"/>
        <v>4.4936045576706931</v>
      </c>
      <c r="K17" s="1037">
        <f t="shared" si="4"/>
        <v>1.1389250350208098E-4</v>
      </c>
      <c r="L17" s="277">
        <f t="shared" si="5"/>
        <v>0.29999485233857781</v>
      </c>
      <c r="M17" s="1231">
        <f t="shared" si="6"/>
        <v>25673.553463238441</v>
      </c>
    </row>
    <row r="18" spans="2:13" ht="15" customHeight="1" x14ac:dyDescent="0.25">
      <c r="B18" s="6">
        <f>VLOOKUP(C18,[1]Hoja1!$B$2:$C$260,2,FALSE)</f>
        <v>1220005</v>
      </c>
      <c r="C18" s="6" t="s">
        <v>1135</v>
      </c>
      <c r="D18" s="1202">
        <v>5.4289691552494714E-5</v>
      </c>
      <c r="E18" s="204">
        <f t="shared" si="0"/>
        <v>4.7621719300577715E-2</v>
      </c>
      <c r="F18" s="107">
        <f>VLOOKUP(B18,[2]Hoja1!$C$2:$E$279,3,FALSE)</f>
        <v>17429.990000000002</v>
      </c>
      <c r="G18" s="204">
        <f t="shared" si="1"/>
        <v>0.94626878086306743</v>
      </c>
      <c r="H18" s="880">
        <v>17430</v>
      </c>
      <c r="I18" s="96">
        <f t="shared" si="2"/>
        <v>0.94626932375998285</v>
      </c>
      <c r="J18" s="233">
        <f t="shared" si="3"/>
        <v>-5.7372346518036466E-5</v>
      </c>
      <c r="K18" s="1037">
        <f t="shared" si="4"/>
        <v>5.4288760002658597E-5</v>
      </c>
      <c r="L18" s="277">
        <f t="shared" si="5"/>
        <v>0.14299754628138875</v>
      </c>
      <c r="M18" s="1231">
        <f t="shared" si="6"/>
        <v>2492.4458017091433</v>
      </c>
    </row>
    <row r="19" spans="2:13" ht="15" customHeight="1" x14ac:dyDescent="0.25">
      <c r="B19" s="6">
        <f>VLOOKUP(C19,[1]Hoja1!$B$2:$C$260,2,FALSE)</f>
        <v>1220008</v>
      </c>
      <c r="C19" s="6" t="s">
        <v>1157</v>
      </c>
      <c r="D19" s="1202">
        <v>4.5557783120974566E-5</v>
      </c>
      <c r="E19" s="204">
        <f t="shared" si="0"/>
        <v>3.9962281930554705E-2</v>
      </c>
      <c r="F19" s="107">
        <f>VLOOKUP(B19,[2]Hoja1!$C$2:$E$279,3,FALSE)</f>
        <v>50476.2</v>
      </c>
      <c r="G19" s="204">
        <f t="shared" si="1"/>
        <v>2.2995837723709363</v>
      </c>
      <c r="H19" s="95">
        <v>48608.39</v>
      </c>
      <c r="I19" s="96">
        <f t="shared" si="2"/>
        <v>2.2144904894797488</v>
      </c>
      <c r="J19" s="233">
        <f t="shared" si="3"/>
        <v>3.8425670959272509</v>
      </c>
      <c r="K19" s="1037">
        <f t="shared" si="4"/>
        <v>4.5557001400832363E-5</v>
      </c>
      <c r="L19" s="277">
        <f t="shared" si="5"/>
        <v>0.11999794093543106</v>
      </c>
      <c r="M19" s="1231">
        <f t="shared" si="6"/>
        <v>6057.0400662450047</v>
      </c>
    </row>
    <row r="20" spans="2:13" s="146" customFormat="1" ht="15" customHeight="1" x14ac:dyDescent="0.25">
      <c r="B20" s="1780" t="s">
        <v>37</v>
      </c>
      <c r="C20" s="1780"/>
      <c r="D20" s="1329">
        <f>SUM(D5:D19)</f>
        <v>0.11400195614490574</v>
      </c>
      <c r="E20" s="1330">
        <f>SUM(E5:E19)</f>
        <v>100.00001945816018</v>
      </c>
      <c r="F20" s="1330"/>
      <c r="G20" s="1354">
        <f>SUM(G5:G19)</f>
        <v>1041.1503414726105</v>
      </c>
      <c r="H20" s="1330"/>
      <c r="I20" s="1354">
        <f>SUM(I5:I19)</f>
        <v>1163.410364431415</v>
      </c>
      <c r="J20" s="1331">
        <f>((G20/I20)*100)-100</f>
        <v>-10.508761714406404</v>
      </c>
      <c r="K20" s="1332"/>
      <c r="L20" s="1332">
        <f>SUM(L5:L19)</f>
        <v>300.27805842857413</v>
      </c>
      <c r="M20" s="1562">
        <f>SUM(M5:M19)</f>
        <v>2742361.298587882</v>
      </c>
    </row>
    <row r="21" spans="2:13" ht="15" customHeight="1" x14ac:dyDescent="0.25">
      <c r="J21" s="775"/>
    </row>
    <row r="22" spans="2:13" ht="15" customHeight="1" x14ac:dyDescent="0.25">
      <c r="B22" s="1765" t="s">
        <v>50</v>
      </c>
      <c r="C22" s="1766"/>
      <c r="D22" s="38">
        <f>+C25+(C25*C31%)</f>
        <v>114</v>
      </c>
      <c r="E22" s="159"/>
      <c r="F22" s="159"/>
      <c r="G22" s="159"/>
      <c r="H22" s="159"/>
      <c r="I22" s="159"/>
      <c r="J22" s="159"/>
    </row>
    <row r="23" spans="2:13" ht="15" customHeight="1" x14ac:dyDescent="0.25">
      <c r="B23" s="1284" t="s">
        <v>38</v>
      </c>
      <c r="C23" s="161" t="s">
        <v>123</v>
      </c>
    </row>
    <row r="24" spans="2:13" ht="15" customHeight="1" x14ac:dyDescent="0.25">
      <c r="B24" s="1285" t="s">
        <v>39</v>
      </c>
      <c r="C24" s="163" t="s">
        <v>419</v>
      </c>
      <c r="G24" s="146"/>
      <c r="H24" s="146"/>
    </row>
    <row r="25" spans="2:13" ht="15" customHeight="1" x14ac:dyDescent="0.25">
      <c r="B25" s="1285" t="s">
        <v>40</v>
      </c>
      <c r="C25" s="163">
        <v>100</v>
      </c>
      <c r="H25" s="146"/>
    </row>
    <row r="26" spans="2:13" ht="15" customHeight="1" x14ac:dyDescent="0.25">
      <c r="B26" s="1285" t="s">
        <v>41</v>
      </c>
      <c r="C26" s="163">
        <v>0</v>
      </c>
      <c r="H26" s="146"/>
    </row>
    <row r="27" spans="2:13" ht="15" customHeight="1" x14ac:dyDescent="0.25">
      <c r="B27" s="1285" t="s">
        <v>42</v>
      </c>
      <c r="C27" s="163">
        <v>6</v>
      </c>
      <c r="H27" s="146"/>
    </row>
    <row r="28" spans="2:13" ht="15" customHeight="1" x14ac:dyDescent="0.25">
      <c r="B28" s="1285" t="s">
        <v>43</v>
      </c>
      <c r="C28" s="163">
        <v>2</v>
      </c>
      <c r="H28" s="146"/>
    </row>
    <row r="29" spans="2:13" ht="15" customHeight="1" x14ac:dyDescent="0.25">
      <c r="B29" s="1285" t="s">
        <v>44</v>
      </c>
      <c r="C29" s="163">
        <v>2</v>
      </c>
      <c r="H29" s="146"/>
    </row>
    <row r="30" spans="2:13" ht="15" customHeight="1" x14ac:dyDescent="0.25">
      <c r="B30" s="1285" t="s">
        <v>45</v>
      </c>
      <c r="C30" s="163">
        <v>4</v>
      </c>
      <c r="H30" s="146"/>
    </row>
    <row r="31" spans="2:13" ht="15" customHeight="1" x14ac:dyDescent="0.25">
      <c r="B31" s="1285" t="s">
        <v>46</v>
      </c>
      <c r="C31" s="163">
        <f>C30+C29+C28+C27</f>
        <v>14</v>
      </c>
      <c r="H31" s="146"/>
    </row>
    <row r="32" spans="2:13" ht="15" customHeight="1" x14ac:dyDescent="0.25">
      <c r="E32" s="120">
        <v>0.15129999999999999</v>
      </c>
      <c r="F32" s="120">
        <f>E32*2</f>
        <v>0.30259999999999998</v>
      </c>
      <c r="H32" s="159"/>
      <c r="I32" s="159"/>
    </row>
    <row r="33" spans="2:11" ht="15" customHeight="1" x14ac:dyDescent="0.25">
      <c r="B33" s="1767" t="s">
        <v>47</v>
      </c>
      <c r="C33" s="1768"/>
      <c r="D33" s="1768"/>
      <c r="E33" s="1768"/>
      <c r="F33" s="1768"/>
      <c r="G33" s="1768"/>
      <c r="H33" s="1768"/>
      <c r="I33" s="1768"/>
    </row>
    <row r="34" spans="2:11" ht="28.5" customHeight="1" x14ac:dyDescent="0.25">
      <c r="B34" s="1266" t="s">
        <v>0</v>
      </c>
      <c r="C34" s="1266" t="s">
        <v>1</v>
      </c>
      <c r="D34" s="1286" t="s">
        <v>2</v>
      </c>
      <c r="E34" s="1243" t="str">
        <f>+'CIF Y PV'!$F$4</f>
        <v xml:space="preserve">JUN-COP/UMB </v>
      </c>
      <c r="F34" s="1243" t="str">
        <f>+'CIF Y PV'!$G$4</f>
        <v>JUN-COP/APP</v>
      </c>
      <c r="G34" s="1243" t="str">
        <f>+'CIF Y PV'!$H$4</f>
        <v xml:space="preserve">MAY-COP/UMB </v>
      </c>
      <c r="H34" s="1243" t="str">
        <f>+'CIF Y PV'!$I$4</f>
        <v>MAY-COP/APP</v>
      </c>
      <c r="I34" s="1244" t="s">
        <v>3</v>
      </c>
      <c r="J34" s="146">
        <v>1080</v>
      </c>
    </row>
    <row r="35" spans="2:11" ht="15" customHeight="1" x14ac:dyDescent="0.25">
      <c r="B35" s="165">
        <f>VLOOKUP(C35,[1]Hoja1!$B$2:$C$260,2,FALSE)</f>
        <v>1370008</v>
      </c>
      <c r="C35" s="165" t="s">
        <v>1159</v>
      </c>
      <c r="D35" s="166">
        <v>0.30199999999999999</v>
      </c>
      <c r="E35" s="167">
        <f>VLOOKUP(B35,[2]Hoja1!$C$2:$E$279,3,FALSE)</f>
        <v>362.7</v>
      </c>
      <c r="F35" s="167">
        <f>E35*D35</f>
        <v>109.5354</v>
      </c>
      <c r="G35" s="167">
        <v>421.65</v>
      </c>
      <c r="H35" s="167">
        <f>G35*D35</f>
        <v>127.33829999999999</v>
      </c>
      <c r="I35" s="270">
        <f>((E35/G35)*100)-100</f>
        <v>-13.980789754535749</v>
      </c>
      <c r="J35" s="146">
        <f>J34*D35</f>
        <v>326.15999999999997</v>
      </c>
    </row>
    <row r="36" spans="2:11" ht="15" customHeight="1" x14ac:dyDescent="0.25">
      <c r="B36" s="165">
        <f>VLOOKUP(C36,[1]Hoja1!$B$2:$C$260,2,FALSE)</f>
        <v>1310056</v>
      </c>
      <c r="C36" s="165" t="s">
        <v>1101</v>
      </c>
      <c r="D36" s="166">
        <v>3.7999999999999999E-2</v>
      </c>
      <c r="E36" s="167">
        <f>VLOOKUP(B36,[2]Hoja1!$C$2:$E$279,3,FALSE)</f>
        <v>889</v>
      </c>
      <c r="F36" s="167">
        <f>E36*D36</f>
        <v>33.781999999999996</v>
      </c>
      <c r="G36" s="871">
        <v>889</v>
      </c>
      <c r="H36" s="167">
        <f>G36*D36</f>
        <v>33.781999999999996</v>
      </c>
      <c r="I36" s="270">
        <f>((E36/G36)*100)-100</f>
        <v>0</v>
      </c>
      <c r="J36" s="146">
        <f>J34*D36</f>
        <v>41.04</v>
      </c>
    </row>
    <row r="37" spans="2:11" ht="15" customHeight="1" x14ac:dyDescent="0.25">
      <c r="B37" s="165">
        <f>VLOOKUP(C37,[1]Hoja1!$B$2:$C$260,2,FALSE)</f>
        <v>1320005</v>
      </c>
      <c r="C37" s="165" t="s">
        <v>1145</v>
      </c>
      <c r="D37" s="166">
        <v>3.7999999999999999E-2</v>
      </c>
      <c r="E37" s="167">
        <f>VLOOKUP(B37,[2]Hoja1!$C$2:$E$279,3,FALSE)</f>
        <v>740.21</v>
      </c>
      <c r="F37" s="167">
        <f>E37*D37</f>
        <v>28.127980000000001</v>
      </c>
      <c r="G37" s="24">
        <v>828.94</v>
      </c>
      <c r="H37" s="167">
        <f>G37*D37</f>
        <v>31.49972</v>
      </c>
      <c r="I37" s="270">
        <f>((E37/G37)*100)-100</f>
        <v>-10.704031654884545</v>
      </c>
      <c r="J37" s="146">
        <f>J34*D37</f>
        <v>41.04</v>
      </c>
    </row>
    <row r="38" spans="2:11" ht="15" customHeight="1" x14ac:dyDescent="0.25">
      <c r="B38" s="1266"/>
      <c r="C38" s="1266" t="s">
        <v>37</v>
      </c>
      <c r="D38" s="1286"/>
      <c r="E38" s="1267"/>
      <c r="F38" s="1267">
        <f>SUM(F35:F37)</f>
        <v>171.44538</v>
      </c>
      <c r="G38" s="1267"/>
      <c r="H38" s="1267">
        <f>SUM(H35:H37)</f>
        <v>192.62001999999998</v>
      </c>
      <c r="I38" s="1287">
        <f>((F38/H38)*100)-100</f>
        <v>-10.992959091168188</v>
      </c>
    </row>
    <row r="39" spans="2:11" ht="15" customHeight="1" x14ac:dyDescent="0.25">
      <c r="H39" s="1" t="str">
        <f>+'CIF Y PV'!$G$1</f>
        <v>MAYO</v>
      </c>
      <c r="J39" s="146"/>
    </row>
    <row r="40" spans="2:11" ht="15" customHeight="1" x14ac:dyDescent="0.25">
      <c r="B40" s="1735" t="s">
        <v>1099</v>
      </c>
      <c r="C40" s="1735"/>
      <c r="E40" s="884"/>
      <c r="F40" s="884"/>
      <c r="G40" s="884"/>
      <c r="H40" s="95">
        <f>+G20+F38</f>
        <v>1212.5957214726104</v>
      </c>
      <c r="I40" s="169"/>
      <c r="J40" s="884"/>
      <c r="K40" s="169"/>
    </row>
    <row r="41" spans="2:11" ht="15" customHeight="1" x14ac:dyDescent="0.25">
      <c r="B41" s="1736" t="s">
        <v>48</v>
      </c>
      <c r="C41" s="1737"/>
      <c r="E41" s="884"/>
      <c r="F41" s="884"/>
      <c r="G41" s="884"/>
      <c r="H41" s="95">
        <f>+('CIF Y PV'!C3/1000)*100</f>
        <v>189</v>
      </c>
      <c r="I41" s="170"/>
      <c r="J41" s="884"/>
      <c r="K41" s="170"/>
    </row>
    <row r="42" spans="2:11" ht="15" customHeight="1" x14ac:dyDescent="0.25">
      <c r="B42" s="1736" t="s">
        <v>1100</v>
      </c>
      <c r="C42" s="1737"/>
      <c r="E42" s="884"/>
      <c r="F42" s="884"/>
      <c r="G42" s="884"/>
      <c r="H42" s="95">
        <f>+H40+H41</f>
        <v>1401.5957214726104</v>
      </c>
      <c r="I42" s="171"/>
      <c r="J42" s="884"/>
      <c r="K42" s="171"/>
    </row>
    <row r="43" spans="2:11" ht="15" customHeight="1" x14ac:dyDescent="0.25">
      <c r="B43" s="1735" t="s">
        <v>49</v>
      </c>
      <c r="C43" s="1735"/>
      <c r="E43" s="884"/>
      <c r="F43" s="884"/>
      <c r="G43" s="884"/>
      <c r="H43" s="95">
        <f>'CIF Y PV'!C72</f>
        <v>2888.5</v>
      </c>
      <c r="J43" s="884"/>
      <c r="K43" s="403"/>
    </row>
    <row r="44" spans="2:11" ht="15" customHeight="1" x14ac:dyDescent="0.2">
      <c r="B44" s="1735" t="s">
        <v>805</v>
      </c>
      <c r="C44" s="1735"/>
      <c r="E44" s="884"/>
      <c r="F44" s="884"/>
      <c r="G44" s="884"/>
      <c r="H44" s="928">
        <f>+(H43-H42)/H43</f>
        <v>0.51476693042319177</v>
      </c>
      <c r="I44" s="172"/>
      <c r="J44" s="146"/>
      <c r="K44" s="172">
        <f>1-K43</f>
        <v>1</v>
      </c>
    </row>
    <row r="45" spans="2:11" ht="15" customHeight="1" x14ac:dyDescent="0.25">
      <c r="H45" s="146"/>
    </row>
    <row r="46" spans="2:11" ht="15" customHeight="1" x14ac:dyDescent="0.25">
      <c r="H46" s="146"/>
    </row>
  </sheetData>
  <mergeCells count="9">
    <mergeCell ref="B42:C42"/>
    <mergeCell ref="B43:C43"/>
    <mergeCell ref="B44:C44"/>
    <mergeCell ref="B2:I2"/>
    <mergeCell ref="B20:C20"/>
    <mergeCell ref="B22:C22"/>
    <mergeCell ref="B33:I33"/>
    <mergeCell ref="B40:C40"/>
    <mergeCell ref="B41:C41"/>
  </mergeCells>
  <pageMargins left="0.7" right="0.7" top="0.75" bottom="0.75" header="0.3" footer="0.3"/>
  <pageSetup scale="3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AC02-7182-402E-B225-8547C6E0E6B5}">
  <sheetPr codeName="Hoja61"/>
  <dimension ref="B2:M48"/>
  <sheetViews>
    <sheetView view="pageBreakPreview" topLeftCell="A9" zoomScaleNormal="100" zoomScaleSheetLayoutView="100" workbookViewId="0">
      <selection activeCell="F19" sqref="F19"/>
    </sheetView>
  </sheetViews>
  <sheetFormatPr baseColWidth="10" defaultColWidth="11.5703125" defaultRowHeight="15" customHeight="1" x14ac:dyDescent="0.25"/>
  <cols>
    <col min="1" max="1" width="9.28515625" style="120" customWidth="1"/>
    <col min="2" max="2" width="11.5703125" style="120"/>
    <col min="3" max="3" width="67.42578125" style="120" bestFit="1" customWidth="1"/>
    <col min="4" max="4" width="11.5703125" style="119"/>
    <col min="5" max="5" width="11.5703125" style="120"/>
    <col min="6" max="6" width="12.85546875" style="120" customWidth="1"/>
    <col min="7" max="7" width="12.42578125" style="120" customWidth="1"/>
    <col min="8" max="8" width="12.5703125" style="120" bestFit="1" customWidth="1"/>
    <col min="9" max="9" width="14.42578125" style="120" bestFit="1" customWidth="1"/>
    <col min="10" max="10" width="12.5703125" style="120" bestFit="1" customWidth="1"/>
    <col min="11" max="12" width="11.5703125" style="120"/>
    <col min="13" max="13" width="14.42578125" style="120" bestFit="1" customWidth="1"/>
    <col min="14" max="16384" width="11.5703125" style="120"/>
  </cols>
  <sheetData>
    <row r="2" spans="2:13" ht="15" customHeight="1" x14ac:dyDescent="0.25">
      <c r="B2" s="1743" t="s">
        <v>424</v>
      </c>
      <c r="C2" s="1743"/>
      <c r="D2" s="1743"/>
      <c r="E2" s="1743"/>
      <c r="F2" s="1743"/>
      <c r="G2" s="1743"/>
      <c r="H2" s="1743"/>
      <c r="I2" s="1743"/>
    </row>
    <row r="4" spans="2:13" ht="24" customHeight="1" x14ac:dyDescent="0.25">
      <c r="B4" s="1271" t="s">
        <v>0</v>
      </c>
      <c r="C4" s="1271" t="s">
        <v>1</v>
      </c>
      <c r="D4" s="1314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51" t="s">
        <v>3</v>
      </c>
      <c r="K4" s="1277">
        <f>+D22/1000</f>
        <v>0.28499999999999998</v>
      </c>
      <c r="L4" s="1272">
        <v>300.27800000000002</v>
      </c>
      <c r="M4" s="1352" t="s">
        <v>1001</v>
      </c>
    </row>
    <row r="5" spans="2:13" ht="15" customHeight="1" x14ac:dyDescent="0.25">
      <c r="B5" s="6">
        <f>VLOOKUP(C5,[1]Hoja1!$B$2:$C$260,2,FALSE)</f>
        <v>2903003</v>
      </c>
      <c r="C5" s="6" t="s">
        <v>1039</v>
      </c>
      <c r="D5" s="143">
        <v>0.12148742165593215</v>
      </c>
      <c r="E5" s="96">
        <f>(D5*100)/$D$20</f>
        <v>42.627165493309541</v>
      </c>
      <c r="F5" s="107">
        <f>VLOOKUP(B5,[2]Hoja1!$C$2:$E$279,3,FALSE)</f>
        <v>11506.13</v>
      </c>
      <c r="G5" s="96">
        <f>F5*D5</f>
        <v>1397.8500669379705</v>
      </c>
      <c r="H5" s="38">
        <v>14000</v>
      </c>
      <c r="I5" s="96">
        <f>H5*D5</f>
        <v>1700.8239031830501</v>
      </c>
      <c r="J5" s="233">
        <f>((F5/H5)*100)-100</f>
        <v>-17.813357142857143</v>
      </c>
      <c r="K5" s="178">
        <f>$K$4*E5%</f>
        <v>0.12148742165593217</v>
      </c>
      <c r="L5" s="178">
        <f>$L$4*E5%</f>
        <v>128.00000000000003</v>
      </c>
      <c r="M5" s="1231">
        <f>L5*F5</f>
        <v>1472784.6400000001</v>
      </c>
    </row>
    <row r="6" spans="2:13" ht="15" customHeight="1" x14ac:dyDescent="0.25">
      <c r="B6" s="6">
        <f>VLOOKUP(C6,[1]Hoja1!$B$2:$C$260,2,FALSE)</f>
        <v>1121009</v>
      </c>
      <c r="C6" s="6" t="s">
        <v>1272</v>
      </c>
      <c r="D6" s="143">
        <v>8.5420843351827272E-2</v>
      </c>
      <c r="E6" s="96">
        <f t="shared" ref="E6:E19" si="0">(D6*100)/$D$20</f>
        <v>29.97222573748326</v>
      </c>
      <c r="F6" s="107">
        <f>VLOOKUP(B6,[2]Hoja1!$C$2:$E$279,3,FALSE)</f>
        <v>8741.6200000000008</v>
      </c>
      <c r="G6" s="96">
        <f t="shared" ref="G6:G19" si="1">F6*D6</f>
        <v>746.71655266120035</v>
      </c>
      <c r="H6" s="949">
        <v>8754.2800000000007</v>
      </c>
      <c r="I6" s="96">
        <f t="shared" ref="I6:I19" si="2">H6*D6</f>
        <v>747.79798053803449</v>
      </c>
      <c r="J6" s="233">
        <f t="shared" ref="J6:J19" si="3">((F6/H6)*100)-100</f>
        <v>-0.14461497690273006</v>
      </c>
      <c r="K6" s="178">
        <f t="shared" ref="K6:K19" si="4">$K$4*E6%</f>
        <v>8.5420843351827286E-2</v>
      </c>
      <c r="L6" s="178">
        <f t="shared" ref="L6:L19" si="5">$L$4*E6%</f>
        <v>89.999999999999986</v>
      </c>
      <c r="M6" s="1231">
        <f t="shared" ref="M6:M19" si="6">L6*F6</f>
        <v>786745.79999999993</v>
      </c>
    </row>
    <row r="7" spans="2:13" ht="15" customHeight="1" x14ac:dyDescent="0.25">
      <c r="B7" s="6">
        <f>VLOOKUP(C7,[1]Hoja1!$B$2:$C$260,2,FALSE)</f>
        <v>1131002</v>
      </c>
      <c r="C7" s="6" t="s">
        <v>663</v>
      </c>
      <c r="D7" s="143">
        <v>5.3150746974470288E-2</v>
      </c>
      <c r="E7" s="96">
        <f t="shared" si="0"/>
        <v>18.649384903322915</v>
      </c>
      <c r="F7" s="107">
        <f>VLOOKUP(B7,[2]Hoja1!$C$2:$E$279,3,FALSE)</f>
        <v>0</v>
      </c>
      <c r="G7" s="96">
        <f t="shared" si="1"/>
        <v>0</v>
      </c>
      <c r="H7" s="96">
        <v>0</v>
      </c>
      <c r="I7" s="96">
        <f t="shared" si="2"/>
        <v>0</v>
      </c>
      <c r="J7" s="233" t="e">
        <f t="shared" si="3"/>
        <v>#DIV/0!</v>
      </c>
      <c r="K7" s="178">
        <f t="shared" si="4"/>
        <v>5.3150746974470309E-2</v>
      </c>
      <c r="L7" s="178">
        <f t="shared" si="5"/>
        <v>55.999999999999986</v>
      </c>
      <c r="M7" s="1231">
        <f t="shared" si="6"/>
        <v>0</v>
      </c>
    </row>
    <row r="8" spans="2:13" ht="15" customHeight="1" x14ac:dyDescent="0.25">
      <c r="B8" s="6">
        <f>VLOOKUP(C8,[1]Hoja1!$B$2:$C$260,2,FALSE)</f>
        <v>1260009</v>
      </c>
      <c r="C8" s="6" t="s">
        <v>1027</v>
      </c>
      <c r="D8" s="143">
        <v>8.5420843351827272E-3</v>
      </c>
      <c r="E8" s="96">
        <f t="shared" si="0"/>
        <v>2.997222573748326</v>
      </c>
      <c r="F8" s="107">
        <f>VLOOKUP(B8,[2]Hoja1!$C$2:$E$279,3,FALSE)</f>
        <v>7033.69</v>
      </c>
      <c r="G8" s="96">
        <f t="shared" si="1"/>
        <v>60.082373167531394</v>
      </c>
      <c r="H8" s="880">
        <v>9565.2099999999991</v>
      </c>
      <c r="I8" s="96">
        <f t="shared" si="2"/>
        <v>81.706830503733173</v>
      </c>
      <c r="J8" s="233">
        <f t="shared" si="3"/>
        <v>-26.465911360022403</v>
      </c>
      <c r="K8" s="178">
        <f t="shared" si="4"/>
        <v>8.5420843351827289E-3</v>
      </c>
      <c r="L8" s="178">
        <f t="shared" si="5"/>
        <v>8.9999999999999982</v>
      </c>
      <c r="M8" s="1231">
        <f t="shared" si="6"/>
        <v>63303.209999999985</v>
      </c>
    </row>
    <row r="9" spans="2:13" ht="15" customHeight="1" x14ac:dyDescent="0.25">
      <c r="B9" s="6">
        <f>VLOOKUP(C9,[1]Hoja1!$B$2:$C$260,2,FALSE)</f>
        <v>1230005</v>
      </c>
      <c r="C9" s="6" t="s">
        <v>1158</v>
      </c>
      <c r="D9" s="143">
        <v>5.6947228901218193E-3</v>
      </c>
      <c r="E9" s="96">
        <f t="shared" si="0"/>
        <v>1.9981483824988846</v>
      </c>
      <c r="F9" s="107">
        <f>VLOOKUP(B9,[2]Hoja1!$C$2:$E$279,3,FALSE)</f>
        <v>45711.59</v>
      </c>
      <c r="G9" s="96">
        <f t="shared" si="1"/>
        <v>260.31483791686361</v>
      </c>
      <c r="H9" s="95">
        <v>42915.05</v>
      </c>
      <c r="I9" s="96">
        <f t="shared" si="2"/>
        <v>244.38931756572239</v>
      </c>
      <c r="J9" s="233">
        <f t="shared" si="3"/>
        <v>6.5164551829719244</v>
      </c>
      <c r="K9" s="178">
        <f t="shared" si="4"/>
        <v>5.6947228901218202E-3</v>
      </c>
      <c r="L9" s="178">
        <f t="shared" si="5"/>
        <v>6.0000000000000009</v>
      </c>
      <c r="M9" s="1231">
        <f t="shared" si="6"/>
        <v>274269.54000000004</v>
      </c>
    </row>
    <row r="10" spans="2:13" ht="15" customHeight="1" x14ac:dyDescent="0.25">
      <c r="B10" s="6">
        <f>VLOOKUP(C10,[1]Hoja1!$B$2:$C$260,2,FALSE)</f>
        <v>1260017</v>
      </c>
      <c r="C10" s="6" t="s">
        <v>832</v>
      </c>
      <c r="D10" s="143">
        <v>3.6066578304104857E-3</v>
      </c>
      <c r="E10" s="96">
        <f t="shared" si="0"/>
        <v>1.2654939755826269</v>
      </c>
      <c r="F10" s="107">
        <f>VLOOKUP(B10,[2]Hoja1!$C$2:$E$279,3,FALSE)</f>
        <v>4500</v>
      </c>
      <c r="G10" s="96">
        <f t="shared" si="1"/>
        <v>16.229960236847187</v>
      </c>
      <c r="H10" s="95">
        <v>4500</v>
      </c>
      <c r="I10" s="96">
        <f t="shared" si="2"/>
        <v>16.229960236847187</v>
      </c>
      <c r="J10" s="233">
        <f t="shared" si="3"/>
        <v>0</v>
      </c>
      <c r="K10" s="178">
        <f t="shared" si="4"/>
        <v>3.6066578304104861E-3</v>
      </c>
      <c r="L10" s="178">
        <f t="shared" si="5"/>
        <v>3.8000000000000003</v>
      </c>
      <c r="M10" s="1231">
        <f t="shared" si="6"/>
        <v>17100</v>
      </c>
    </row>
    <row r="11" spans="2:13" ht="15" customHeight="1" x14ac:dyDescent="0.25">
      <c r="B11" s="6">
        <f>VLOOKUP(C11,[1]Hoja1!$B$2:$C$260,2,FALSE)</f>
        <v>1210005</v>
      </c>
      <c r="C11" s="6" t="s">
        <v>1155</v>
      </c>
      <c r="D11" s="143">
        <v>2.7524493968922119E-3</v>
      </c>
      <c r="E11" s="96">
        <f t="shared" si="0"/>
        <v>0.96577171820779395</v>
      </c>
      <c r="F11" s="107">
        <f>VLOOKUP(B11,[2]Hoja1!$C$2:$E$279,3,FALSE)</f>
        <v>1356</v>
      </c>
      <c r="G11" s="96">
        <f t="shared" si="1"/>
        <v>3.7323213821858392</v>
      </c>
      <c r="H11" s="880">
        <v>1360</v>
      </c>
      <c r="I11" s="96">
        <f t="shared" si="2"/>
        <v>3.7433311797734081</v>
      </c>
      <c r="J11" s="233">
        <f t="shared" si="3"/>
        <v>-0.29411764705882604</v>
      </c>
      <c r="K11" s="178">
        <f t="shared" si="4"/>
        <v>2.7524493968922124E-3</v>
      </c>
      <c r="L11" s="178">
        <f t="shared" si="5"/>
        <v>2.8999999999999995</v>
      </c>
      <c r="M11" s="1231">
        <f t="shared" si="6"/>
        <v>3932.3999999999992</v>
      </c>
    </row>
    <row r="12" spans="2:13" ht="15" customHeight="1" x14ac:dyDescent="0.25">
      <c r="B12" s="6">
        <f>VLOOKUP(C12,[1]Hoja1!$B$2:$C$260,2,FALSE)</f>
        <v>121007</v>
      </c>
      <c r="C12" s="6" t="s">
        <v>821</v>
      </c>
      <c r="D12" s="143">
        <v>1.3287686743617578E-3</v>
      </c>
      <c r="E12" s="96">
        <f t="shared" si="0"/>
        <v>0.46623462258307302</v>
      </c>
      <c r="F12" s="107">
        <f>VLOOKUP(B12,[2]Hoja1!$C$2:$E$279,3,FALSE)</f>
        <v>16905</v>
      </c>
      <c r="G12" s="96">
        <f t="shared" si="1"/>
        <v>22.462834440085516</v>
      </c>
      <c r="H12" s="880">
        <v>16100</v>
      </c>
      <c r="I12" s="96">
        <f t="shared" si="2"/>
        <v>21.393175657224301</v>
      </c>
      <c r="J12" s="233">
        <f t="shared" si="3"/>
        <v>5</v>
      </c>
      <c r="K12" s="178">
        <f t="shared" si="4"/>
        <v>1.328768674361758E-3</v>
      </c>
      <c r="L12" s="178">
        <f t="shared" si="5"/>
        <v>1.4000000000000001</v>
      </c>
      <c r="M12" s="1231">
        <f t="shared" si="6"/>
        <v>23667.000000000004</v>
      </c>
    </row>
    <row r="13" spans="2:13" ht="15" customHeight="1" x14ac:dyDescent="0.25">
      <c r="B13" s="6">
        <f>VLOOKUP(C13,[1]Hoja1!$B$2:$C$260,2,FALSE)</f>
        <v>1220014</v>
      </c>
      <c r="C13" s="6" t="s">
        <v>1146</v>
      </c>
      <c r="D13" s="143">
        <v>1.2813126502774102E-3</v>
      </c>
      <c r="E13" s="96">
        <f t="shared" si="0"/>
        <v>0.44958338606224935</v>
      </c>
      <c r="F13" s="107">
        <f>VLOOKUP(B13,[2]Hoja1!$C$2:$E$279,3,FALSE)</f>
        <v>14060</v>
      </c>
      <c r="G13" s="96">
        <f t="shared" si="1"/>
        <v>18.015255862900389</v>
      </c>
      <c r="H13" s="914">
        <v>13300.01</v>
      </c>
      <c r="I13" s="96">
        <f t="shared" si="2"/>
        <v>17.041471061816058</v>
      </c>
      <c r="J13" s="233">
        <f t="shared" si="3"/>
        <v>5.7142062299201086</v>
      </c>
      <c r="K13" s="178">
        <f t="shared" si="4"/>
        <v>1.2813126502774106E-3</v>
      </c>
      <c r="L13" s="178">
        <f t="shared" si="5"/>
        <v>1.3500000000000012</v>
      </c>
      <c r="M13" s="1231">
        <f t="shared" si="6"/>
        <v>18981.000000000018</v>
      </c>
    </row>
    <row r="14" spans="2:13" ht="15" customHeight="1" x14ac:dyDescent="0.25">
      <c r="B14" s="6">
        <f>VLOOKUP(C14,[1]Hoja1!$B$2:$C$260,2,FALSE)</f>
        <v>1210004</v>
      </c>
      <c r="C14" s="6" t="s">
        <v>1131</v>
      </c>
      <c r="D14" s="143">
        <v>4.7456024084348498E-4</v>
      </c>
      <c r="E14" s="96">
        <f t="shared" si="0"/>
        <v>0.16651236520824039</v>
      </c>
      <c r="F14" s="107">
        <f>VLOOKUP(B14,[2]Hoja1!$C$2:$E$279,3,FALSE)</f>
        <v>3841</v>
      </c>
      <c r="G14" s="96">
        <f t="shared" si="1"/>
        <v>1.8227858850798258</v>
      </c>
      <c r="H14" s="914">
        <v>3508.01</v>
      </c>
      <c r="I14" s="96">
        <f t="shared" si="2"/>
        <v>1.6647620704813539</v>
      </c>
      <c r="J14" s="233">
        <f t="shared" si="3"/>
        <v>9.4922762477871885</v>
      </c>
      <c r="K14" s="178">
        <f t="shared" si="4"/>
        <v>4.7456024084348503E-4</v>
      </c>
      <c r="L14" s="178">
        <f t="shared" si="5"/>
        <v>0.50000000000000011</v>
      </c>
      <c r="M14" s="1231">
        <f t="shared" si="6"/>
        <v>1920.5000000000005</v>
      </c>
    </row>
    <row r="15" spans="2:13" ht="15" customHeight="1" x14ac:dyDescent="0.25">
      <c r="B15" s="6">
        <f>VLOOKUP(C15,[1]Hoja1!$B$2:$C$260,2,FALSE)</f>
        <v>1250005</v>
      </c>
      <c r="C15" s="6" t="s">
        <v>1152</v>
      </c>
      <c r="D15" s="143">
        <v>4.2805333724082372E-4</v>
      </c>
      <c r="E15" s="96">
        <f t="shared" si="0"/>
        <v>0.15019415341783293</v>
      </c>
      <c r="F15" s="107">
        <f>VLOOKUP(B15,[2]Hoja1!$C$2:$E$279,3,FALSE)</f>
        <v>66921.05</v>
      </c>
      <c r="G15" s="96">
        <f t="shared" si="1"/>
        <v>28.645778784160026</v>
      </c>
      <c r="H15" s="95">
        <v>62991.09</v>
      </c>
      <c r="I15" s="96">
        <f t="shared" si="2"/>
        <v>26.963546290937078</v>
      </c>
      <c r="J15" s="233">
        <f t="shared" si="3"/>
        <v>6.2389141067411344</v>
      </c>
      <c r="K15" s="178">
        <f t="shared" si="4"/>
        <v>4.2805333724082382E-4</v>
      </c>
      <c r="L15" s="178">
        <f t="shared" si="5"/>
        <v>0.4510000000000004</v>
      </c>
      <c r="M15" s="1231">
        <f t="shared" si="6"/>
        <v>30181.39355000003</v>
      </c>
    </row>
    <row r="16" spans="2:13" ht="15" customHeight="1" x14ac:dyDescent="0.25">
      <c r="B16" s="6">
        <f>VLOOKUP(C16,[1]Hoja1!$B$2:$C$260,2,FALSE)</f>
        <v>1270004</v>
      </c>
      <c r="C16" s="6" t="s">
        <v>1032</v>
      </c>
      <c r="D16" s="143">
        <v>2.9802383124970857E-4</v>
      </c>
      <c r="E16" s="96">
        <f t="shared" si="0"/>
        <v>0.10456976535077497</v>
      </c>
      <c r="F16" s="107">
        <f>VLOOKUP(B16,[2]Hoja1!$C$2:$E$279,3,FALSE)</f>
        <v>50662</v>
      </c>
      <c r="G16" s="96">
        <f t="shared" si="1"/>
        <v>15.098483338772736</v>
      </c>
      <c r="H16" s="95">
        <v>53849.37</v>
      </c>
      <c r="I16" s="96">
        <f t="shared" si="2"/>
        <v>16.04839555778312</v>
      </c>
      <c r="J16" s="233">
        <f t="shared" si="3"/>
        <v>-5.9190478922966179</v>
      </c>
      <c r="K16" s="178">
        <f t="shared" si="4"/>
        <v>2.9802383124970868E-4</v>
      </c>
      <c r="L16" s="178">
        <f t="shared" si="5"/>
        <v>0.31400000000000011</v>
      </c>
      <c r="M16" s="1231">
        <f t="shared" si="6"/>
        <v>15907.868000000006</v>
      </c>
    </row>
    <row r="17" spans="2:13" ht="15" customHeight="1" x14ac:dyDescent="0.25">
      <c r="B17" s="6">
        <f>VLOOKUP(C17,[1]Hoja1!$B$2:$C$260,2,FALSE)</f>
        <v>1220001</v>
      </c>
      <c r="C17" s="6" t="s">
        <v>1156</v>
      </c>
      <c r="D17" s="143">
        <v>2.8473614450609102E-4</v>
      </c>
      <c r="E17" s="96">
        <f t="shared" si="0"/>
        <v>9.9907419124944247E-2</v>
      </c>
      <c r="F17" s="107">
        <f>VLOOKUP(B17,[2]Hoja1!$C$2:$E$279,3,FALSE)</f>
        <v>85579.98</v>
      </c>
      <c r="G17" s="96">
        <f t="shared" si="1"/>
        <v>24.367713552108377</v>
      </c>
      <c r="H17" s="25">
        <v>81899.73</v>
      </c>
      <c r="I17" s="96">
        <f t="shared" si="2"/>
        <v>23.319813356289835</v>
      </c>
      <c r="J17" s="233">
        <f t="shared" si="3"/>
        <v>4.4936045576706931</v>
      </c>
      <c r="K17" s="178">
        <f t="shared" si="4"/>
        <v>2.8473614450609107E-4</v>
      </c>
      <c r="L17" s="178">
        <f t="shared" si="5"/>
        <v>0.3000000000000001</v>
      </c>
      <c r="M17" s="1231">
        <f t="shared" si="6"/>
        <v>25673.994000000006</v>
      </c>
    </row>
    <row r="18" spans="2:13" ht="15" customHeight="1" x14ac:dyDescent="0.25">
      <c r="B18" s="6">
        <f>VLOOKUP(C18,[1]Hoja1!$B$2:$C$260,2,FALSE)</f>
        <v>1220005</v>
      </c>
      <c r="C18" s="6" t="s">
        <v>1135</v>
      </c>
      <c r="D18" s="143">
        <v>1.3572422888123671E-4</v>
      </c>
      <c r="E18" s="96">
        <f t="shared" si="0"/>
        <v>4.7622536449556753E-2</v>
      </c>
      <c r="F18" s="107">
        <f>VLOOKUP(B18,[2]Hoja1!$C$2:$E$279,3,FALSE)</f>
        <v>17429.990000000002</v>
      </c>
      <c r="G18" s="96">
        <f t="shared" si="1"/>
        <v>2.3656719521576672</v>
      </c>
      <c r="H18" s="880">
        <v>17430</v>
      </c>
      <c r="I18" s="96">
        <f t="shared" si="2"/>
        <v>2.365673309399956</v>
      </c>
      <c r="J18" s="233">
        <f t="shared" si="3"/>
        <v>-5.7372346518036466E-5</v>
      </c>
      <c r="K18" s="178">
        <f t="shared" si="4"/>
        <v>1.3572422888123673E-4</v>
      </c>
      <c r="L18" s="178">
        <f t="shared" si="5"/>
        <v>0.14300000000000002</v>
      </c>
      <c r="M18" s="1231">
        <f t="shared" si="6"/>
        <v>2492.4885700000004</v>
      </c>
    </row>
    <row r="19" spans="2:13" ht="15" customHeight="1" x14ac:dyDescent="0.25">
      <c r="B19" s="6">
        <f>VLOOKUP(C19,[1]Hoja1!$B$2:$C$260,2,FALSE)</f>
        <v>1220008</v>
      </c>
      <c r="C19" s="6" t="s">
        <v>1157</v>
      </c>
      <c r="D19" s="143">
        <v>1.1389445780243635E-4</v>
      </c>
      <c r="E19" s="96">
        <f t="shared" si="0"/>
        <v>3.9962967649977678E-2</v>
      </c>
      <c r="F19" s="107">
        <f>VLOOKUP(B19,[2]Hoja1!$C$2:$E$279,3,FALSE)</f>
        <v>50476.2</v>
      </c>
      <c r="G19" s="96">
        <f t="shared" si="1"/>
        <v>5.7489594309273375</v>
      </c>
      <c r="H19" s="95">
        <v>48608.39</v>
      </c>
      <c r="I19" s="96">
        <f t="shared" si="2"/>
        <v>5.5362262236993685</v>
      </c>
      <c r="J19" s="233">
        <f t="shared" si="3"/>
        <v>3.8425670959272509</v>
      </c>
      <c r="K19" s="178">
        <f t="shared" si="4"/>
        <v>1.1389445780243639E-4</v>
      </c>
      <c r="L19" s="178">
        <f t="shared" si="5"/>
        <v>0.11999999999999998</v>
      </c>
      <c r="M19" s="1231">
        <f t="shared" si="6"/>
        <v>6057.1439999999984</v>
      </c>
    </row>
    <row r="20" spans="2:13" s="146" customFormat="1" ht="15" customHeight="1" x14ac:dyDescent="0.25">
      <c r="B20" s="1764" t="s">
        <v>37</v>
      </c>
      <c r="C20" s="1764"/>
      <c r="D20" s="1278">
        <f>SUM(D5:D19)</f>
        <v>0.28499999999999992</v>
      </c>
      <c r="E20" s="1281">
        <f>SUM(E5:E19)</f>
        <v>99.999999999999986</v>
      </c>
      <c r="F20" s="1281"/>
      <c r="G20" s="1280">
        <f>SUM(G5:G19)</f>
        <v>2603.4535955487904</v>
      </c>
      <c r="H20" s="1281"/>
      <c r="I20" s="1280">
        <f>SUM(I5:I19)</f>
        <v>2909.0243867347913</v>
      </c>
      <c r="J20" s="1282">
        <f>((G20/I20)*100)-100</f>
        <v>-10.504236148016147</v>
      </c>
      <c r="K20" s="1327"/>
      <c r="L20" s="1327">
        <f>SUM(L5:L19)</f>
        <v>300.27800000000002</v>
      </c>
      <c r="M20" s="1327">
        <f>SUM(M5:M19)</f>
        <v>2743016.9781199996</v>
      </c>
    </row>
    <row r="21" spans="2:13" ht="15" customHeight="1" x14ac:dyDescent="0.25">
      <c r="J21" s="775"/>
    </row>
    <row r="22" spans="2:13" ht="15" customHeight="1" x14ac:dyDescent="0.25">
      <c r="B22" s="1765" t="s">
        <v>50</v>
      </c>
      <c r="C22" s="1766"/>
      <c r="D22" s="38">
        <f>+C25+(C25*C31%)</f>
        <v>285</v>
      </c>
      <c r="E22" s="159"/>
      <c r="F22" s="159"/>
      <c r="G22" s="159"/>
      <c r="H22" s="159"/>
      <c r="I22" s="159"/>
      <c r="J22" s="159"/>
    </row>
    <row r="23" spans="2:13" ht="15" customHeight="1" x14ac:dyDescent="0.25">
      <c r="B23" s="1284" t="s">
        <v>38</v>
      </c>
      <c r="C23" s="161" t="s">
        <v>123</v>
      </c>
    </row>
    <row r="24" spans="2:13" ht="15" customHeight="1" x14ac:dyDescent="0.25">
      <c r="B24" s="1285" t="s">
        <v>39</v>
      </c>
      <c r="C24" s="163" t="s">
        <v>419</v>
      </c>
      <c r="G24" s="146"/>
      <c r="H24" s="146"/>
    </row>
    <row r="25" spans="2:13" ht="15" customHeight="1" x14ac:dyDescent="0.25">
      <c r="B25" s="1285" t="s">
        <v>40</v>
      </c>
      <c r="C25" s="163">
        <v>250</v>
      </c>
      <c r="H25" s="146"/>
    </row>
    <row r="26" spans="2:13" ht="15" customHeight="1" x14ac:dyDescent="0.25">
      <c r="B26" s="1285" t="s">
        <v>41</v>
      </c>
      <c r="C26" s="163">
        <v>0</v>
      </c>
      <c r="H26" s="146"/>
    </row>
    <row r="27" spans="2:13" ht="15" customHeight="1" x14ac:dyDescent="0.25">
      <c r="B27" s="1285" t="s">
        <v>42</v>
      </c>
      <c r="C27" s="163">
        <v>6</v>
      </c>
      <c r="H27" s="146"/>
    </row>
    <row r="28" spans="2:13" ht="15" customHeight="1" x14ac:dyDescent="0.25">
      <c r="B28" s="1285" t="s">
        <v>43</v>
      </c>
      <c r="C28" s="163">
        <v>2</v>
      </c>
      <c r="H28" s="146"/>
    </row>
    <row r="29" spans="2:13" ht="15" customHeight="1" x14ac:dyDescent="0.25">
      <c r="B29" s="1285" t="s">
        <v>44</v>
      </c>
      <c r="C29" s="163">
        <v>2</v>
      </c>
      <c r="H29" s="146"/>
    </row>
    <row r="30" spans="2:13" ht="15" customHeight="1" x14ac:dyDescent="0.25">
      <c r="B30" s="1285" t="s">
        <v>45</v>
      </c>
      <c r="C30" s="163">
        <v>4</v>
      </c>
      <c r="H30" s="146"/>
    </row>
    <row r="31" spans="2:13" ht="15" customHeight="1" x14ac:dyDescent="0.25">
      <c r="B31" s="1285" t="s">
        <v>46</v>
      </c>
      <c r="C31" s="163">
        <f>C30+C29+C28+C27</f>
        <v>14</v>
      </c>
      <c r="H31" s="146"/>
    </row>
    <row r="32" spans="2:13" ht="15" customHeight="1" x14ac:dyDescent="0.25">
      <c r="H32" s="159"/>
      <c r="I32" s="159"/>
    </row>
    <row r="33" spans="2:11" ht="15" customHeight="1" x14ac:dyDescent="0.25">
      <c r="B33" s="1767" t="s">
        <v>47</v>
      </c>
      <c r="C33" s="1768"/>
      <c r="D33" s="1768"/>
      <c r="E33" s="1768"/>
      <c r="F33" s="1768"/>
      <c r="G33" s="1768"/>
      <c r="H33" s="1768"/>
      <c r="I33" s="1768"/>
    </row>
    <row r="34" spans="2:11" ht="28.5" customHeight="1" x14ac:dyDescent="0.25">
      <c r="B34" s="1266" t="s">
        <v>0</v>
      </c>
      <c r="C34" s="1266" t="s">
        <v>1</v>
      </c>
      <c r="D34" s="1286" t="s">
        <v>2</v>
      </c>
      <c r="E34" s="1243" t="str">
        <f>+'CIF Y PV'!$F$4</f>
        <v xml:space="preserve">JUN-COP/UMB </v>
      </c>
      <c r="F34" s="1243" t="str">
        <f>+'CIF Y PV'!$G$4</f>
        <v>JUN-COP/APP</v>
      </c>
      <c r="G34" s="1243" t="str">
        <f>+'CIF Y PV'!$H$4</f>
        <v xml:space="preserve">MAY-COP/UMB </v>
      </c>
      <c r="H34" s="1243" t="str">
        <f>+'CIF Y PV'!$I$4</f>
        <v>MAY-COP/APP</v>
      </c>
      <c r="I34" s="1244" t="s">
        <v>3</v>
      </c>
      <c r="J34" s="146">
        <v>1080</v>
      </c>
    </row>
    <row r="35" spans="2:11" ht="15" customHeight="1" x14ac:dyDescent="0.25">
      <c r="B35" s="165">
        <f>VLOOKUP(C35,[1]Hoja1!$B$2:$C$260,2,FALSE)</f>
        <v>1370008</v>
      </c>
      <c r="C35" s="165" t="s">
        <v>1159</v>
      </c>
      <c r="D35" s="166">
        <v>0.75649999999999995</v>
      </c>
      <c r="E35" s="167">
        <f>VLOOKUP(B35,[2]Hoja1!$C$2:$E$279,3,FALSE)</f>
        <v>362.7</v>
      </c>
      <c r="F35" s="167">
        <f>E35*D35</f>
        <v>274.38254999999998</v>
      </c>
      <c r="G35" s="167">
        <v>421.65</v>
      </c>
      <c r="H35" s="167">
        <f>G35*D35</f>
        <v>318.97822499999995</v>
      </c>
      <c r="I35" s="270">
        <f>((E35/G35)*100)-100</f>
        <v>-13.980789754535749</v>
      </c>
      <c r="J35" s="146">
        <f>J34*D35</f>
        <v>817.02</v>
      </c>
    </row>
    <row r="36" spans="2:11" ht="15" customHeight="1" x14ac:dyDescent="0.25">
      <c r="B36" s="165">
        <f>VLOOKUP(C36,[1]Hoja1!$B$2:$C$260,2,FALSE)</f>
        <v>1310018</v>
      </c>
      <c r="C36" s="165" t="s">
        <v>890</v>
      </c>
      <c r="D36" s="166">
        <v>7.4999999999999997E-2</v>
      </c>
      <c r="E36" s="167">
        <f>VLOOKUP(B36,[2]Hoja1!$C$2:$E$279,3,FALSE)</f>
        <v>478.26</v>
      </c>
      <c r="F36" s="167">
        <f>E36*D36</f>
        <v>35.869499999999995</v>
      </c>
      <c r="G36" s="871">
        <v>503.51</v>
      </c>
      <c r="H36" s="167">
        <f>G36*D36</f>
        <v>37.763249999999999</v>
      </c>
      <c r="I36" s="270">
        <f>((E36/G36)*100)-100</f>
        <v>-5.0147961311592582</v>
      </c>
      <c r="J36" s="146">
        <f>J34*D36</f>
        <v>81</v>
      </c>
    </row>
    <row r="37" spans="2:11" ht="15" customHeight="1" x14ac:dyDescent="0.25">
      <c r="B37" s="165">
        <f>VLOOKUP(C37,[1]Hoja1!$B$2:$C$260,2,FALSE)</f>
        <v>1320005</v>
      </c>
      <c r="C37" s="165" t="s">
        <v>1145</v>
      </c>
      <c r="D37" s="166">
        <v>7.4999999999999997E-2</v>
      </c>
      <c r="E37" s="167">
        <f>VLOOKUP(B37,[2]Hoja1!$C$2:$E$279,3,FALSE)</f>
        <v>740.21</v>
      </c>
      <c r="F37" s="167">
        <f>E37*D37</f>
        <v>55.515750000000004</v>
      </c>
      <c r="G37" s="24">
        <v>828.94</v>
      </c>
      <c r="H37" s="167">
        <f>G37*D37</f>
        <v>62.170500000000004</v>
      </c>
      <c r="I37" s="270">
        <f>((E37/G37)*100)-100</f>
        <v>-10.704031654884545</v>
      </c>
      <c r="J37" s="146">
        <f>J34*D37</f>
        <v>81</v>
      </c>
    </row>
    <row r="38" spans="2:11" ht="15" customHeight="1" x14ac:dyDescent="0.25">
      <c r="B38" s="165">
        <f>VLOOKUP(C38,[1]Hoja1!$B$2:$C$260,2,FALSE)</f>
        <v>1330047</v>
      </c>
      <c r="C38" s="1142" t="s">
        <v>956</v>
      </c>
      <c r="D38" s="166">
        <v>1</v>
      </c>
      <c r="E38" s="167">
        <f>VLOOKUP(B38,[2]Hoja1!$C$2:$E$279,3,FALSE)</f>
        <v>88.02</v>
      </c>
      <c r="F38" s="167">
        <f>E38*D38</f>
        <v>88.02</v>
      </c>
      <c r="G38" s="885">
        <v>82.23</v>
      </c>
      <c r="H38" s="167">
        <f>G38*D38</f>
        <v>82.23</v>
      </c>
      <c r="I38" s="270">
        <f>((E38/G38)*100)-100</f>
        <v>7.0412258299890453</v>
      </c>
      <c r="J38" s="146">
        <f>$J$34*D38</f>
        <v>1080</v>
      </c>
    </row>
    <row r="39" spans="2:11" ht="15" customHeight="1" x14ac:dyDescent="0.25">
      <c r="B39" s="165">
        <f>VLOOKUP(C39,[1]Hoja1!$B$2:$C$260,2,FALSE)</f>
        <v>1330001</v>
      </c>
      <c r="C39" s="1142" t="s">
        <v>1042</v>
      </c>
      <c r="D39" s="386">
        <v>1</v>
      </c>
      <c r="E39" s="167">
        <f>VLOOKUP(B39,[2]Hoja1!$C$2:$E$279,3,FALSE)</f>
        <v>144</v>
      </c>
      <c r="F39" s="167">
        <f>E39*D39</f>
        <v>144</v>
      </c>
      <c r="G39" s="885">
        <v>144</v>
      </c>
      <c r="H39" s="167">
        <f>G39*D39</f>
        <v>144</v>
      </c>
      <c r="I39" s="389"/>
      <c r="J39" s="146"/>
    </row>
    <row r="40" spans="2:11" ht="15" customHeight="1" x14ac:dyDescent="0.25">
      <c r="B40" s="1266"/>
      <c r="C40" s="1266" t="s">
        <v>37</v>
      </c>
      <c r="D40" s="1286"/>
      <c r="E40" s="1267"/>
      <c r="F40" s="1267">
        <f>SUM(F35:F39)</f>
        <v>597.78780000000006</v>
      </c>
      <c r="G40" s="1267"/>
      <c r="H40" s="1267">
        <f>SUM(H35:H39)</f>
        <v>645.141975</v>
      </c>
      <c r="I40" s="1287">
        <f>((F40/H40)*100)-100</f>
        <v>-7.3401168789241922</v>
      </c>
    </row>
    <row r="41" spans="2:11" ht="15" customHeight="1" x14ac:dyDescent="0.25">
      <c r="H41" s="1" t="str">
        <f>+'CIF Y PV'!$G$1</f>
        <v>MAYO</v>
      </c>
      <c r="J41" s="146"/>
    </row>
    <row r="42" spans="2:11" ht="15" customHeight="1" x14ac:dyDescent="0.25">
      <c r="B42" s="1735" t="s">
        <v>427</v>
      </c>
      <c r="C42" s="1735"/>
      <c r="E42" s="884"/>
      <c r="F42" s="884"/>
      <c r="G42" s="884"/>
      <c r="H42" s="884">
        <f>+G20+F40</f>
        <v>3201.2413955487905</v>
      </c>
      <c r="I42" s="169"/>
      <c r="J42" s="884"/>
      <c r="K42" s="169"/>
    </row>
    <row r="43" spans="2:11" ht="15" customHeight="1" x14ac:dyDescent="0.25">
      <c r="B43" s="1736" t="s">
        <v>48</v>
      </c>
      <c r="C43" s="1737"/>
      <c r="E43" s="884"/>
      <c r="F43" s="884"/>
      <c r="G43" s="884"/>
      <c r="H43" s="884">
        <f>+('CIF Y PV'!C3/1000)*250</f>
        <v>472.5</v>
      </c>
      <c r="I43" s="170"/>
      <c r="J43" s="884"/>
      <c r="K43" s="170"/>
    </row>
    <row r="44" spans="2:11" ht="15" customHeight="1" x14ac:dyDescent="0.25">
      <c r="B44" s="1736" t="s">
        <v>428</v>
      </c>
      <c r="C44" s="1737"/>
      <c r="E44" s="884"/>
      <c r="F44" s="884"/>
      <c r="G44" s="884"/>
      <c r="H44" s="884">
        <f>+H42+H43</f>
        <v>3673.7413955487905</v>
      </c>
      <c r="I44" s="171"/>
      <c r="J44" s="884"/>
      <c r="K44" s="171"/>
    </row>
    <row r="45" spans="2:11" ht="15" customHeight="1" x14ac:dyDescent="0.25">
      <c r="B45" s="1735" t="s">
        <v>49</v>
      </c>
      <c r="C45" s="1735"/>
      <c r="E45" s="884"/>
      <c r="F45" s="884"/>
      <c r="G45" s="884"/>
      <c r="H45" s="884">
        <f>'CIF Y PV'!C14</f>
        <v>7416.3600000000006</v>
      </c>
      <c r="J45" s="884"/>
      <c r="K45" s="403"/>
    </row>
    <row r="46" spans="2:11" ht="15" customHeight="1" x14ac:dyDescent="0.2">
      <c r="B46" s="1735" t="s">
        <v>805</v>
      </c>
      <c r="C46" s="1735"/>
      <c r="E46" s="884"/>
      <c r="F46" s="884"/>
      <c r="G46" s="884"/>
      <c r="H46" s="928">
        <f>+(H45-H44)/H45</f>
        <v>0.50464359934674285</v>
      </c>
      <c r="I46" s="172"/>
      <c r="J46" s="146"/>
      <c r="K46" s="172">
        <f>1-K45</f>
        <v>1</v>
      </c>
    </row>
    <row r="47" spans="2:11" ht="15" customHeight="1" x14ac:dyDescent="0.25">
      <c r="H47" s="146"/>
    </row>
    <row r="48" spans="2:11" ht="15" customHeight="1" x14ac:dyDescent="0.25">
      <c r="H48" s="146"/>
    </row>
  </sheetData>
  <mergeCells count="9">
    <mergeCell ref="B44:C44"/>
    <mergeCell ref="B45:C45"/>
    <mergeCell ref="B46:C46"/>
    <mergeCell ref="B2:I2"/>
    <mergeCell ref="B20:C20"/>
    <mergeCell ref="B22:C22"/>
    <mergeCell ref="B33:I33"/>
    <mergeCell ref="B42:C42"/>
    <mergeCell ref="B43:C43"/>
  </mergeCells>
  <pageMargins left="0.7" right="0.7" top="0.75" bottom="0.75" header="0.3" footer="0.3"/>
  <pageSetup scale="37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1B99-918B-4F20-B7C0-39188C611E49}">
  <sheetPr codeName="Hoja64"/>
  <dimension ref="A2:M48"/>
  <sheetViews>
    <sheetView view="pageBreakPreview" topLeftCell="A5" zoomScale="80" zoomScaleNormal="100" zoomScaleSheetLayoutView="80" workbookViewId="0">
      <selection activeCell="C17" sqref="C17"/>
    </sheetView>
  </sheetViews>
  <sheetFormatPr baseColWidth="10" defaultColWidth="11.5703125" defaultRowHeight="21" customHeight="1" x14ac:dyDescent="0.25"/>
  <cols>
    <col min="1" max="1" width="8.5703125" style="42" customWidth="1"/>
    <col min="2" max="2" width="11.5703125" style="42"/>
    <col min="3" max="3" width="67.42578125" style="42" bestFit="1" customWidth="1"/>
    <col min="4" max="4" width="11.5703125" style="191"/>
    <col min="5" max="5" width="11.5703125" style="42"/>
    <col min="6" max="6" width="14.28515625" style="42" customWidth="1"/>
    <col min="7" max="7" width="14.28515625" style="42" bestFit="1" customWidth="1"/>
    <col min="8" max="8" width="12.5703125" style="42" bestFit="1" customWidth="1"/>
    <col min="9" max="9" width="14.7109375" style="42" customWidth="1"/>
    <col min="10" max="10" width="12.5703125" style="42" bestFit="1" customWidth="1"/>
    <col min="11" max="12" width="11.5703125" style="42"/>
    <col min="13" max="13" width="18.5703125" style="42" customWidth="1"/>
    <col min="14" max="16384" width="11.5703125" style="42"/>
  </cols>
  <sheetData>
    <row r="2" spans="2:13" ht="21" customHeight="1" x14ac:dyDescent="0.25">
      <c r="B2" s="1782" t="s">
        <v>894</v>
      </c>
      <c r="C2" s="1782"/>
      <c r="D2" s="1782"/>
      <c r="E2" s="1782"/>
      <c r="F2" s="1782"/>
      <c r="G2" s="1782"/>
      <c r="H2" s="1782"/>
      <c r="I2" s="1782"/>
    </row>
    <row r="4" spans="2:13" ht="30.75" customHeight="1" x14ac:dyDescent="0.25">
      <c r="B4" s="1355" t="s">
        <v>0</v>
      </c>
      <c r="C4" s="1355" t="s">
        <v>1</v>
      </c>
      <c r="D4" s="1356" t="s">
        <v>2</v>
      </c>
      <c r="E4" s="1355" t="s">
        <v>3</v>
      </c>
      <c r="F4" s="1335" t="str">
        <f>+'CIF Y PV'!$F$2</f>
        <v xml:space="preserve">JUN-COP/Kg </v>
      </c>
      <c r="G4" s="1335" t="str">
        <f>+'CIF Y PV'!$G$2</f>
        <v>JUN-COP/APP</v>
      </c>
      <c r="H4" s="1335" t="str">
        <f>+'CIF Y PV'!$H$2</f>
        <v xml:space="preserve">MAY-COP/Kg </v>
      </c>
      <c r="I4" s="1335" t="str">
        <f>+'CIF Y PV'!$I$2</f>
        <v>MAY-COP/APP</v>
      </c>
      <c r="J4" s="1357" t="s">
        <v>3</v>
      </c>
      <c r="K4" s="1359">
        <f>+D22/1000</f>
        <v>0.44800000000000001</v>
      </c>
      <c r="L4" s="42">
        <v>300.27</v>
      </c>
      <c r="M4" s="47" t="s">
        <v>1128</v>
      </c>
    </row>
    <row r="5" spans="2:13" ht="21" customHeight="1" x14ac:dyDescent="0.3">
      <c r="B5" s="563">
        <f>VLOOKUP(C5,[1]Hoja1!$B$2:$C$260,2,FALSE)</f>
        <v>2903003</v>
      </c>
      <c r="C5" s="563" t="s">
        <v>1039</v>
      </c>
      <c r="D5" s="494">
        <v>0.19096970141002673</v>
      </c>
      <c r="E5" s="498">
        <f>(D5*100)/$D$20</f>
        <v>42.627165493309526</v>
      </c>
      <c r="F5" s="1076">
        <f>VLOOKUP(B5,[2]Hoja1!$C$2:$E$279,3,FALSE)</f>
        <v>11506.13</v>
      </c>
      <c r="G5" s="73">
        <f>F5*D5</f>
        <v>2197.3222104849506</v>
      </c>
      <c r="H5" s="693">
        <v>14000</v>
      </c>
      <c r="I5" s="73">
        <f>H5*D5</f>
        <v>2673.5758197403743</v>
      </c>
      <c r="J5" s="536">
        <f>((F5/H5)*100)-100</f>
        <v>-17.813357142857143</v>
      </c>
      <c r="K5" s="282">
        <f>$K$4*E5%</f>
        <v>0.19096970141002667</v>
      </c>
      <c r="L5" s="42">
        <f>$L$4*E5%</f>
        <v>127.99658982676051</v>
      </c>
      <c r="M5" s="42">
        <f>L5*F5</f>
        <v>1472745.4021033838</v>
      </c>
    </row>
    <row r="6" spans="2:13" ht="21" customHeight="1" x14ac:dyDescent="0.3">
      <c r="B6" s="563">
        <f>VLOOKUP(C6,[1]Hoja1!$B$2:$C$260,2,FALSE)</f>
        <v>1121009</v>
      </c>
      <c r="C6" s="74" t="s">
        <v>1272</v>
      </c>
      <c r="D6" s="190">
        <v>0.13427557130392506</v>
      </c>
      <c r="E6" s="73">
        <f t="shared" ref="E6:E19" si="0">(D6*100)/$D$20</f>
        <v>29.972225737483264</v>
      </c>
      <c r="F6" s="1076">
        <f>VLOOKUP(B6,[2]Hoja1!$C$2:$E$279,3,FALSE)</f>
        <v>8741.6200000000008</v>
      </c>
      <c r="G6" s="73">
        <f t="shared" ref="G6:G19" si="1">F6*D6</f>
        <v>1173.7860196218176</v>
      </c>
      <c r="H6" s="949">
        <v>8754.2800000000007</v>
      </c>
      <c r="I6" s="73">
        <f t="shared" ref="I6:I19" si="2">H6*D6</f>
        <v>1175.4859483545251</v>
      </c>
      <c r="J6" s="536">
        <f t="shared" ref="J6:J19" si="3">((F6/H6)*100)-100</f>
        <v>-0.14461497690273006</v>
      </c>
      <c r="K6" s="282">
        <f t="shared" ref="K6:K19" si="4">$K$4*E6%</f>
        <v>0.13427557130392503</v>
      </c>
      <c r="L6" s="42">
        <f t="shared" ref="L6:L19" si="5">$L$4*E6%</f>
        <v>89.997602221940994</v>
      </c>
      <c r="M6" s="42">
        <f t="shared" ref="M6:M19" si="6">L6*F6</f>
        <v>786724.83953536395</v>
      </c>
    </row>
    <row r="7" spans="2:13" ht="21" customHeight="1" x14ac:dyDescent="0.3">
      <c r="B7" s="563">
        <f>VLOOKUP(C7,[1]Hoja1!$B$2:$C$260,2,FALSE)</f>
        <v>1131002</v>
      </c>
      <c r="C7" s="74" t="s">
        <v>663</v>
      </c>
      <c r="D7" s="190">
        <v>8.3549244366886696E-2</v>
      </c>
      <c r="E7" s="73">
        <f t="shared" si="0"/>
        <v>18.649384903322918</v>
      </c>
      <c r="F7" s="1076">
        <f>VLOOKUP(B7,[2]Hoja1!$C$2:$E$279,3,FALSE)</f>
        <v>0</v>
      </c>
      <c r="G7" s="73">
        <f t="shared" si="1"/>
        <v>0</v>
      </c>
      <c r="H7" s="73">
        <v>0</v>
      </c>
      <c r="I7" s="73">
        <f t="shared" si="2"/>
        <v>0</v>
      </c>
      <c r="J7" s="536" t="e">
        <f t="shared" si="3"/>
        <v>#DIV/0!</v>
      </c>
      <c r="K7" s="282">
        <f t="shared" si="4"/>
        <v>8.3549244366886682E-2</v>
      </c>
      <c r="L7" s="42">
        <f t="shared" si="5"/>
        <v>55.998508049207722</v>
      </c>
      <c r="M7" s="42">
        <f t="shared" si="6"/>
        <v>0</v>
      </c>
    </row>
    <row r="8" spans="2:13" ht="21" customHeight="1" x14ac:dyDescent="0.3">
      <c r="B8" s="563">
        <f>VLOOKUP(C8,[1]Hoja1!$B$2:$C$260,2,FALSE)</f>
        <v>1260009</v>
      </c>
      <c r="C8" s="74" t="s">
        <v>1027</v>
      </c>
      <c r="D8" s="190">
        <v>1.3427557130392502E-2</v>
      </c>
      <c r="E8" s="73">
        <f t="shared" si="0"/>
        <v>2.9972225737483256</v>
      </c>
      <c r="F8" s="1076">
        <f>VLOOKUP(B8,[2]Hoja1!$C$2:$E$279,3,FALSE)</f>
        <v>7033.69</v>
      </c>
      <c r="G8" s="73">
        <f t="shared" si="1"/>
        <v>94.445274312470431</v>
      </c>
      <c r="H8" s="964">
        <v>9565.2099999999991</v>
      </c>
      <c r="I8" s="73">
        <f t="shared" si="2"/>
        <v>128.43740373920164</v>
      </c>
      <c r="J8" s="536">
        <f t="shared" si="3"/>
        <v>-26.465911360022403</v>
      </c>
      <c r="K8" s="282">
        <f t="shared" si="4"/>
        <v>1.3427557130392499E-2</v>
      </c>
      <c r="L8" s="42">
        <f t="shared" si="5"/>
        <v>8.9997602221940962</v>
      </c>
      <c r="M8" s="42">
        <f t="shared" si="6"/>
        <v>63301.523477244387</v>
      </c>
    </row>
    <row r="9" spans="2:13" ht="21" customHeight="1" x14ac:dyDescent="0.3">
      <c r="B9" s="563">
        <f>VLOOKUP(C9,[1]Hoja1!$B$2:$C$260,2,FALSE)</f>
        <v>1230005</v>
      </c>
      <c r="C9" s="74" t="s">
        <v>1158</v>
      </c>
      <c r="D9" s="190">
        <v>8.9517047535950002E-3</v>
      </c>
      <c r="E9" s="73">
        <f t="shared" si="0"/>
        <v>1.9981483824988835</v>
      </c>
      <c r="F9" s="1076">
        <f>VLOOKUP(B9,[2]Hoja1!$C$2:$E$279,3,FALSE)</f>
        <v>45711.59</v>
      </c>
      <c r="G9" s="73">
        <f t="shared" si="1"/>
        <v>409.19665749738567</v>
      </c>
      <c r="H9" s="88">
        <v>42915.05</v>
      </c>
      <c r="I9" s="73">
        <f t="shared" si="2"/>
        <v>384.16285708576714</v>
      </c>
      <c r="J9" s="536">
        <f t="shared" si="3"/>
        <v>6.5164551829719244</v>
      </c>
      <c r="K9" s="282">
        <f t="shared" si="4"/>
        <v>8.9517047535949985E-3</v>
      </c>
      <c r="L9" s="42">
        <f t="shared" si="5"/>
        <v>5.9998401481293975</v>
      </c>
      <c r="M9" s="42">
        <f t="shared" si="6"/>
        <v>274262.23291683028</v>
      </c>
    </row>
    <row r="10" spans="2:13" ht="21" customHeight="1" x14ac:dyDescent="0.3">
      <c r="B10" s="563">
        <f>VLOOKUP(C10,[1]Hoja1!$B$2:$C$260,2,FALSE)</f>
        <v>1260017</v>
      </c>
      <c r="C10" s="74" t="s">
        <v>832</v>
      </c>
      <c r="D10" s="190">
        <v>5.6694130106101697E-3</v>
      </c>
      <c r="E10" s="73">
        <f t="shared" si="0"/>
        <v>1.2654939755826267</v>
      </c>
      <c r="F10" s="1076">
        <f>VLOOKUP(B10,[2]Hoja1!$C$2:$E$279,3,FALSE)</f>
        <v>4500</v>
      </c>
      <c r="G10" s="73">
        <f t="shared" si="1"/>
        <v>25.512358547745762</v>
      </c>
      <c r="H10" s="88">
        <v>4500</v>
      </c>
      <c r="I10" s="73">
        <f t="shared" si="2"/>
        <v>25.512358547745762</v>
      </c>
      <c r="J10" s="536">
        <f t="shared" si="3"/>
        <v>0</v>
      </c>
      <c r="K10" s="282">
        <f t="shared" si="4"/>
        <v>5.6694130106101671E-3</v>
      </c>
      <c r="L10" s="42">
        <f t="shared" si="5"/>
        <v>3.7998987604819527</v>
      </c>
      <c r="M10" s="42">
        <f t="shared" si="6"/>
        <v>17099.544422168787</v>
      </c>
    </row>
    <row r="11" spans="2:13" ht="21" customHeight="1" x14ac:dyDescent="0.3">
      <c r="B11" s="563">
        <f>VLOOKUP(C11,[1]Hoja1!$B$2:$C$260,2,FALSE)</f>
        <v>1210005</v>
      </c>
      <c r="C11" s="74" t="s">
        <v>1155</v>
      </c>
      <c r="D11" s="190">
        <v>4.3266572975709178E-3</v>
      </c>
      <c r="E11" s="73">
        <f t="shared" si="0"/>
        <v>0.96577171820779384</v>
      </c>
      <c r="F11" s="1076">
        <f>VLOOKUP(B11,[2]Hoja1!$C$2:$E$279,3,FALSE)</f>
        <v>1356</v>
      </c>
      <c r="G11" s="73">
        <f t="shared" si="1"/>
        <v>5.8669472955061641</v>
      </c>
      <c r="H11" s="964">
        <v>1360</v>
      </c>
      <c r="I11" s="73">
        <f t="shared" si="2"/>
        <v>5.8842539246964485</v>
      </c>
      <c r="J11" s="536">
        <f t="shared" si="3"/>
        <v>-0.29411764705882604</v>
      </c>
      <c r="K11" s="282">
        <f t="shared" si="4"/>
        <v>4.3266572975709169E-3</v>
      </c>
      <c r="L11" s="42">
        <f t="shared" si="5"/>
        <v>2.8999227382625428</v>
      </c>
      <c r="M11" s="42">
        <f t="shared" si="6"/>
        <v>3932.295233084008</v>
      </c>
    </row>
    <row r="12" spans="2:13" ht="21" customHeight="1" x14ac:dyDescent="0.3">
      <c r="B12" s="563">
        <f>VLOOKUP(C12,[1]Hoja1!$B$2:$C$260,2,FALSE)</f>
        <v>121007</v>
      </c>
      <c r="C12" s="74" t="s">
        <v>821</v>
      </c>
      <c r="D12" s="190">
        <v>2.0887311091721673E-3</v>
      </c>
      <c r="E12" s="73">
        <f t="shared" si="0"/>
        <v>0.46623462258307291</v>
      </c>
      <c r="F12" s="1076">
        <f>VLOOKUP(B12,[2]Hoja1!$C$2:$E$279,3,FALSE)</f>
        <v>16905</v>
      </c>
      <c r="G12" s="73">
        <f t="shared" si="1"/>
        <v>35.30999940055549</v>
      </c>
      <c r="H12" s="964">
        <v>16100</v>
      </c>
      <c r="I12" s="73">
        <f t="shared" si="2"/>
        <v>33.628570857671896</v>
      </c>
      <c r="J12" s="536">
        <f t="shared" si="3"/>
        <v>5</v>
      </c>
      <c r="K12" s="282">
        <f t="shared" si="4"/>
        <v>2.0887311091721669E-3</v>
      </c>
      <c r="L12" s="42">
        <f t="shared" si="5"/>
        <v>1.399962701230193</v>
      </c>
      <c r="M12" s="42">
        <f t="shared" si="6"/>
        <v>23666.369464296411</v>
      </c>
    </row>
    <row r="13" spans="2:13" ht="21" customHeight="1" x14ac:dyDescent="0.3">
      <c r="B13" s="563">
        <f>VLOOKUP(C13,[1]Hoja1!$B$2:$C$260,2,FALSE)</f>
        <v>1220014</v>
      </c>
      <c r="C13" s="74" t="s">
        <v>1146</v>
      </c>
      <c r="D13" s="190">
        <v>2.0141335695588766E-3</v>
      </c>
      <c r="E13" s="73">
        <f t="shared" si="0"/>
        <v>0.44958338606224912</v>
      </c>
      <c r="F13" s="1076">
        <f>VLOOKUP(B13,[2]Hoja1!$C$2:$E$279,3,FALSE)</f>
        <v>14060</v>
      </c>
      <c r="G13" s="73">
        <f t="shared" si="1"/>
        <v>28.318717987997804</v>
      </c>
      <c r="H13" s="965">
        <v>13300.01</v>
      </c>
      <c r="I13" s="73">
        <f t="shared" si="2"/>
        <v>26.787996616468757</v>
      </c>
      <c r="J13" s="536">
        <f t="shared" si="3"/>
        <v>5.7142062299201086</v>
      </c>
      <c r="K13" s="282">
        <f t="shared" si="4"/>
        <v>2.0141335695588762E-3</v>
      </c>
      <c r="L13" s="42">
        <f t="shared" si="5"/>
        <v>1.3499640333291154</v>
      </c>
      <c r="M13" s="42">
        <f t="shared" si="6"/>
        <v>18980.494308607362</v>
      </c>
    </row>
    <row r="14" spans="2:13" ht="21" customHeight="1" x14ac:dyDescent="0.3">
      <c r="B14" s="563">
        <f>VLOOKUP(C14,[1]Hoja1!$B$2:$C$260,2,FALSE)</f>
        <v>1210004</v>
      </c>
      <c r="C14" s="74" t="s">
        <v>1131</v>
      </c>
      <c r="D14" s="190">
        <v>7.459753961329169E-4</v>
      </c>
      <c r="E14" s="73">
        <f t="shared" si="0"/>
        <v>0.16651236520824034</v>
      </c>
      <c r="F14" s="1076">
        <f>VLOOKUP(B14,[2]Hoja1!$C$2:$E$279,3,FALSE)</f>
        <v>3841</v>
      </c>
      <c r="G14" s="73">
        <f t="shared" si="1"/>
        <v>2.8652914965465337</v>
      </c>
      <c r="H14" s="965">
        <v>3508.01</v>
      </c>
      <c r="I14" s="73">
        <f t="shared" si="2"/>
        <v>2.6168891493882338</v>
      </c>
      <c r="J14" s="536">
        <f t="shared" si="3"/>
        <v>9.4922762477871885</v>
      </c>
      <c r="K14" s="282">
        <f t="shared" si="4"/>
        <v>7.4597539613291668E-4</v>
      </c>
      <c r="L14" s="42">
        <f t="shared" si="5"/>
        <v>0.49998667901078325</v>
      </c>
      <c r="M14" s="42">
        <f t="shared" si="6"/>
        <v>1920.4488340804185</v>
      </c>
    </row>
    <row r="15" spans="2:13" ht="21" customHeight="1" x14ac:dyDescent="0.3">
      <c r="B15" s="563">
        <f>VLOOKUP(C15,[1]Hoja1!$B$2:$C$260,2,FALSE)</f>
        <v>1250005</v>
      </c>
      <c r="C15" s="74" t="s">
        <v>1152</v>
      </c>
      <c r="D15" s="190">
        <v>6.7286980731189115E-4</v>
      </c>
      <c r="E15" s="73">
        <f t="shared" si="0"/>
        <v>0.15019415341783282</v>
      </c>
      <c r="F15" s="1076">
        <f>VLOOKUP(B15,[2]Hoja1!$C$2:$E$279,3,FALSE)</f>
        <v>66921.05</v>
      </c>
      <c r="G15" s="73">
        <f t="shared" si="1"/>
        <v>45.029154018609432</v>
      </c>
      <c r="H15" s="88">
        <v>62991.09</v>
      </c>
      <c r="I15" s="73">
        <f t="shared" si="2"/>
        <v>42.384802590665991</v>
      </c>
      <c r="J15" s="536">
        <f t="shared" si="3"/>
        <v>6.2389141067411344</v>
      </c>
      <c r="K15" s="282">
        <f t="shared" si="4"/>
        <v>6.7286980731189104E-4</v>
      </c>
      <c r="L15" s="42">
        <f t="shared" si="5"/>
        <v>0.45098798446772659</v>
      </c>
      <c r="M15" s="42">
        <f t="shared" si="6"/>
        <v>30180.589457963957</v>
      </c>
    </row>
    <row r="16" spans="2:13" ht="21" customHeight="1" x14ac:dyDescent="0.3">
      <c r="B16" s="563">
        <f>VLOOKUP(C16,[1]Hoja1!$B$2:$C$260,2,FALSE)</f>
        <v>1270004</v>
      </c>
      <c r="C16" s="74" t="s">
        <v>1032</v>
      </c>
      <c r="D16" s="190">
        <v>4.6847254877147195E-4</v>
      </c>
      <c r="E16" s="73">
        <f t="shared" si="0"/>
        <v>0.10456976535077496</v>
      </c>
      <c r="F16" s="1076">
        <f>VLOOKUP(B16,[2]Hoja1!$C$2:$E$279,3,FALSE)</f>
        <v>50662</v>
      </c>
      <c r="G16" s="73">
        <f t="shared" si="1"/>
        <v>23.733756265860311</v>
      </c>
      <c r="H16" s="88">
        <v>53849.37</v>
      </c>
      <c r="I16" s="73">
        <f t="shared" si="2"/>
        <v>25.22695161363804</v>
      </c>
      <c r="J16" s="536">
        <f t="shared" si="3"/>
        <v>-5.9190478922966179</v>
      </c>
      <c r="K16" s="1036">
        <f t="shared" si="4"/>
        <v>4.6847254877147184E-4</v>
      </c>
      <c r="L16" s="42">
        <f t="shared" si="5"/>
        <v>0.31399163441877193</v>
      </c>
      <c r="M16" s="42">
        <f t="shared" si="6"/>
        <v>15907.444182923824</v>
      </c>
    </row>
    <row r="17" spans="2:13" ht="21" customHeight="1" x14ac:dyDescent="0.3">
      <c r="B17" s="563">
        <f>VLOOKUP(C17,[1]Hoja1!$B$2:$C$260,2,FALSE)</f>
        <v>1220001</v>
      </c>
      <c r="C17" s="74" t="s">
        <v>1156</v>
      </c>
      <c r="D17" s="190">
        <v>4.4758523767975025E-4</v>
      </c>
      <c r="E17" s="73">
        <f t="shared" si="0"/>
        <v>9.9907419124944233E-2</v>
      </c>
      <c r="F17" s="1076">
        <f>VLOOKUP(B17,[2]Hoja1!$C$2:$E$279,3,FALSE)</f>
        <v>85579.98</v>
      </c>
      <c r="G17" s="73">
        <f t="shared" si="1"/>
        <v>38.304335688928269</v>
      </c>
      <c r="H17" s="533">
        <v>81899.73</v>
      </c>
      <c r="I17" s="73">
        <f t="shared" si="2"/>
        <v>36.657110117957373</v>
      </c>
      <c r="J17" s="536">
        <f t="shared" si="3"/>
        <v>4.4936045576706931</v>
      </c>
      <c r="K17" s="1036">
        <f t="shared" si="4"/>
        <v>4.4758523767975014E-4</v>
      </c>
      <c r="L17" s="42">
        <f t="shared" si="5"/>
        <v>0.29999200740647003</v>
      </c>
      <c r="M17" s="42">
        <f t="shared" si="6"/>
        <v>25673.309994005554</v>
      </c>
    </row>
    <row r="18" spans="2:13" ht="21" customHeight="1" x14ac:dyDescent="0.3">
      <c r="B18" s="563">
        <f>VLOOKUP(C18,[1]Hoja1!$B$2:$C$260,2,FALSE)</f>
        <v>1220005</v>
      </c>
      <c r="C18" s="74" t="s">
        <v>1135</v>
      </c>
      <c r="D18" s="190">
        <v>2.1334896329401425E-4</v>
      </c>
      <c r="E18" s="73">
        <f t="shared" si="0"/>
        <v>4.7622536449556739E-2</v>
      </c>
      <c r="F18" s="1076">
        <f>VLOOKUP(B18,[2]Hoja1!$C$2:$E$279,3,FALSE)</f>
        <v>17429.990000000002</v>
      </c>
      <c r="G18" s="73">
        <f t="shared" si="1"/>
        <v>3.7186702967250356</v>
      </c>
      <c r="H18" s="964">
        <v>17430</v>
      </c>
      <c r="I18" s="73">
        <f t="shared" si="2"/>
        <v>3.7186724302146685</v>
      </c>
      <c r="J18" s="536">
        <f t="shared" si="3"/>
        <v>-5.7372346518036466E-5</v>
      </c>
      <c r="K18" s="1036">
        <f t="shared" si="4"/>
        <v>2.1334896329401419E-4</v>
      </c>
      <c r="L18" s="42">
        <f t="shared" si="5"/>
        <v>0.14299619019708401</v>
      </c>
      <c r="M18" s="42">
        <f t="shared" si="6"/>
        <v>2492.4221651732728</v>
      </c>
    </row>
    <row r="19" spans="2:13" ht="21" customHeight="1" x14ac:dyDescent="0.3">
      <c r="B19" s="563">
        <f>VLOOKUP(C19,[1]Hoja1!$B$2:$C$260,2,FALSE)</f>
        <v>1220008</v>
      </c>
      <c r="C19" s="74" t="s">
        <v>1157</v>
      </c>
      <c r="D19" s="190">
        <v>1.7903409507190007E-4</v>
      </c>
      <c r="E19" s="73">
        <f t="shared" si="0"/>
        <v>3.9962967649977685E-2</v>
      </c>
      <c r="F19" s="1076">
        <f>VLOOKUP(B19,[2]Hoja1!$C$2:$E$279,3,FALSE)</f>
        <v>50476.2</v>
      </c>
      <c r="G19" s="73">
        <f t="shared" si="1"/>
        <v>9.0369607896682425</v>
      </c>
      <c r="H19" s="88">
        <v>48608.39</v>
      </c>
      <c r="I19" s="73">
        <f t="shared" si="2"/>
        <v>8.7025591165519955</v>
      </c>
      <c r="J19" s="536">
        <f t="shared" si="3"/>
        <v>3.8425670959272509</v>
      </c>
      <c r="K19" s="1036">
        <f t="shared" si="4"/>
        <v>1.7903409507190004E-4</v>
      </c>
      <c r="L19" s="42">
        <f t="shared" si="5"/>
        <v>0.119996802962588</v>
      </c>
      <c r="M19" s="42">
        <f t="shared" si="6"/>
        <v>6056.9826257001841</v>
      </c>
    </row>
    <row r="20" spans="2:13" s="345" customFormat="1" ht="21" customHeight="1" x14ac:dyDescent="0.25">
      <c r="B20" s="1783" t="s">
        <v>37</v>
      </c>
      <c r="C20" s="1783"/>
      <c r="D20" s="1360">
        <f>SUM(D5:D19)</f>
        <v>0.44800000000000012</v>
      </c>
      <c r="E20" s="1361">
        <f>SUM(E5:E19)</f>
        <v>99.999999999999972</v>
      </c>
      <c r="F20" s="1361"/>
      <c r="G20" s="1362">
        <f>SUM(G5:G19)</f>
        <v>4092.4463537047677</v>
      </c>
      <c r="H20" s="1361"/>
      <c r="I20" s="1362">
        <f>SUM(I5:I19)</f>
        <v>4572.7821938848674</v>
      </c>
      <c r="J20" s="1342">
        <f>((G20/I20)*100)-100</f>
        <v>-10.504236148016147</v>
      </c>
      <c r="K20" s="1363"/>
      <c r="L20" s="345">
        <f>SUM(L5:L19)</f>
        <v>300.26999999999987</v>
      </c>
      <c r="M20" s="345">
        <f>SUM(M5:M19)</f>
        <v>2742943.8987208256</v>
      </c>
    </row>
    <row r="22" spans="2:13" ht="21" customHeight="1" x14ac:dyDescent="0.3">
      <c r="B22" s="1784" t="s">
        <v>50</v>
      </c>
      <c r="C22" s="1785"/>
      <c r="D22" s="693">
        <f>+C25+(C25*C31%)</f>
        <v>448</v>
      </c>
      <c r="E22" s="966"/>
      <c r="F22" s="966"/>
      <c r="G22" s="966"/>
      <c r="H22" s="966"/>
      <c r="I22" s="966" t="s">
        <v>85</v>
      </c>
      <c r="J22" s="966"/>
    </row>
    <row r="23" spans="2:13" ht="21" customHeight="1" x14ac:dyDescent="0.25">
      <c r="B23" s="1344" t="s">
        <v>38</v>
      </c>
      <c r="C23" s="967" t="s">
        <v>123</v>
      </c>
      <c r="H23" s="345"/>
    </row>
    <row r="24" spans="2:13" ht="21" customHeight="1" x14ac:dyDescent="0.25">
      <c r="B24" s="1345" t="s">
        <v>39</v>
      </c>
      <c r="C24" s="968" t="s">
        <v>419</v>
      </c>
      <c r="H24" s="345"/>
    </row>
    <row r="25" spans="2:13" ht="21" customHeight="1" x14ac:dyDescent="0.25">
      <c r="B25" s="1345" t="s">
        <v>40</v>
      </c>
      <c r="C25" s="968">
        <v>400</v>
      </c>
      <c r="H25" s="345"/>
    </row>
    <row r="26" spans="2:13" ht="21" customHeight="1" x14ac:dyDescent="0.25">
      <c r="B26" s="1345" t="s">
        <v>41</v>
      </c>
      <c r="C26" s="968">
        <v>0</v>
      </c>
      <c r="H26" s="345"/>
    </row>
    <row r="27" spans="2:13" ht="21" customHeight="1" x14ac:dyDescent="0.25">
      <c r="B27" s="1345" t="s">
        <v>42</v>
      </c>
      <c r="C27" s="968">
        <v>6</v>
      </c>
      <c r="H27" s="345"/>
    </row>
    <row r="28" spans="2:13" ht="21" customHeight="1" x14ac:dyDescent="0.25">
      <c r="B28" s="1345" t="s">
        <v>43</v>
      </c>
      <c r="C28" s="968">
        <v>2</v>
      </c>
      <c r="H28" s="345"/>
    </row>
    <row r="29" spans="2:13" ht="21" customHeight="1" x14ac:dyDescent="0.25">
      <c r="B29" s="1345" t="s">
        <v>44</v>
      </c>
      <c r="C29" s="968">
        <v>2</v>
      </c>
      <c r="H29" s="345"/>
    </row>
    <row r="30" spans="2:13" ht="21" customHeight="1" x14ac:dyDescent="0.25">
      <c r="B30" s="1345" t="s">
        <v>45</v>
      </c>
      <c r="C30" s="968">
        <v>2</v>
      </c>
      <c r="H30" s="345"/>
    </row>
    <row r="31" spans="2:13" ht="21" customHeight="1" x14ac:dyDescent="0.25">
      <c r="B31" s="1345" t="s">
        <v>46</v>
      </c>
      <c r="C31" s="968">
        <f>C30+C29+C28+C27</f>
        <v>12</v>
      </c>
      <c r="H31" s="345"/>
    </row>
    <row r="32" spans="2:13" ht="21" customHeight="1" x14ac:dyDescent="0.25">
      <c r="H32" s="966"/>
      <c r="I32" s="966"/>
    </row>
    <row r="33" spans="1:11" ht="21" customHeight="1" x14ac:dyDescent="0.25">
      <c r="B33" s="1786" t="s">
        <v>47</v>
      </c>
      <c r="C33" s="1787"/>
      <c r="D33" s="1787"/>
      <c r="E33" s="1787"/>
      <c r="F33" s="1787"/>
      <c r="G33" s="1787"/>
      <c r="H33" s="1787"/>
      <c r="I33" s="1787"/>
    </row>
    <row r="34" spans="1:11" ht="30.75" customHeight="1" x14ac:dyDescent="0.25">
      <c r="B34" s="1346" t="s">
        <v>0</v>
      </c>
      <c r="C34" s="1346" t="s">
        <v>1</v>
      </c>
      <c r="D34" s="1347" t="s">
        <v>2</v>
      </c>
      <c r="E34" s="1335" t="str">
        <f>+'CIF Y PV'!$F$4</f>
        <v xml:space="preserve">JUN-COP/UMB </v>
      </c>
      <c r="F34" s="1335" t="str">
        <f>+'CIF Y PV'!$G$4</f>
        <v>JUN-COP/APP</v>
      </c>
      <c r="G34" s="1335" t="str">
        <f>+'CIF Y PV'!$H$4</f>
        <v xml:space="preserve">MAY-COP/UMB </v>
      </c>
      <c r="H34" s="1335" t="str">
        <f>+'CIF Y PV'!$I$4</f>
        <v>MAY-COP/APP</v>
      </c>
      <c r="I34" s="1364" t="s">
        <v>3</v>
      </c>
      <c r="J34" s="345">
        <v>540</v>
      </c>
    </row>
    <row r="35" spans="1:11" ht="21" customHeight="1" x14ac:dyDescent="0.25">
      <c r="B35" s="576">
        <f>VLOOKUP(C35,[1]Hoja1!$B$2:$C$260,2,FALSE)</f>
        <v>1370008</v>
      </c>
      <c r="C35" s="576" t="s">
        <v>1159</v>
      </c>
      <c r="D35" s="494">
        <v>1.5129999999999999</v>
      </c>
      <c r="E35" s="507">
        <f>VLOOKUP(B35,[2]Hoja1!$C$2:$E$279,3,FALSE)</f>
        <v>362.7</v>
      </c>
      <c r="F35" s="507">
        <f>E35*D35</f>
        <v>548.76509999999996</v>
      </c>
      <c r="G35" s="507">
        <v>473.58</v>
      </c>
      <c r="H35" s="507">
        <f>G35*D35</f>
        <v>716.52653999999995</v>
      </c>
      <c r="I35" s="566">
        <f>((F35/H35)*100)-100</f>
        <v>-23.413150893196502</v>
      </c>
      <c r="J35" s="345">
        <f>J34*D35</f>
        <v>817.02</v>
      </c>
    </row>
    <row r="36" spans="1:11" ht="21" customHeight="1" x14ac:dyDescent="0.3">
      <c r="B36" s="576">
        <f>VLOOKUP(C36,[1]Hoja1!$B$2:$C$260,2,FALSE)</f>
        <v>1310018</v>
      </c>
      <c r="C36" s="576" t="s">
        <v>890</v>
      </c>
      <c r="D36" s="494">
        <v>7.4999999999999997E-2</v>
      </c>
      <c r="E36" s="507">
        <f>VLOOKUP(B36,[2]Hoja1!$C$2:$E$279,3,FALSE)</f>
        <v>478.26</v>
      </c>
      <c r="F36" s="507">
        <f>E36*D36</f>
        <v>35.869499999999995</v>
      </c>
      <c r="G36" s="970">
        <v>513</v>
      </c>
      <c r="H36" s="507">
        <f>G36*D36</f>
        <v>38.475000000000001</v>
      </c>
      <c r="I36" s="566">
        <f>((F36/H36)*100)-100</f>
        <v>-6.7719298245614112</v>
      </c>
      <c r="J36" s="345">
        <f>J34*D36</f>
        <v>40.5</v>
      </c>
    </row>
    <row r="37" spans="1:11" ht="21" customHeight="1" x14ac:dyDescent="0.3">
      <c r="B37" s="576">
        <f>VLOOKUP(C37,[1]Hoja1!$B$2:$C$260,2,FALSE)</f>
        <v>1320005</v>
      </c>
      <c r="C37" s="576" t="s">
        <v>1145</v>
      </c>
      <c r="D37" s="494">
        <v>7.4999999999999997E-2</v>
      </c>
      <c r="E37" s="507">
        <f>VLOOKUP(B37,[2]Hoja1!$C$2:$E$279,3,FALSE)</f>
        <v>740.21</v>
      </c>
      <c r="F37" s="507">
        <f>E37*D37</f>
        <v>55.515750000000004</v>
      </c>
      <c r="G37" s="582">
        <v>833.3</v>
      </c>
      <c r="H37" s="507">
        <f>G37*D37</f>
        <v>62.497499999999995</v>
      </c>
      <c r="I37" s="566">
        <f>((F37/H37)*100)-100</f>
        <v>-11.171246849873981</v>
      </c>
      <c r="J37" s="345">
        <f>J34*D37</f>
        <v>40.5</v>
      </c>
    </row>
    <row r="38" spans="1:11" ht="21" customHeight="1" x14ac:dyDescent="0.3">
      <c r="B38" s="576">
        <f>VLOOKUP(C38,[1]Hoja1!$B$2:$C$260,2,FALSE)</f>
        <v>1330080</v>
      </c>
      <c r="C38" s="576" t="s">
        <v>1123</v>
      </c>
      <c r="D38" s="494">
        <v>1</v>
      </c>
      <c r="E38" s="507">
        <f>VLOOKUP(B38,[2]Hoja1!$C$2:$E$279,3,FALSE)</f>
        <v>154.41999999999999</v>
      </c>
      <c r="F38" s="507">
        <f>E38*D38</f>
        <v>154.41999999999999</v>
      </c>
      <c r="G38" s="582">
        <v>144.4</v>
      </c>
      <c r="H38" s="507">
        <f>G38*D38</f>
        <v>144.4</v>
      </c>
      <c r="I38" s="566"/>
      <c r="J38" s="345"/>
    </row>
    <row r="39" spans="1:11" ht="21" customHeight="1" x14ac:dyDescent="0.25">
      <c r="B39" s="576">
        <f>VLOOKUP(C39,[1]Hoja1!$B$2:$C$260,2,FALSE)</f>
        <v>1330045</v>
      </c>
      <c r="C39" s="576" t="s">
        <v>926</v>
      </c>
      <c r="D39" s="494">
        <v>1</v>
      </c>
      <c r="E39" s="507">
        <f>VLOOKUP(B39,[2]Hoja1!$C$2:$E$279,3,FALSE)</f>
        <v>88.48</v>
      </c>
      <c r="F39" s="507">
        <f>E39*D39</f>
        <v>88.48</v>
      </c>
      <c r="G39" s="507">
        <v>77</v>
      </c>
      <c r="H39" s="507">
        <f>G39*D39</f>
        <v>77</v>
      </c>
      <c r="I39" s="566">
        <f>((F39/H39)*100)-100</f>
        <v>14.909090909090921</v>
      </c>
      <c r="J39" s="345">
        <f>J34*D39</f>
        <v>540</v>
      </c>
    </row>
    <row r="40" spans="1:11" ht="21" customHeight="1" x14ac:dyDescent="0.25">
      <c r="B40" s="1346"/>
      <c r="C40" s="1346" t="s">
        <v>37</v>
      </c>
      <c r="D40" s="1347"/>
      <c r="E40" s="1349"/>
      <c r="F40" s="1349">
        <f>SUM(F35:F39)</f>
        <v>883.05034999999998</v>
      </c>
      <c r="G40" s="1349"/>
      <c r="H40" s="1349">
        <f>SUM(H35:H39)</f>
        <v>1038.8990399999998</v>
      </c>
      <c r="I40" s="1350">
        <f>((F40/H40)*100)-100</f>
        <v>-15.001331601961994</v>
      </c>
    </row>
    <row r="41" spans="1:11" ht="21" customHeight="1" x14ac:dyDescent="0.3">
      <c r="H41" s="527" t="str">
        <f>+'CIF Y PV'!$G$1</f>
        <v>MAYO</v>
      </c>
      <c r="I41" s="971"/>
      <c r="J41" s="345"/>
    </row>
    <row r="42" spans="1:11" ht="21" customHeight="1" x14ac:dyDescent="0.25">
      <c r="B42" s="1779" t="s">
        <v>816</v>
      </c>
      <c r="C42" s="1779"/>
      <c r="E42" s="972"/>
      <c r="F42" s="972"/>
      <c r="G42" s="972"/>
      <c r="H42" s="88">
        <f>F40+G20</f>
        <v>4975.4967037047682</v>
      </c>
      <c r="I42" s="973"/>
      <c r="J42" s="972"/>
      <c r="K42" s="973"/>
    </row>
    <row r="43" spans="1:11" ht="21" customHeight="1" x14ac:dyDescent="0.25">
      <c r="B43" s="1777" t="s">
        <v>48</v>
      </c>
      <c r="C43" s="1778"/>
      <c r="E43" s="972"/>
      <c r="F43" s="972"/>
      <c r="G43" s="972"/>
      <c r="H43" s="88">
        <f>+('CIF Y PV'!C3/1000)*400</f>
        <v>756</v>
      </c>
      <c r="I43" s="696"/>
      <c r="J43" s="972"/>
      <c r="K43" s="696"/>
    </row>
    <row r="44" spans="1:11" ht="21" customHeight="1" x14ac:dyDescent="0.25">
      <c r="B44" s="1777" t="s">
        <v>92</v>
      </c>
      <c r="C44" s="1778"/>
      <c r="E44" s="972"/>
      <c r="F44" s="972"/>
      <c r="G44" s="972"/>
      <c r="H44" s="88">
        <f>+H42+H43</f>
        <v>5731.4967037047682</v>
      </c>
      <c r="I44" s="974"/>
      <c r="J44" s="972"/>
      <c r="K44" s="974"/>
    </row>
    <row r="45" spans="1:11" ht="21" customHeight="1" x14ac:dyDescent="0.25">
      <c r="B45" s="1779" t="s">
        <v>49</v>
      </c>
      <c r="C45" s="1779"/>
      <c r="E45" s="972"/>
      <c r="F45" s="972"/>
      <c r="G45" s="972"/>
      <c r="H45" s="88">
        <f>'CIF Y PV'!C15</f>
        <v>10987.2</v>
      </c>
      <c r="J45" s="972"/>
      <c r="K45" s="975"/>
    </row>
    <row r="46" spans="1:11" ht="21" customHeight="1" x14ac:dyDescent="0.3">
      <c r="A46" s="1781"/>
      <c r="B46" s="1779" t="s">
        <v>805</v>
      </c>
      <c r="C46" s="1779"/>
      <c r="E46" s="972"/>
      <c r="F46" s="972"/>
      <c r="G46" s="972"/>
      <c r="H46" s="1163">
        <f>+(H45-H44)/H45</f>
        <v>0.47834783168552791</v>
      </c>
      <c r="I46" s="977"/>
      <c r="J46" s="345"/>
      <c r="K46" s="977"/>
    </row>
    <row r="47" spans="1:11" ht="21" customHeight="1" x14ac:dyDescent="0.25">
      <c r="A47" s="1781"/>
    </row>
    <row r="48" spans="1:11" ht="21" customHeight="1" x14ac:dyDescent="0.25">
      <c r="A48" s="1781"/>
      <c r="H48" s="345"/>
    </row>
  </sheetData>
  <mergeCells count="10">
    <mergeCell ref="A46:A48"/>
    <mergeCell ref="B44:C44"/>
    <mergeCell ref="B45:C45"/>
    <mergeCell ref="B46:C46"/>
    <mergeCell ref="B2:I2"/>
    <mergeCell ref="B20:C20"/>
    <mergeCell ref="B22:C22"/>
    <mergeCell ref="B33:I33"/>
    <mergeCell ref="B42:C42"/>
    <mergeCell ref="B43:C43"/>
  </mergeCells>
  <pageMargins left="0.7" right="0.7" top="0.75" bottom="0.75" header="0.3" footer="0.3"/>
  <pageSetup scale="36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90CC-8C29-45A3-B574-6B4B5D985F8C}">
  <sheetPr codeName="Hoja101">
    <tabColor rgb="FF00B0F0"/>
  </sheetPr>
  <dimension ref="B2:K46"/>
  <sheetViews>
    <sheetView view="pageBreakPreview" zoomScale="90" zoomScaleNormal="100" zoomScaleSheetLayoutView="90" workbookViewId="0">
      <selection activeCell="F19" sqref="F19"/>
    </sheetView>
  </sheetViews>
  <sheetFormatPr baseColWidth="10" defaultColWidth="11.5703125" defaultRowHeight="21" customHeight="1" x14ac:dyDescent="0.25"/>
  <cols>
    <col min="1" max="1" width="16.5703125" style="42" bestFit="1" customWidth="1"/>
    <col min="2" max="2" width="11.5703125" style="42"/>
    <col min="3" max="3" width="67.42578125" style="42" bestFit="1" customWidth="1"/>
    <col min="4" max="4" width="11.5703125" style="191"/>
    <col min="5" max="6" width="11.5703125" style="42"/>
    <col min="7" max="7" width="14.28515625" style="42" bestFit="1" customWidth="1"/>
    <col min="8" max="8" width="12.5703125" style="42" bestFit="1" customWidth="1"/>
    <col min="9" max="9" width="14.42578125" style="42" bestFit="1" customWidth="1"/>
    <col min="10" max="10" width="12.5703125" style="42" bestFit="1" customWidth="1"/>
    <col min="11" max="16384" width="11.5703125" style="42"/>
  </cols>
  <sheetData>
    <row r="2" spans="2:11" ht="21" customHeight="1" x14ac:dyDescent="0.25">
      <c r="B2" s="1788" t="s">
        <v>1104</v>
      </c>
      <c r="C2" s="1788"/>
      <c r="D2" s="1788"/>
      <c r="E2" s="1788"/>
      <c r="F2" s="1788"/>
      <c r="G2" s="1788"/>
      <c r="H2" s="1788"/>
      <c r="I2" s="1788"/>
    </row>
    <row r="4" spans="2:11" ht="30.75" customHeight="1" x14ac:dyDescent="0.25">
      <c r="B4" s="1355" t="s">
        <v>0</v>
      </c>
      <c r="C4" s="1355" t="s">
        <v>1</v>
      </c>
      <c r="D4" s="1356" t="s">
        <v>2</v>
      </c>
      <c r="E4" s="1355" t="s">
        <v>3</v>
      </c>
      <c r="F4" s="1335" t="str">
        <f>+'CIF Y PV'!$F$2</f>
        <v xml:space="preserve">JUN-COP/Kg </v>
      </c>
      <c r="G4" s="1335" t="str">
        <f>+'CIF Y PV'!$G$2</f>
        <v>JUN-COP/APP</v>
      </c>
      <c r="H4" s="1335" t="str">
        <f>+'CIF Y PV'!$H$2</f>
        <v xml:space="preserve">MAY-COP/Kg </v>
      </c>
      <c r="I4" s="1335" t="str">
        <f>+'CIF Y PV'!$I$2</f>
        <v>MAY-COP/APP</v>
      </c>
      <c r="J4" s="1357" t="s">
        <v>3</v>
      </c>
      <c r="K4" s="1358">
        <f>+D22/1000</f>
        <v>1.1200000000000001</v>
      </c>
    </row>
    <row r="5" spans="2:11" ht="21" customHeight="1" x14ac:dyDescent="0.3">
      <c r="B5" s="563">
        <f>VLOOKUP(C5,[1]Hoja1!$B$2:$C$260,2,FALSE)</f>
        <v>2903003</v>
      </c>
      <c r="C5" s="563" t="s">
        <v>1039</v>
      </c>
      <c r="D5" s="494">
        <v>0.47742425352506684</v>
      </c>
      <c r="E5" s="498">
        <f>(D5*100)/$D$20</f>
        <v>42.627165493309526</v>
      </c>
      <c r="F5" s="1076">
        <f>VLOOKUP(B5,[2]Hoja1!$C$2:$E$279,3,FALSE)</f>
        <v>11506.13</v>
      </c>
      <c r="G5" s="73">
        <f>F5*D5</f>
        <v>5493.3055262123771</v>
      </c>
      <c r="H5" s="693">
        <v>14000</v>
      </c>
      <c r="I5" s="73">
        <v>2783.2325319870256</v>
      </c>
      <c r="J5" s="536">
        <f>((F5/H5)*100)-100</f>
        <v>-17.813357142857143</v>
      </c>
      <c r="K5" s="336">
        <f>$K$4*E5%</f>
        <v>0.47742425352506673</v>
      </c>
    </row>
    <row r="6" spans="2:11" ht="21" customHeight="1" x14ac:dyDescent="0.3">
      <c r="B6" s="563">
        <f>VLOOKUP(C6,[1]Hoja1!$B$2:$C$260,2,FALSE)</f>
        <v>1121009</v>
      </c>
      <c r="C6" s="74" t="s">
        <v>1272</v>
      </c>
      <c r="D6" s="190">
        <v>0.33568892825981272</v>
      </c>
      <c r="E6" s="73">
        <f t="shared" ref="E6:E19" si="0">(D6*100)/$D$20</f>
        <v>29.972225737483271</v>
      </c>
      <c r="F6" s="1076">
        <f>VLOOKUP(B6,[2]Hoja1!$C$2:$E$279,3,FALSE)</f>
        <v>8741.6200000000008</v>
      </c>
      <c r="G6" s="73">
        <f t="shared" ref="G6:G19" si="1">F6*D6</f>
        <v>2934.4650490545446</v>
      </c>
      <c r="H6" s="949">
        <v>8754.2800000000007</v>
      </c>
      <c r="I6" s="73">
        <v>1114.3986199455173</v>
      </c>
      <c r="J6" s="536">
        <f t="shared" ref="J6:J19" si="2">((F6/H6)*100)-100</f>
        <v>-0.14461497690273006</v>
      </c>
      <c r="K6" s="336">
        <f t="shared" ref="K6:K19" si="3">$K$4*E6%</f>
        <v>0.33568892825981267</v>
      </c>
    </row>
    <row r="7" spans="2:11" ht="21" customHeight="1" x14ac:dyDescent="0.3">
      <c r="B7" s="563">
        <f>VLOOKUP(C7,[1]Hoja1!$B$2:$C$260,2,FALSE)</f>
        <v>1131002</v>
      </c>
      <c r="C7" s="74" t="s">
        <v>663</v>
      </c>
      <c r="D7" s="190">
        <v>0.20887311091721678</v>
      </c>
      <c r="E7" s="73">
        <f t="shared" si="0"/>
        <v>18.649384903322922</v>
      </c>
      <c r="F7" s="1076">
        <f>VLOOKUP(B7,[2]Hoja1!$C$2:$E$279,3,FALSE)</f>
        <v>0</v>
      </c>
      <c r="G7" s="73">
        <f t="shared" si="1"/>
        <v>0</v>
      </c>
      <c r="H7" s="73">
        <v>0</v>
      </c>
      <c r="I7" s="73">
        <v>0</v>
      </c>
      <c r="J7" s="536" t="e">
        <f t="shared" si="2"/>
        <v>#DIV/0!</v>
      </c>
      <c r="K7" s="336">
        <f t="shared" si="3"/>
        <v>0.20887311091721675</v>
      </c>
    </row>
    <row r="8" spans="2:11" ht="21" customHeight="1" x14ac:dyDescent="0.3">
      <c r="B8" s="563">
        <f>VLOOKUP(C8,[1]Hoja1!$B$2:$C$260,2,FALSE)</f>
        <v>1260009</v>
      </c>
      <c r="C8" s="74" t="s">
        <v>1027</v>
      </c>
      <c r="D8" s="190">
        <v>3.3568892825981266E-2</v>
      </c>
      <c r="E8" s="73">
        <f t="shared" si="0"/>
        <v>2.9972225737483265</v>
      </c>
      <c r="F8" s="1076">
        <f>VLOOKUP(B8,[2]Hoja1!$C$2:$E$279,3,FALSE)</f>
        <v>7033.69</v>
      </c>
      <c r="G8" s="73">
        <f t="shared" si="1"/>
        <v>236.11318578117616</v>
      </c>
      <c r="H8" s="964">
        <v>9565.2099999999991</v>
      </c>
      <c r="I8" s="73">
        <v>138.14673602461716</v>
      </c>
      <c r="J8" s="536">
        <f t="shared" si="2"/>
        <v>-26.465911360022403</v>
      </c>
      <c r="K8" s="336">
        <f t="shared" si="3"/>
        <v>3.3568892825981259E-2</v>
      </c>
    </row>
    <row r="9" spans="2:11" ht="21" customHeight="1" x14ac:dyDescent="0.3">
      <c r="B9" s="563">
        <f>VLOOKUP(C9,[1]Hoja1!$B$2:$C$260,2,FALSE)</f>
        <v>1230005</v>
      </c>
      <c r="C9" s="74" t="s">
        <v>1158</v>
      </c>
      <c r="D9" s="190">
        <v>2.2379261883987506E-2</v>
      </c>
      <c r="E9" s="73">
        <f t="shared" si="0"/>
        <v>1.9981483824988839</v>
      </c>
      <c r="F9" s="1076">
        <f>VLOOKUP(B9,[2]Hoja1!$C$2:$E$279,3,FALSE)</f>
        <v>45711.59</v>
      </c>
      <c r="G9" s="73">
        <f t="shared" si="1"/>
        <v>1022.9916437434644</v>
      </c>
      <c r="H9" s="88">
        <v>42915.05</v>
      </c>
      <c r="I9" s="73">
        <v>376.67583026395533</v>
      </c>
      <c r="J9" s="536">
        <f t="shared" si="2"/>
        <v>6.5164551829719244</v>
      </c>
      <c r="K9" s="336">
        <f t="shared" si="3"/>
        <v>2.2379261883987502E-2</v>
      </c>
    </row>
    <row r="10" spans="2:11" ht="21" customHeight="1" x14ac:dyDescent="0.3">
      <c r="B10" s="563">
        <f>VLOOKUP(C10,[1]Hoja1!$B$2:$C$260,2,FALSE)</f>
        <v>1260017</v>
      </c>
      <c r="C10" s="74" t="s">
        <v>832</v>
      </c>
      <c r="D10" s="190">
        <v>1.4173532526525427E-2</v>
      </c>
      <c r="E10" s="73">
        <f>(D10*100)/$D$20</f>
        <v>1.2654939755826271</v>
      </c>
      <c r="F10" s="1076">
        <f>VLOOKUP(B10,[2]Hoja1!$C$2:$E$279,3,FALSE)</f>
        <v>4500</v>
      </c>
      <c r="G10" s="73">
        <f>F10*D10</f>
        <v>63.78089636936442</v>
      </c>
      <c r="H10" s="88">
        <v>4500</v>
      </c>
      <c r="I10" s="73">
        <v>30.898074131305002</v>
      </c>
      <c r="J10" s="536">
        <f t="shared" si="2"/>
        <v>0</v>
      </c>
      <c r="K10" s="336">
        <f t="shared" si="3"/>
        <v>1.4173532526525427E-2</v>
      </c>
    </row>
    <row r="11" spans="2:11" ht="21" customHeight="1" x14ac:dyDescent="0.3">
      <c r="B11" s="563">
        <f>VLOOKUP(C11,[1]Hoja1!$B$2:$C$260,2,FALSE)</f>
        <v>1210005</v>
      </c>
      <c r="C11" s="74" t="s">
        <v>1155</v>
      </c>
      <c r="D11" s="190">
        <v>1.0816643243927298E-2</v>
      </c>
      <c r="E11" s="73">
        <f t="shared" si="0"/>
        <v>0.96577171820779417</v>
      </c>
      <c r="F11" s="1076">
        <f>VLOOKUP(B11,[2]Hoja1!$C$2:$E$279,3,FALSE)</f>
        <v>1356</v>
      </c>
      <c r="G11" s="73">
        <f t="shared" si="1"/>
        <v>14.667368238765416</v>
      </c>
      <c r="H11" s="964">
        <v>1360</v>
      </c>
      <c r="I11" s="73">
        <v>5.2352553300608102</v>
      </c>
      <c r="J11" s="536">
        <f t="shared" si="2"/>
        <v>-0.29411764705882604</v>
      </c>
      <c r="K11" s="336">
        <f t="shared" si="3"/>
        <v>1.0816643243927294E-2</v>
      </c>
    </row>
    <row r="12" spans="2:11" ht="21" customHeight="1" x14ac:dyDescent="0.3">
      <c r="B12" s="563">
        <f>VLOOKUP(C12,[1]Hoja1!$B$2:$C$260,2,FALSE)</f>
        <v>121007</v>
      </c>
      <c r="C12" s="74" t="s">
        <v>821</v>
      </c>
      <c r="D12" s="190">
        <v>5.2218277729304194E-3</v>
      </c>
      <c r="E12" s="73">
        <f t="shared" si="0"/>
        <v>0.46623462258307302</v>
      </c>
      <c r="F12" s="1076">
        <f>VLOOKUP(B12,[2]Hoja1!$C$2:$E$279,3,FALSE)</f>
        <v>16905</v>
      </c>
      <c r="G12" s="73">
        <f t="shared" si="1"/>
        <v>88.274998501388737</v>
      </c>
      <c r="H12" s="964">
        <v>16100</v>
      </c>
      <c r="I12" s="73">
        <v>33.628570857671896</v>
      </c>
      <c r="J12" s="536">
        <f t="shared" si="2"/>
        <v>5</v>
      </c>
      <c r="K12" s="336">
        <f t="shared" si="3"/>
        <v>5.2218277729304185E-3</v>
      </c>
    </row>
    <row r="13" spans="2:11" ht="21" customHeight="1" x14ac:dyDescent="0.3">
      <c r="B13" s="563">
        <f>VLOOKUP(C13,[1]Hoja1!$B$2:$C$260,2,FALSE)</f>
        <v>1220014</v>
      </c>
      <c r="C13" s="74" t="s">
        <v>1146</v>
      </c>
      <c r="D13" s="190">
        <v>5.0353339238971926E-3</v>
      </c>
      <c r="E13" s="73">
        <f t="shared" si="0"/>
        <v>0.44958338606224924</v>
      </c>
      <c r="F13" s="1076">
        <f>VLOOKUP(B13,[2]Hoja1!$C$2:$E$279,3,FALSE)</f>
        <v>14060</v>
      </c>
      <c r="G13" s="73">
        <f t="shared" si="1"/>
        <v>70.796794969994522</v>
      </c>
      <c r="H13" s="965">
        <v>13300.01</v>
      </c>
      <c r="I13" s="73">
        <v>24.729531967043886</v>
      </c>
      <c r="J13" s="536">
        <f t="shared" si="2"/>
        <v>5.7142062299201086</v>
      </c>
      <c r="K13" s="336">
        <f t="shared" si="3"/>
        <v>5.0353339238971917E-3</v>
      </c>
    </row>
    <row r="14" spans="2:11" ht="21" customHeight="1" x14ac:dyDescent="0.3">
      <c r="B14" s="563">
        <f>VLOOKUP(C14,[1]Hoja1!$B$2:$C$260,2,FALSE)</f>
        <v>1210004</v>
      </c>
      <c r="C14" s="74" t="s">
        <v>1131</v>
      </c>
      <c r="D14" s="190">
        <v>1.8649384903322924E-3</v>
      </c>
      <c r="E14" s="73">
        <f t="shared" si="0"/>
        <v>0.16651236520824034</v>
      </c>
      <c r="F14" s="1076">
        <f>VLOOKUP(B14,[2]Hoja1!$C$2:$E$279,3,FALSE)</f>
        <v>3841</v>
      </c>
      <c r="G14" s="73">
        <f t="shared" si="1"/>
        <v>7.1632287413663347</v>
      </c>
      <c r="H14" s="965">
        <v>3508.01</v>
      </c>
      <c r="I14" s="73">
        <v>2.4676866104076889</v>
      </c>
      <c r="J14" s="536">
        <f t="shared" si="2"/>
        <v>9.4922762477871885</v>
      </c>
      <c r="K14" s="282">
        <f t="shared" si="3"/>
        <v>1.8649384903322919E-3</v>
      </c>
    </row>
    <row r="15" spans="2:11" ht="21" customHeight="1" x14ac:dyDescent="0.3">
      <c r="B15" s="563">
        <f>VLOOKUP(C15,[1]Hoja1!$B$2:$C$260,2,FALSE)</f>
        <v>1250005</v>
      </c>
      <c r="C15" s="74" t="s">
        <v>1152</v>
      </c>
      <c r="D15" s="190">
        <v>1.6821745182797284E-3</v>
      </c>
      <c r="E15" s="73">
        <f t="shared" si="0"/>
        <v>0.15019415341783285</v>
      </c>
      <c r="F15" s="1076">
        <f>VLOOKUP(B15,[2]Hoja1!$C$2:$E$279,3,FALSE)</f>
        <v>66921.05</v>
      </c>
      <c r="G15" s="73">
        <f t="shared" si="1"/>
        <v>112.57288504652362</v>
      </c>
      <c r="H15" s="88">
        <v>62991.09</v>
      </c>
      <c r="I15" s="73">
        <v>36.81939548391825</v>
      </c>
      <c r="J15" s="536">
        <f t="shared" si="2"/>
        <v>6.2389141067411344</v>
      </c>
      <c r="K15" s="282">
        <f t="shared" si="3"/>
        <v>1.682174518279728E-3</v>
      </c>
    </row>
    <row r="16" spans="2:11" ht="21" customHeight="1" x14ac:dyDescent="0.3">
      <c r="B16" s="563">
        <f>VLOOKUP(C16,[1]Hoja1!$B$2:$C$260,2,FALSE)</f>
        <v>1270004</v>
      </c>
      <c r="C16" s="74" t="s">
        <v>1032</v>
      </c>
      <c r="D16" s="190">
        <v>1.17118137192868E-3</v>
      </c>
      <c r="E16" s="73">
        <f t="shared" si="0"/>
        <v>0.10456976535077496</v>
      </c>
      <c r="F16" s="1076">
        <f>VLOOKUP(B16,[2]Hoja1!$C$2:$E$279,3,FALSE)</f>
        <v>50662</v>
      </c>
      <c r="G16" s="73">
        <f t="shared" si="1"/>
        <v>59.334390664650783</v>
      </c>
      <c r="H16" s="88">
        <v>53849.37</v>
      </c>
      <c r="I16" s="73">
        <v>23.458790988084385</v>
      </c>
      <c r="J16" s="536">
        <f t="shared" si="2"/>
        <v>-5.9190478922966179</v>
      </c>
      <c r="K16" s="282">
        <f t="shared" si="3"/>
        <v>1.1711813719286796E-3</v>
      </c>
    </row>
    <row r="17" spans="2:11" ht="21" customHeight="1" x14ac:dyDescent="0.3">
      <c r="B17" s="563">
        <f>VLOOKUP(C17,[1]Hoja1!$B$2:$C$260,2,FALSE)</f>
        <v>1220001</v>
      </c>
      <c r="C17" s="74" t="s">
        <v>1156</v>
      </c>
      <c r="D17" s="190">
        <v>1.1189630941993759E-3</v>
      </c>
      <c r="E17" s="73">
        <f t="shared" si="0"/>
        <v>9.9907419124944247E-2</v>
      </c>
      <c r="F17" s="1076">
        <f>VLOOKUP(B17,[2]Hoja1!$C$2:$E$279,3,FALSE)</f>
        <v>85579.98</v>
      </c>
      <c r="G17" s="73">
        <f t="shared" si="1"/>
        <v>95.760839222320698</v>
      </c>
      <c r="H17" s="533">
        <v>81899.73</v>
      </c>
      <c r="I17" s="73">
        <v>34.911653014872897</v>
      </c>
      <c r="J17" s="536">
        <f t="shared" si="2"/>
        <v>4.4936045576706931</v>
      </c>
      <c r="K17" s="282">
        <f t="shared" si="3"/>
        <v>1.1189630941993757E-3</v>
      </c>
    </row>
    <row r="18" spans="2:11" ht="21" customHeight="1" x14ac:dyDescent="0.3">
      <c r="B18" s="563">
        <f>VLOOKUP(C18,[1]Hoja1!$B$2:$C$260,2,FALSE)</f>
        <v>1220005</v>
      </c>
      <c r="C18" s="74" t="s">
        <v>1135</v>
      </c>
      <c r="D18" s="190">
        <v>5.3337240823503578E-4</v>
      </c>
      <c r="E18" s="73">
        <f t="shared" si="0"/>
        <v>4.7622536449556753E-2</v>
      </c>
      <c r="F18" s="1076">
        <f>VLOOKUP(B18,[2]Hoja1!$C$2:$E$279,3,FALSE)</f>
        <v>17429.990000000002</v>
      </c>
      <c r="G18" s="73">
        <f t="shared" si="1"/>
        <v>9.2966757418125923</v>
      </c>
      <c r="H18" s="964">
        <v>17430</v>
      </c>
      <c r="I18" s="73">
        <v>4.0940407297237895</v>
      </c>
      <c r="J18" s="536">
        <f t="shared" si="2"/>
        <v>-5.7372346518036466E-5</v>
      </c>
      <c r="K18" s="282">
        <f t="shared" si="3"/>
        <v>5.3337240823503568E-4</v>
      </c>
    </row>
    <row r="19" spans="2:11" ht="21" customHeight="1" x14ac:dyDescent="0.3">
      <c r="B19" s="563">
        <f>VLOOKUP(C19,[1]Hoja1!$B$2:$C$260,2,FALSE)</f>
        <v>1220008</v>
      </c>
      <c r="C19" s="74" t="s">
        <v>1157</v>
      </c>
      <c r="D19" s="190">
        <v>4.4758523767975025E-4</v>
      </c>
      <c r="E19" s="73">
        <f t="shared" si="0"/>
        <v>3.9962967649977692E-2</v>
      </c>
      <c r="F19" s="1076">
        <f>VLOOKUP(B19,[2]Hoja1!$C$2:$E$279,3,FALSE)</f>
        <v>50476.2</v>
      </c>
      <c r="G19" s="73">
        <f t="shared" si="1"/>
        <v>22.59240197417061</v>
      </c>
      <c r="H19" s="88">
        <v>48608.39</v>
      </c>
      <c r="I19" s="73">
        <v>9.3781621777153177</v>
      </c>
      <c r="J19" s="536">
        <f t="shared" si="2"/>
        <v>3.8425670959272509</v>
      </c>
      <c r="K19" s="282">
        <f t="shared" si="3"/>
        <v>4.4758523767975019E-4</v>
      </c>
    </row>
    <row r="20" spans="2:11" s="345" customFormat="1" ht="21" customHeight="1" x14ac:dyDescent="0.25">
      <c r="B20" s="1780" t="s">
        <v>37</v>
      </c>
      <c r="C20" s="1780"/>
      <c r="D20" s="1329">
        <f>SUM(D5:D19)</f>
        <v>1.1200000000000003</v>
      </c>
      <c r="E20" s="1330">
        <f>SUM(E5:E19)</f>
        <v>100</v>
      </c>
      <c r="F20" s="1330"/>
      <c r="G20" s="1354">
        <f>SUM(G5:G19)</f>
        <v>10231.115884261919</v>
      </c>
      <c r="H20" s="1330"/>
      <c r="I20" s="1354">
        <f>SUM(I5:I19)</f>
        <v>4618.0748795119189</v>
      </c>
      <c r="J20" s="1331">
        <f>((G20/I20)*100)-100</f>
        <v>121.54504097913713</v>
      </c>
      <c r="K20" s="1341"/>
    </row>
    <row r="22" spans="2:11" ht="21" customHeight="1" x14ac:dyDescent="0.3">
      <c r="B22" s="1784" t="s">
        <v>50</v>
      </c>
      <c r="C22" s="1785"/>
      <c r="D22" s="693">
        <f>+C25+(C25*C31%)</f>
        <v>1120</v>
      </c>
      <c r="E22" s="966"/>
      <c r="F22" s="966"/>
      <c r="G22" s="966"/>
      <c r="H22" s="966"/>
      <c r="I22" s="966" t="s">
        <v>85</v>
      </c>
      <c r="J22" s="966"/>
    </row>
    <row r="23" spans="2:11" ht="21" customHeight="1" x14ac:dyDescent="0.25">
      <c r="B23" s="1344" t="s">
        <v>38</v>
      </c>
      <c r="C23" s="967" t="s">
        <v>123</v>
      </c>
      <c r="H23" s="345"/>
    </row>
    <row r="24" spans="2:11" ht="21" customHeight="1" x14ac:dyDescent="0.25">
      <c r="B24" s="1345" t="s">
        <v>39</v>
      </c>
      <c r="C24" s="968" t="s">
        <v>419</v>
      </c>
      <c r="H24" s="345"/>
    </row>
    <row r="25" spans="2:11" ht="21" customHeight="1" x14ac:dyDescent="0.25">
      <c r="B25" s="1345" t="s">
        <v>40</v>
      </c>
      <c r="C25" s="968">
        <v>1000</v>
      </c>
      <c r="H25" s="345"/>
    </row>
    <row r="26" spans="2:11" ht="21" customHeight="1" x14ac:dyDescent="0.25">
      <c r="B26" s="1345" t="s">
        <v>41</v>
      </c>
      <c r="C26" s="968">
        <v>0</v>
      </c>
      <c r="H26" s="345"/>
    </row>
    <row r="27" spans="2:11" ht="21" customHeight="1" x14ac:dyDescent="0.25">
      <c r="B27" s="1345" t="s">
        <v>42</v>
      </c>
      <c r="C27" s="968">
        <v>6</v>
      </c>
      <c r="H27" s="345"/>
    </row>
    <row r="28" spans="2:11" ht="21" customHeight="1" x14ac:dyDescent="0.25">
      <c r="B28" s="1345" t="s">
        <v>43</v>
      </c>
      <c r="C28" s="968">
        <v>2</v>
      </c>
      <c r="H28" s="345"/>
    </row>
    <row r="29" spans="2:11" ht="21" customHeight="1" x14ac:dyDescent="0.25">
      <c r="B29" s="1345" t="s">
        <v>44</v>
      </c>
      <c r="C29" s="968">
        <v>2</v>
      </c>
      <c r="H29" s="345"/>
    </row>
    <row r="30" spans="2:11" ht="21" customHeight="1" x14ac:dyDescent="0.25">
      <c r="B30" s="1345" t="s">
        <v>45</v>
      </c>
      <c r="C30" s="968">
        <v>2</v>
      </c>
      <c r="H30" s="345"/>
    </row>
    <row r="31" spans="2:11" ht="21" customHeight="1" x14ac:dyDescent="0.25">
      <c r="B31" s="1345" t="s">
        <v>46</v>
      </c>
      <c r="C31" s="968">
        <f>C30+C29+C28+C27</f>
        <v>12</v>
      </c>
      <c r="H31" s="345"/>
    </row>
    <row r="32" spans="2:11" ht="21" customHeight="1" x14ac:dyDescent="0.25">
      <c r="H32" s="966"/>
      <c r="I32" s="966"/>
    </row>
    <row r="33" spans="2:11" ht="21" customHeight="1" x14ac:dyDescent="0.25">
      <c r="B33" s="1786" t="s">
        <v>47</v>
      </c>
      <c r="C33" s="1787"/>
      <c r="D33" s="1787"/>
      <c r="E33" s="1787"/>
      <c r="F33" s="1787"/>
      <c r="G33" s="1787"/>
      <c r="H33" s="1787"/>
      <c r="I33" s="1787"/>
    </row>
    <row r="34" spans="2:11" ht="30.75" customHeight="1" x14ac:dyDescent="0.25">
      <c r="B34" s="1346" t="s">
        <v>0</v>
      </c>
      <c r="C34" s="1346" t="s">
        <v>1</v>
      </c>
      <c r="D34" s="1347" t="s">
        <v>2</v>
      </c>
      <c r="E34" s="1335" t="str">
        <f>+'CIF Y PV'!$F$4</f>
        <v xml:space="preserve">JUN-COP/UMB </v>
      </c>
      <c r="F34" s="1335" t="str">
        <f>+'CIF Y PV'!$G$4</f>
        <v>JUN-COP/APP</v>
      </c>
      <c r="G34" s="1335" t="str">
        <f>+'CIF Y PV'!$H$4</f>
        <v xml:space="preserve">MAY-COP/UMB </v>
      </c>
      <c r="H34" s="1335" t="str">
        <f>+'CIF Y PV'!$I$4</f>
        <v>MAY-COP/APP</v>
      </c>
      <c r="I34" s="1364" t="s">
        <v>3</v>
      </c>
      <c r="J34" s="345">
        <v>540</v>
      </c>
    </row>
    <row r="35" spans="2:11" ht="21" customHeight="1" x14ac:dyDescent="0.25">
      <c r="B35" s="576">
        <f>VLOOKUP(C35,[1]Hoja1!$B$2:$C$260,2,FALSE)</f>
        <v>1370008</v>
      </c>
      <c r="C35" s="576" t="s">
        <v>1159</v>
      </c>
      <c r="D35" s="494">
        <v>2.5499999999999998</v>
      </c>
      <c r="E35" s="507">
        <f>VLOOKUP(B35,[2]Hoja1!$C$2:$E$279,3,FALSE)</f>
        <v>362.7</v>
      </c>
      <c r="F35" s="507">
        <f>E35*D35</f>
        <v>924.88499999999988</v>
      </c>
      <c r="G35" s="507">
        <v>473.58</v>
      </c>
      <c r="H35" s="507">
        <v>620.32999999999993</v>
      </c>
      <c r="I35" s="566">
        <f>((F35/H35)*100)-100</f>
        <v>49.095642641819666</v>
      </c>
      <c r="J35" s="345">
        <f>J34*D35</f>
        <v>1377</v>
      </c>
    </row>
    <row r="36" spans="2:11" ht="21" customHeight="1" x14ac:dyDescent="0.3">
      <c r="B36" s="576">
        <f>VLOOKUP(C36,[1]Hoja1!$B$2:$C$260,2,FALSE)</f>
        <v>1310057</v>
      </c>
      <c r="C36" s="576" t="s">
        <v>1103</v>
      </c>
      <c r="D36" s="494">
        <v>0.15</v>
      </c>
      <c r="E36" s="507">
        <f>VLOOKUP(B36,[2]Hoja1!$C$2:$E$279,3,FALSE)</f>
        <v>889</v>
      </c>
      <c r="F36" s="507">
        <f>E36*D36</f>
        <v>133.35</v>
      </c>
      <c r="G36" s="970">
        <v>889</v>
      </c>
      <c r="H36" s="507">
        <v>269.92500000000001</v>
      </c>
      <c r="I36" s="566">
        <f>((F36/H36)*100)-100</f>
        <v>-50.597388163378717</v>
      </c>
      <c r="J36" s="345">
        <f>J34*D36</f>
        <v>81</v>
      </c>
    </row>
    <row r="37" spans="2:11" ht="21" customHeight="1" x14ac:dyDescent="0.3">
      <c r="B37" s="576">
        <f>VLOOKUP(C37,[1]Hoja1!$B$2:$C$260,2,FALSE)</f>
        <v>1320004</v>
      </c>
      <c r="C37" s="576" t="s">
        <v>1141</v>
      </c>
      <c r="D37" s="494">
        <v>0.15</v>
      </c>
      <c r="E37" s="507">
        <f>VLOOKUP(B37,[2]Hoja1!$C$2:$E$279,3,FALSE)</f>
        <v>1481.51</v>
      </c>
      <c r="F37" s="507">
        <f>E37*D37</f>
        <v>222.22649999999999</v>
      </c>
      <c r="G37" s="582">
        <v>1577.09</v>
      </c>
      <c r="H37" s="507">
        <v>63.220500000000001</v>
      </c>
      <c r="I37" s="566">
        <f>((F37/H37)*100)-100</f>
        <v>251.51019052364342</v>
      </c>
      <c r="J37" s="345">
        <f>J34*D37</f>
        <v>81</v>
      </c>
    </row>
    <row r="38" spans="2:11" ht="21" customHeight="1" x14ac:dyDescent="0.25">
      <c r="B38" s="1346"/>
      <c r="C38" s="1346" t="s">
        <v>37</v>
      </c>
      <c r="D38" s="1347"/>
      <c r="E38" s="1349"/>
      <c r="F38" s="1349">
        <f>SUM(F35:F37)</f>
        <v>1280.4614999999999</v>
      </c>
      <c r="G38" s="1349"/>
      <c r="H38" s="1349">
        <f>SUM(H35:H37)</f>
        <v>953.4754999999999</v>
      </c>
      <c r="I38" s="1350">
        <f>((F38/H38)*100)-100</f>
        <v>34.294116629111073</v>
      </c>
    </row>
    <row r="39" spans="2:11" ht="21" customHeight="1" x14ac:dyDescent="0.3">
      <c r="H39" s="527"/>
      <c r="I39" s="971"/>
      <c r="J39" s="345"/>
    </row>
    <row r="40" spans="2:11" ht="21" customHeight="1" x14ac:dyDescent="0.25">
      <c r="B40" s="1779" t="s">
        <v>816</v>
      </c>
      <c r="C40" s="1779"/>
      <c r="E40" s="972"/>
      <c r="F40" s="972"/>
      <c r="G40" s="972"/>
      <c r="H40" s="88">
        <f>F38+G20</f>
        <v>11511.577384261918</v>
      </c>
      <c r="I40" s="973"/>
      <c r="J40" s="972"/>
      <c r="K40" s="973"/>
    </row>
    <row r="41" spans="2:11" ht="21" customHeight="1" x14ac:dyDescent="0.25">
      <c r="B41" s="1777" t="s">
        <v>48</v>
      </c>
      <c r="C41" s="1778"/>
      <c r="E41" s="972"/>
      <c r="F41" s="972"/>
      <c r="G41" s="972"/>
      <c r="H41" s="88">
        <f>+('CIF Y PV'!C3/1000)*1000</f>
        <v>1890</v>
      </c>
      <c r="I41" s="696"/>
      <c r="J41" s="972"/>
      <c r="K41" s="696"/>
    </row>
    <row r="42" spans="2:11" ht="21" customHeight="1" x14ac:dyDescent="0.25">
      <c r="B42" s="1777" t="s">
        <v>92</v>
      </c>
      <c r="C42" s="1778"/>
      <c r="E42" s="972"/>
      <c r="F42" s="972"/>
      <c r="G42" s="972"/>
      <c r="H42" s="88">
        <f>+H40+H41</f>
        <v>13401.577384261918</v>
      </c>
      <c r="I42" s="974"/>
      <c r="J42" s="972"/>
      <c r="K42" s="974"/>
    </row>
    <row r="43" spans="2:11" ht="21" customHeight="1" x14ac:dyDescent="0.25">
      <c r="B43" s="1779" t="s">
        <v>49</v>
      </c>
      <c r="C43" s="1779"/>
      <c r="E43" s="972"/>
      <c r="F43" s="972"/>
      <c r="G43" s="972"/>
      <c r="H43" s="88">
        <f>'CIF Y PV'!C13</f>
        <v>24307</v>
      </c>
      <c r="J43" s="972"/>
      <c r="K43" s="975"/>
    </row>
    <row r="44" spans="2:11" ht="21" customHeight="1" x14ac:dyDescent="0.2">
      <c r="B44" s="1779" t="s">
        <v>805</v>
      </c>
      <c r="C44" s="1779"/>
      <c r="E44" s="972"/>
      <c r="F44" s="972"/>
      <c r="G44" s="972"/>
      <c r="H44" s="1365">
        <f>+(H43-H42)/H43</f>
        <v>0.44865358192035554</v>
      </c>
      <c r="I44" s="977"/>
      <c r="J44" s="345"/>
      <c r="K44" s="977"/>
    </row>
    <row r="46" spans="2:11" ht="21" customHeight="1" x14ac:dyDescent="0.25">
      <c r="H46" s="345"/>
    </row>
  </sheetData>
  <mergeCells count="9">
    <mergeCell ref="B42:C42"/>
    <mergeCell ref="B43:C43"/>
    <mergeCell ref="B44:C44"/>
    <mergeCell ref="B2:I2"/>
    <mergeCell ref="B20:C20"/>
    <mergeCell ref="B22:C22"/>
    <mergeCell ref="B33:I33"/>
    <mergeCell ref="B40:C40"/>
    <mergeCell ref="B41:C41"/>
  </mergeCells>
  <pageMargins left="0.7" right="0.7" top="0.75" bottom="0.75" header="0.3" footer="0.3"/>
  <pageSetup scale="41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749A-2CFB-4653-B278-888C40AB2880}">
  <sheetPr codeName="Hoja29"/>
  <dimension ref="B2:M48"/>
  <sheetViews>
    <sheetView topLeftCell="A4" zoomScale="90" zoomScaleNormal="90" workbookViewId="0">
      <selection activeCell="F20" sqref="F20"/>
    </sheetView>
  </sheetViews>
  <sheetFormatPr baseColWidth="10" defaultColWidth="11.5703125" defaultRowHeight="13.5" x14ac:dyDescent="0.25"/>
  <cols>
    <col min="1" max="1" width="10.7109375" style="120" customWidth="1"/>
    <col min="2" max="2" width="11.5703125" style="120"/>
    <col min="3" max="3" width="52.5703125" style="120" customWidth="1"/>
    <col min="4" max="4" width="11.5703125" style="119" customWidth="1"/>
    <col min="5" max="5" width="11.5703125" style="120" customWidth="1"/>
    <col min="6" max="6" width="12.85546875" style="120" customWidth="1"/>
    <col min="7" max="7" width="11.5703125" style="120" customWidth="1"/>
    <col min="8" max="8" width="14.5703125" style="120" customWidth="1"/>
    <col min="9" max="9" width="12.7109375" style="120" customWidth="1"/>
    <col min="10" max="10" width="14.28515625" style="120" customWidth="1"/>
    <col min="11" max="11" width="11.5703125" style="120" customWidth="1"/>
    <col min="12" max="12" width="11.5703125" style="120"/>
    <col min="13" max="13" width="14.42578125" style="120" bestFit="1" customWidth="1"/>
    <col min="14" max="16384" width="11.5703125" style="120"/>
  </cols>
  <sheetData>
    <row r="2" spans="2:13" ht="25.5" x14ac:dyDescent="0.25">
      <c r="B2" s="1743" t="s">
        <v>756</v>
      </c>
      <c r="C2" s="1743"/>
      <c r="D2" s="1743"/>
      <c r="E2" s="1743"/>
      <c r="F2" s="1743"/>
      <c r="G2" s="1743"/>
      <c r="H2" s="1743"/>
      <c r="I2" s="1743"/>
      <c r="J2" s="43"/>
    </row>
    <row r="4" spans="2:13" ht="25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367">
        <f>+D23/1000</f>
        <v>0.33600000000000002</v>
      </c>
      <c r="L4" s="1310">
        <v>252</v>
      </c>
      <c r="M4" s="1352" t="s">
        <v>1128</v>
      </c>
    </row>
    <row r="5" spans="2:13" ht="16.5" x14ac:dyDescent="0.3">
      <c r="B5" s="563">
        <f>VLOOKUP(C5,[1]Hoja1!$B$2:$C$260,2,FALSE)</f>
        <v>1122008</v>
      </c>
      <c r="C5" s="74" t="s">
        <v>1028</v>
      </c>
      <c r="D5" s="494">
        <v>0.11999904000000002</v>
      </c>
      <c r="E5" s="507">
        <v>35.713999999999999</v>
      </c>
      <c r="F5" s="1516">
        <f>VLOOKUP(B5,[2]Hoja1!$C$2:$E$279,3,FALSE)</f>
        <v>12059.2</v>
      </c>
      <c r="G5" s="73">
        <f>F5*D5</f>
        <v>1447.0924231680003</v>
      </c>
      <c r="H5" s="1644">
        <v>12498.88</v>
      </c>
      <c r="I5" s="498">
        <f>H5*D5</f>
        <v>1499.8536010752</v>
      </c>
      <c r="J5" s="905">
        <f>((F5/H5)*100)-100</f>
        <v>-3.5177551908650884</v>
      </c>
      <c r="K5" s="345">
        <f>$K$4*E5%</f>
        <v>0.11999904000000002</v>
      </c>
      <c r="L5" s="336">
        <f>+$L$4*E5%</f>
        <v>89.999279999999999</v>
      </c>
      <c r="M5" s="1403">
        <f>L5*F5</f>
        <v>1085319.3173760001</v>
      </c>
    </row>
    <row r="6" spans="2:13" ht="16.5" x14ac:dyDescent="0.3">
      <c r="B6" s="563">
        <f>VLOOKUP(C6,[1]Hoja1!$B$2:$C$260,2,FALSE)</f>
        <v>1112001</v>
      </c>
      <c r="C6" s="74" t="s">
        <v>797</v>
      </c>
      <c r="D6" s="190">
        <v>5.0665440000000006E-2</v>
      </c>
      <c r="E6" s="70">
        <v>15.079000000000001</v>
      </c>
      <c r="F6" s="1516">
        <f>VLOOKUP(B6,[2]Hoja1!$C$2:$E$279,3,FALSE)</f>
        <v>3663.96</v>
      </c>
      <c r="G6" s="73">
        <f t="shared" ref="G6:G20" si="0">F6*D6</f>
        <v>185.63614554240002</v>
      </c>
      <c r="H6" s="982">
        <v>4222.72</v>
      </c>
      <c r="I6" s="498">
        <f t="shared" ref="I6:I20" si="1">H6*D6</f>
        <v>213.94596679680004</v>
      </c>
      <c r="J6" s="536">
        <f t="shared" ref="J6:J20" si="2">((F6/H6)*100)-100</f>
        <v>-13.232229463473786</v>
      </c>
      <c r="K6" s="345">
        <f t="shared" ref="K6:K20" si="3">$K$4*E6%</f>
        <v>5.0665440000000006E-2</v>
      </c>
      <c r="L6" s="336">
        <f t="shared" ref="L6:L20" si="4">+$L$4*E6%</f>
        <v>37.999079999999999</v>
      </c>
      <c r="M6" s="1403">
        <f t="shared" ref="M6:M20" si="5">L6*F6</f>
        <v>139227.1091568</v>
      </c>
    </row>
    <row r="7" spans="2:13" ht="16.5" x14ac:dyDescent="0.3">
      <c r="B7" s="563">
        <f>VLOOKUP(C7,[1]Hoja1!$B$2:$C$260,2,FALSE)</f>
        <v>1131002</v>
      </c>
      <c r="C7" s="74" t="s">
        <v>663</v>
      </c>
      <c r="D7" s="190">
        <v>9.3206399999999995E-2</v>
      </c>
      <c r="E7" s="70">
        <v>27.74</v>
      </c>
      <c r="F7" s="1516">
        <f>VLOOKUP(B7,[2]Hoja1!$C$2:$E$279,3,FALSE)</f>
        <v>0</v>
      </c>
      <c r="G7" s="73">
        <f t="shared" si="0"/>
        <v>0</v>
      </c>
      <c r="H7" s="982">
        <v>0</v>
      </c>
      <c r="I7" s="498">
        <f t="shared" si="1"/>
        <v>0</v>
      </c>
      <c r="J7" s="536" t="e">
        <f t="shared" si="2"/>
        <v>#DIV/0!</v>
      </c>
      <c r="K7" s="345">
        <f t="shared" si="3"/>
        <v>9.3206399999999995E-2</v>
      </c>
      <c r="L7" s="336">
        <f t="shared" si="4"/>
        <v>69.904799999999994</v>
      </c>
      <c r="M7" s="1403">
        <f t="shared" si="5"/>
        <v>0</v>
      </c>
    </row>
    <row r="8" spans="2:13" ht="16.5" x14ac:dyDescent="0.3">
      <c r="B8" s="563">
        <f>VLOOKUP(C8,[1]Hoja1!$B$2:$C$260,2,FALSE)</f>
        <v>1230006</v>
      </c>
      <c r="C8" s="74" t="s">
        <v>1153</v>
      </c>
      <c r="D8" s="190">
        <v>6.4008000000000008E-3</v>
      </c>
      <c r="E8" s="70">
        <v>1.905</v>
      </c>
      <c r="F8" s="1516">
        <f>VLOOKUP(B8,[2]Hoja1!$C$2:$E$279,3,FALSE)</f>
        <v>44693.38</v>
      </c>
      <c r="G8" s="73">
        <f t="shared" si="0"/>
        <v>286.07338670400003</v>
      </c>
      <c r="H8" s="1235">
        <v>42594.15</v>
      </c>
      <c r="I8" s="498">
        <f t="shared" si="1"/>
        <v>272.63663532000004</v>
      </c>
      <c r="J8" s="536">
        <f t="shared" si="2"/>
        <v>4.9284467467950179</v>
      </c>
      <c r="K8" s="345">
        <f t="shared" si="3"/>
        <v>6.4008000000000008E-3</v>
      </c>
      <c r="L8" s="336">
        <f t="shared" si="4"/>
        <v>4.8006000000000002</v>
      </c>
      <c r="M8" s="1403">
        <f t="shared" si="5"/>
        <v>214555.04002799999</v>
      </c>
    </row>
    <row r="9" spans="2:13" ht="16.5" x14ac:dyDescent="0.3">
      <c r="B9" s="563">
        <f>VLOOKUP(C9,[1]Hoja1!$B$2:$C$260,2,FALSE)</f>
        <v>1210006</v>
      </c>
      <c r="C9" s="74" t="s">
        <v>1130</v>
      </c>
      <c r="D9" s="190">
        <v>4.2000000000000006E-3</v>
      </c>
      <c r="E9" s="70">
        <v>1.25</v>
      </c>
      <c r="F9" s="1516">
        <f>VLOOKUP(B9,[2]Hoja1!$C$2:$E$279,3,FALSE)</f>
        <v>8904.4500000000007</v>
      </c>
      <c r="G9" s="73">
        <f t="shared" si="0"/>
        <v>37.398690000000009</v>
      </c>
      <c r="H9" s="965">
        <v>8910.1</v>
      </c>
      <c r="I9" s="498">
        <f t="shared" si="1"/>
        <v>37.42242000000001</v>
      </c>
      <c r="J9" s="536">
        <f t="shared" si="2"/>
        <v>-6.3411185059649711E-2</v>
      </c>
      <c r="K9" s="1098">
        <f t="shared" si="3"/>
        <v>4.2000000000000006E-3</v>
      </c>
      <c r="L9" s="336">
        <f t="shared" si="4"/>
        <v>3.1500000000000004</v>
      </c>
      <c r="M9" s="1403">
        <f t="shared" si="5"/>
        <v>28049.017500000005</v>
      </c>
    </row>
    <row r="10" spans="2:13" ht="16.5" x14ac:dyDescent="0.3">
      <c r="B10" s="563">
        <f>VLOOKUP(C10,[1]Hoja1!$B$2:$C$260,2,FALSE)</f>
        <v>1210004</v>
      </c>
      <c r="C10" s="74" t="s">
        <v>1131</v>
      </c>
      <c r="D10" s="190">
        <v>4.3679999999999999E-4</v>
      </c>
      <c r="E10" s="70">
        <v>0.13</v>
      </c>
      <c r="F10" s="1516">
        <f>VLOOKUP(B10,[2]Hoja1!$C$2:$E$279,3,FALSE)</f>
        <v>3841</v>
      </c>
      <c r="G10" s="73">
        <f t="shared" si="0"/>
        <v>1.6777488</v>
      </c>
      <c r="H10" s="965">
        <v>3508.01</v>
      </c>
      <c r="I10" s="498">
        <f t="shared" si="1"/>
        <v>1.532298768</v>
      </c>
      <c r="J10" s="536">
        <f t="shared" si="2"/>
        <v>9.4922762477871885</v>
      </c>
      <c r="K10" s="1098">
        <f t="shared" si="3"/>
        <v>4.3679999999999999E-4</v>
      </c>
      <c r="L10" s="336">
        <f t="shared" si="4"/>
        <v>0.3276</v>
      </c>
      <c r="M10" s="1403">
        <f t="shared" si="5"/>
        <v>1258.3116</v>
      </c>
    </row>
    <row r="11" spans="2:13" ht="16.5" x14ac:dyDescent="0.3">
      <c r="B11" s="563">
        <f>VLOOKUP(C11,[1]Hoja1!$B$2:$C$260,2,FALSE)</f>
        <v>121007</v>
      </c>
      <c r="C11" s="74" t="s">
        <v>821</v>
      </c>
      <c r="D11" s="190">
        <v>1.3339200000000002E-3</v>
      </c>
      <c r="E11" s="70">
        <v>0.39700000000000002</v>
      </c>
      <c r="F11" s="1516">
        <f>VLOOKUP(B11,[2]Hoja1!$C$2:$E$279,3,FALSE)</f>
        <v>16905</v>
      </c>
      <c r="G11" s="73">
        <f t="shared" si="0"/>
        <v>22.549917600000004</v>
      </c>
      <c r="H11" s="964">
        <v>16100</v>
      </c>
      <c r="I11" s="498">
        <f t="shared" si="1"/>
        <v>21.476112000000004</v>
      </c>
      <c r="J11" s="536">
        <f t="shared" si="2"/>
        <v>5</v>
      </c>
      <c r="K11" s="1098">
        <f t="shared" si="3"/>
        <v>1.3339200000000002E-3</v>
      </c>
      <c r="L11" s="336">
        <f t="shared" si="4"/>
        <v>1.0004400000000002</v>
      </c>
      <c r="M11" s="1403">
        <f t="shared" si="5"/>
        <v>16912.438200000004</v>
      </c>
    </row>
    <row r="12" spans="2:13" ht="16.5" x14ac:dyDescent="0.3">
      <c r="B12" s="563">
        <f>VLOOKUP(C12,[1]Hoja1!$B$2:$C$260,2,FALSE)</f>
        <v>1230012</v>
      </c>
      <c r="C12" s="74" t="s">
        <v>798</v>
      </c>
      <c r="D12" s="190">
        <v>1.6665600000000001E-3</v>
      </c>
      <c r="E12" s="70">
        <v>0.496</v>
      </c>
      <c r="F12" s="1516">
        <f>VLOOKUP(B12,[2]Hoja1!$C$2:$E$279,3,FALSE)</f>
        <v>31314.19</v>
      </c>
      <c r="G12" s="73">
        <f t="shared" si="0"/>
        <v>52.186976486399999</v>
      </c>
      <c r="H12" s="70">
        <v>29941</v>
      </c>
      <c r="I12" s="498">
        <f t="shared" si="1"/>
        <v>49.898472959999999</v>
      </c>
      <c r="J12" s="536">
        <f t="shared" si="2"/>
        <v>4.5863197621989826</v>
      </c>
      <c r="K12" s="1098">
        <f t="shared" si="3"/>
        <v>1.6665600000000001E-3</v>
      </c>
      <c r="L12" s="336">
        <f t="shared" si="4"/>
        <v>1.2499199999999999</v>
      </c>
      <c r="M12" s="1403">
        <f t="shared" si="5"/>
        <v>39140.232364799995</v>
      </c>
    </row>
    <row r="13" spans="2:13" ht="16.5" x14ac:dyDescent="0.3">
      <c r="B13" s="563">
        <f>VLOOKUP(C13,[1]Hoja1!$B$2:$C$260,2,FALSE)</f>
        <v>1250003</v>
      </c>
      <c r="C13" s="74" t="s">
        <v>914</v>
      </c>
      <c r="D13" s="190">
        <v>1.0752000000000001E-4</v>
      </c>
      <c r="E13" s="70">
        <v>3.2000000000000001E-2</v>
      </c>
      <c r="F13" s="1516">
        <f>VLOOKUP(B13,[2]Hoja1!$C$2:$E$279,3,FALSE)</f>
        <v>50952.79</v>
      </c>
      <c r="G13" s="73">
        <f t="shared" si="0"/>
        <v>5.4784439808000007</v>
      </c>
      <c r="H13" s="73">
        <v>47385.41</v>
      </c>
      <c r="I13" s="498">
        <f t="shared" si="1"/>
        <v>5.0948792832000009</v>
      </c>
      <c r="J13" s="536">
        <f t="shared" si="2"/>
        <v>7.5284354403602123</v>
      </c>
      <c r="K13" s="1098">
        <f t="shared" si="3"/>
        <v>1.0752000000000001E-4</v>
      </c>
      <c r="L13" s="336">
        <f t="shared" si="4"/>
        <v>8.0640000000000003E-2</v>
      </c>
      <c r="M13" s="1403">
        <f t="shared" si="5"/>
        <v>4108.8329856</v>
      </c>
    </row>
    <row r="14" spans="2:13" ht="16.5" x14ac:dyDescent="0.3">
      <c r="B14" s="563">
        <f>VLOOKUP(C14,[1]Hoja1!$B$2:$C$260,2,FALSE)</f>
        <v>1250001</v>
      </c>
      <c r="C14" s="74" t="s">
        <v>1160</v>
      </c>
      <c r="D14" s="190">
        <v>4.032E-5</v>
      </c>
      <c r="E14" s="70">
        <v>1.2E-2</v>
      </c>
      <c r="F14" s="1516">
        <f>VLOOKUP(B14,[2]Hoja1!$C$2:$E$279,3,FALSE)</f>
        <v>5093.8999999999996</v>
      </c>
      <c r="G14" s="73">
        <f t="shared" si="0"/>
        <v>0.20538604799999999</v>
      </c>
      <c r="H14" s="70">
        <v>4885.95</v>
      </c>
      <c r="I14" s="498">
        <f t="shared" si="1"/>
        <v>0.19700150399999999</v>
      </c>
      <c r="J14" s="536">
        <f t="shared" si="2"/>
        <v>4.256081212456138</v>
      </c>
      <c r="K14" s="1098">
        <f t="shared" si="3"/>
        <v>4.032E-5</v>
      </c>
      <c r="L14" s="336">
        <f t="shared" si="4"/>
        <v>3.024E-2</v>
      </c>
      <c r="M14" s="1403">
        <f t="shared" si="5"/>
        <v>154.039536</v>
      </c>
    </row>
    <row r="15" spans="2:13" ht="16.5" x14ac:dyDescent="0.3">
      <c r="B15" s="563">
        <f>VLOOKUP(C15,[1]Hoja1!$B$2:$C$260,2,FALSE)</f>
        <v>1260005</v>
      </c>
      <c r="C15" s="74" t="s">
        <v>811</v>
      </c>
      <c r="D15" s="190">
        <v>5.0668800000000002E-3</v>
      </c>
      <c r="E15" s="70">
        <v>1.508</v>
      </c>
      <c r="F15" s="1516">
        <f>VLOOKUP(B15,[2]Hoja1!$C$2:$E$279,3,FALSE)</f>
        <v>26429</v>
      </c>
      <c r="G15" s="73">
        <f t="shared" si="0"/>
        <v>133.91257152</v>
      </c>
      <c r="H15" s="965">
        <v>25850</v>
      </c>
      <c r="I15" s="498">
        <f t="shared" si="1"/>
        <v>130.978848</v>
      </c>
      <c r="J15" s="536">
        <f t="shared" si="2"/>
        <v>2.2398452611218715</v>
      </c>
      <c r="K15" s="1098">
        <f t="shared" si="3"/>
        <v>5.0668800000000002E-3</v>
      </c>
      <c r="L15" s="336">
        <f t="shared" si="4"/>
        <v>3.80016</v>
      </c>
      <c r="M15" s="1403">
        <f t="shared" si="5"/>
        <v>100434.42864</v>
      </c>
    </row>
    <row r="16" spans="2:13" ht="16.5" x14ac:dyDescent="0.3">
      <c r="B16" s="563">
        <f>VLOOKUP(C16,[1]Hoja1!$B$2:$C$260,2,FALSE)</f>
        <v>1260010</v>
      </c>
      <c r="C16" s="74" t="s">
        <v>1043</v>
      </c>
      <c r="D16" s="190">
        <v>1.2700800000000002E-2</v>
      </c>
      <c r="E16" s="70">
        <v>3.78</v>
      </c>
      <c r="F16" s="1516">
        <f>VLOOKUP(B16,[2]Hoja1!$C$2:$E$279,3,FALSE)</f>
        <v>6959.71</v>
      </c>
      <c r="G16" s="73">
        <f t="shared" si="0"/>
        <v>88.393884768000007</v>
      </c>
      <c r="H16" s="964">
        <v>8234.27</v>
      </c>
      <c r="I16" s="498">
        <f t="shared" si="1"/>
        <v>104.58181641600002</v>
      </c>
      <c r="J16" s="536">
        <f t="shared" si="2"/>
        <v>-15.478724890002397</v>
      </c>
      <c r="K16" s="1098">
        <f t="shared" si="3"/>
        <v>1.2700800000000002E-2</v>
      </c>
      <c r="L16" s="336">
        <f t="shared" si="4"/>
        <v>9.5256000000000007</v>
      </c>
      <c r="M16" s="1403">
        <f t="shared" si="5"/>
        <v>66295.413576000006</v>
      </c>
    </row>
    <row r="17" spans="2:13" ht="16.5" x14ac:dyDescent="0.3">
      <c r="B17" s="563">
        <f>VLOOKUP(C17,[1]Hoja1!$B$2:$C$260,2,FALSE)</f>
        <v>1121009</v>
      </c>
      <c r="C17" s="74" t="s">
        <v>1272</v>
      </c>
      <c r="D17" s="190">
        <v>2.1336000000000001E-2</v>
      </c>
      <c r="E17" s="70">
        <v>6.35</v>
      </c>
      <c r="F17" s="1516">
        <f>VLOOKUP(B17,[2]Hoja1!$C$2:$E$279,3,FALSE)</f>
        <v>8741.6200000000008</v>
      </c>
      <c r="G17" s="73">
        <f t="shared" si="0"/>
        <v>186.51120432000002</v>
      </c>
      <c r="H17" s="949">
        <v>8324.2000000000007</v>
      </c>
      <c r="I17" s="498">
        <f t="shared" si="1"/>
        <v>177.60513120000002</v>
      </c>
      <c r="J17" s="536">
        <f t="shared" si="2"/>
        <v>5.0145359313807916</v>
      </c>
      <c r="K17" s="1098">
        <f t="shared" si="3"/>
        <v>2.1336000000000001E-2</v>
      </c>
      <c r="L17" s="336">
        <f t="shared" si="4"/>
        <v>16.001999999999999</v>
      </c>
      <c r="M17" s="1403">
        <f t="shared" si="5"/>
        <v>139883.40324000001</v>
      </c>
    </row>
    <row r="18" spans="2:13" ht="16.5" x14ac:dyDescent="0.3">
      <c r="B18" s="563">
        <f>VLOOKUP(C18,[1]Hoja1!$B$2:$C$260,2,FALSE)</f>
        <v>2906001</v>
      </c>
      <c r="C18" s="74" t="s">
        <v>831</v>
      </c>
      <c r="D18" s="190">
        <v>1.4784000000000002E-2</v>
      </c>
      <c r="E18" s="70">
        <v>4.4000000000000004</v>
      </c>
      <c r="F18" s="1516">
        <f>VLOOKUP(B18,[2]Hoja1!$C$2:$E$279,3,FALSE)</f>
        <v>1956.71</v>
      </c>
      <c r="G18" s="73">
        <f t="shared" si="0"/>
        <v>28.928000640000004</v>
      </c>
      <c r="H18" s="949"/>
      <c r="I18" s="498"/>
      <c r="J18" s="536"/>
      <c r="K18" s="1098">
        <f t="shared" si="3"/>
        <v>1.4784000000000002E-2</v>
      </c>
      <c r="L18" s="336">
        <f t="shared" si="4"/>
        <v>11.088000000000001</v>
      </c>
      <c r="M18" s="1403"/>
    </row>
    <row r="19" spans="2:13" ht="16.5" x14ac:dyDescent="0.3">
      <c r="B19" s="563">
        <f>VLOOKUP(C19,[1]Hoja1!$B$2:$C$260,2,FALSE)</f>
        <v>1220010</v>
      </c>
      <c r="C19" s="523" t="s">
        <v>1144</v>
      </c>
      <c r="D19" s="1517">
        <v>2.3519999999999999E-3</v>
      </c>
      <c r="E19" s="523">
        <v>0.7</v>
      </c>
      <c r="F19" s="1516">
        <f>VLOOKUP(B19,[2]Hoja1!$C$2:$E$279,3,FALSE)</f>
        <v>4744.72</v>
      </c>
      <c r="G19" s="73">
        <f>F19*D19</f>
        <v>11.15958144</v>
      </c>
      <c r="H19" s="965">
        <v>324156.28000000003</v>
      </c>
      <c r="I19" s="498">
        <f>H19*D19</f>
        <v>762.41557055999999</v>
      </c>
      <c r="J19" s="536">
        <f>((F19/H19)*100)-100</f>
        <v>-98.536286262909982</v>
      </c>
      <c r="K19" s="1098">
        <f>$K$4*E19%</f>
        <v>2.3519999999999999E-3</v>
      </c>
      <c r="L19" s="336">
        <f>+$L$4*E19%</f>
        <v>1.7639999999999998</v>
      </c>
      <c r="M19" s="1403">
        <f>L19*F19</f>
        <v>8369.6860799999995</v>
      </c>
    </row>
    <row r="20" spans="2:13" ht="16.5" x14ac:dyDescent="0.3">
      <c r="B20" s="563">
        <v>1240007</v>
      </c>
      <c r="C20" s="74" t="s">
        <v>1352</v>
      </c>
      <c r="D20" s="190">
        <v>1.6800000000000001E-3</v>
      </c>
      <c r="E20" s="70">
        <v>0.5</v>
      </c>
      <c r="F20" s="1516">
        <f>VLOOKUP(B20,[2]Hoja1!$C$2:$E$279,3,FALSE)</f>
        <v>25921.42</v>
      </c>
      <c r="G20" s="73">
        <f t="shared" si="0"/>
        <v>43.547985599999997</v>
      </c>
      <c r="H20" s="965">
        <v>11340</v>
      </c>
      <c r="I20" s="498">
        <f t="shared" si="1"/>
        <v>19.051200000000001</v>
      </c>
      <c r="J20" s="536">
        <f t="shared" si="2"/>
        <v>128.58395061728393</v>
      </c>
      <c r="K20" s="1098">
        <f t="shared" si="3"/>
        <v>1.6800000000000001E-3</v>
      </c>
      <c r="L20" s="336">
        <f t="shared" si="4"/>
        <v>1.26</v>
      </c>
      <c r="M20" s="1403">
        <f t="shared" si="5"/>
        <v>32660.989199999996</v>
      </c>
    </row>
    <row r="21" spans="2:13" s="146" customFormat="1" x14ac:dyDescent="0.25">
      <c r="B21" s="1764" t="s">
        <v>37</v>
      </c>
      <c r="C21" s="1764"/>
      <c r="D21" s="1278">
        <f>SUM(D5:D20)</f>
        <v>0.33597648000000008</v>
      </c>
      <c r="E21" s="1279">
        <f>SUM(E5:E20)</f>
        <v>99.992999999999995</v>
      </c>
      <c r="F21" s="1281"/>
      <c r="G21" s="1281">
        <f>SUM(G5:G20)</f>
        <v>2530.7523466176008</v>
      </c>
      <c r="H21" s="1281"/>
      <c r="I21" s="1280">
        <f>SUM(I5:I20)</f>
        <v>3296.6899538832008</v>
      </c>
      <c r="J21" s="1282">
        <f>((G21/I21)*100)-100</f>
        <v>-23.233534787321901</v>
      </c>
      <c r="K21" s="1283"/>
      <c r="L21" s="1283"/>
      <c r="M21" s="1645">
        <f>SUM(M5:M20)</f>
        <v>1876368.2594831998</v>
      </c>
    </row>
    <row r="22" spans="2:13" x14ac:dyDescent="0.25">
      <c r="J22" s="775"/>
    </row>
    <row r="23" spans="2:13" ht="25.5" x14ac:dyDescent="0.25">
      <c r="B23" s="1765" t="s">
        <v>50</v>
      </c>
      <c r="C23" s="1766"/>
      <c r="D23" s="38">
        <f>+C26+(C26*C32%)</f>
        <v>336</v>
      </c>
      <c r="E23" s="159"/>
      <c r="F23" s="159"/>
      <c r="G23" s="159"/>
      <c r="H23" s="159"/>
      <c r="I23" s="159"/>
      <c r="J23" s="159"/>
    </row>
    <row r="24" spans="2:13" x14ac:dyDescent="0.25">
      <c r="B24" s="1284" t="s">
        <v>38</v>
      </c>
      <c r="C24" s="161" t="s">
        <v>123</v>
      </c>
    </row>
    <row r="25" spans="2:13" x14ac:dyDescent="0.25">
      <c r="B25" s="1285" t="s">
        <v>39</v>
      </c>
      <c r="C25" s="163" t="s">
        <v>783</v>
      </c>
    </row>
    <row r="26" spans="2:13" x14ac:dyDescent="0.25">
      <c r="B26" s="1285" t="s">
        <v>40</v>
      </c>
      <c r="C26" s="163">
        <v>300</v>
      </c>
    </row>
    <row r="27" spans="2:13" x14ac:dyDescent="0.25">
      <c r="B27" s="1285" t="s">
        <v>41</v>
      </c>
      <c r="C27" s="163">
        <v>0</v>
      </c>
    </row>
    <row r="28" spans="2:13" x14ac:dyDescent="0.25">
      <c r="B28" s="1285" t="s">
        <v>42</v>
      </c>
      <c r="C28" s="163">
        <v>6</v>
      </c>
      <c r="E28" s="120">
        <v>45.08</v>
      </c>
    </row>
    <row r="29" spans="2:13" x14ac:dyDescent="0.25">
      <c r="B29" s="1285" t="s">
        <v>43</v>
      </c>
      <c r="C29" s="163">
        <v>2</v>
      </c>
    </row>
    <row r="30" spans="2:13" x14ac:dyDescent="0.25">
      <c r="B30" s="1285" t="s">
        <v>44</v>
      </c>
      <c r="C30" s="163">
        <v>2</v>
      </c>
    </row>
    <row r="31" spans="2:13" x14ac:dyDescent="0.25">
      <c r="B31" s="1285" t="s">
        <v>45</v>
      </c>
      <c r="C31" s="163">
        <v>2</v>
      </c>
    </row>
    <row r="32" spans="2:13" x14ac:dyDescent="0.25">
      <c r="B32" s="1285" t="s">
        <v>46</v>
      </c>
      <c r="C32" s="163">
        <f>C31+C30+C29+C28</f>
        <v>12</v>
      </c>
    </row>
    <row r="34" spans="2:12" ht="25.5" x14ac:dyDescent="0.25">
      <c r="B34" s="1789" t="s">
        <v>47</v>
      </c>
      <c r="C34" s="1790"/>
      <c r="D34" s="1790"/>
      <c r="E34" s="1790"/>
      <c r="F34" s="1790"/>
      <c r="G34" s="1790"/>
      <c r="H34" s="1791"/>
      <c r="I34" s="789"/>
      <c r="J34" s="857"/>
    </row>
    <row r="35" spans="2:12" ht="25.5" x14ac:dyDescent="0.25">
      <c r="B35" s="1368" t="s">
        <v>0</v>
      </c>
      <c r="C35" s="1368" t="s">
        <v>1</v>
      </c>
      <c r="D35" s="1369" t="s">
        <v>2</v>
      </c>
      <c r="E35" s="1243" t="str">
        <f>+'CIF Y PV'!$F$4</f>
        <v xml:space="preserve">JUN-COP/UMB </v>
      </c>
      <c r="F35" s="1243" t="str">
        <f>+'CIF Y PV'!$G$4</f>
        <v>JUN-COP/APP</v>
      </c>
      <c r="G35" s="1243" t="str">
        <f>+'CIF Y PV'!$H$4</f>
        <v xml:space="preserve">MAY-COP/UMB </v>
      </c>
      <c r="H35" s="1243" t="str">
        <f>+'CIF Y PV'!$I$4</f>
        <v>MAY-COP/APP</v>
      </c>
      <c r="I35" s="1244" t="s">
        <v>3</v>
      </c>
      <c r="J35" s="870"/>
    </row>
    <row r="36" spans="2:12" x14ac:dyDescent="0.25">
      <c r="B36" s="222">
        <f>VLOOKUP(C36,[1]Hoja1!$B$2:$C$260,2,FALSE)</f>
        <v>1370009</v>
      </c>
      <c r="C36" s="222" t="s">
        <v>1154</v>
      </c>
      <c r="D36" s="221">
        <v>0.75</v>
      </c>
      <c r="E36" s="225">
        <f>VLOOKUP(B36,[2]Hoja1!$C$2:$E$279,3,FALSE)</f>
        <v>487.07</v>
      </c>
      <c r="F36" s="225">
        <f>E36*D36</f>
        <v>365.30250000000001</v>
      </c>
      <c r="G36" s="225">
        <v>504.87</v>
      </c>
      <c r="H36" s="225">
        <v>320.85709600000001</v>
      </c>
      <c r="I36" s="270">
        <f>((F36/H36)*100)-100</f>
        <v>13.852086973946797</v>
      </c>
      <c r="J36" s="389"/>
    </row>
    <row r="37" spans="2:12" x14ac:dyDescent="0.25">
      <c r="B37" s="222">
        <f>VLOOKUP(C37,[1]Hoja1!$B$2:$C$260,2,FALSE)</f>
        <v>1310049</v>
      </c>
      <c r="C37" s="222" t="s">
        <v>1045</v>
      </c>
      <c r="D37" s="221">
        <v>7.4999999999999997E-2</v>
      </c>
      <c r="E37" s="225">
        <f>VLOOKUP(B37,[2]Hoja1!$C$2:$E$279,3,FALSE)</f>
        <v>889</v>
      </c>
      <c r="F37" s="225">
        <f>E37*D37</f>
        <v>66.674999999999997</v>
      </c>
      <c r="G37" s="871">
        <v>889</v>
      </c>
      <c r="H37" s="225">
        <v>269.92500000000001</v>
      </c>
      <c r="I37" s="270">
        <f>((F37/H37)*100)-100</f>
        <v>-75.298694081689362</v>
      </c>
      <c r="J37" s="389"/>
    </row>
    <row r="38" spans="2:12" x14ac:dyDescent="0.25">
      <c r="B38" s="222">
        <f>VLOOKUP(C38,[1]Hoja1!$B$2:$C$260,2,FALSE)</f>
        <v>1320005</v>
      </c>
      <c r="C38" s="222" t="s">
        <v>1145</v>
      </c>
      <c r="D38" s="221">
        <v>7.4999999999999997E-2</v>
      </c>
      <c r="E38" s="225">
        <f>VLOOKUP(B38,[2]Hoja1!$C$2:$E$279,3,FALSE)</f>
        <v>740.21</v>
      </c>
      <c r="F38" s="225">
        <f>E38*D38</f>
        <v>55.515750000000004</v>
      </c>
      <c r="G38" s="24">
        <v>828.94</v>
      </c>
      <c r="H38" s="225">
        <v>63.220500000000001</v>
      </c>
      <c r="I38" s="270">
        <f>((F38/H38)*100)-100</f>
        <v>-12.187107030156355</v>
      </c>
      <c r="J38" s="389"/>
    </row>
    <row r="39" spans="2:12" x14ac:dyDescent="0.25">
      <c r="B39" s="222">
        <f>VLOOKUP(C39,[1]Hoja1!$B$2:$C$260,2,FALSE)</f>
        <v>1330049</v>
      </c>
      <c r="C39" s="222" t="s">
        <v>902</v>
      </c>
      <c r="D39" s="221">
        <v>1</v>
      </c>
      <c r="E39" s="225">
        <f>VLOOKUP(B39,[2]Hoja1!$C$2:$E$279,3,FALSE)</f>
        <v>88.11</v>
      </c>
      <c r="F39" s="225">
        <f>E39*D39</f>
        <v>88.11</v>
      </c>
      <c r="G39" s="225">
        <v>90.63</v>
      </c>
      <c r="H39" s="225">
        <v>77</v>
      </c>
      <c r="I39" s="270">
        <f>((F39/H39)*100)-100</f>
        <v>14.428571428571431</v>
      </c>
      <c r="J39" s="389"/>
    </row>
    <row r="40" spans="2:12" x14ac:dyDescent="0.25">
      <c r="B40" s="1370"/>
      <c r="C40" s="1370" t="s">
        <v>37</v>
      </c>
      <c r="D40" s="1371"/>
      <c r="E40" s="1372"/>
      <c r="F40" s="1372">
        <f>SUM(F36:F39)</f>
        <v>575.60325</v>
      </c>
      <c r="G40" s="1372"/>
      <c r="H40" s="1372">
        <f>SUM(H36:H39)</f>
        <v>731.00259600000004</v>
      </c>
      <c r="I40" s="1287">
        <f>((F40/H40)*100)-100</f>
        <v>-21.258384970222465</v>
      </c>
      <c r="J40" s="859"/>
    </row>
    <row r="41" spans="2:12" x14ac:dyDescent="0.25">
      <c r="I41" s="1" t="str">
        <f>+'CIF Y PV'!$G$1</f>
        <v>MAYO</v>
      </c>
      <c r="J41" s="890"/>
      <c r="K41" s="890"/>
      <c r="L41" s="890"/>
    </row>
    <row r="42" spans="2:12" x14ac:dyDescent="0.25">
      <c r="B42" s="1735" t="s">
        <v>899</v>
      </c>
      <c r="C42" s="1735"/>
      <c r="E42" s="884"/>
      <c r="F42" s="884"/>
      <c r="G42" s="884"/>
      <c r="H42" s="884"/>
      <c r="I42" s="887">
        <f>F40+G21</f>
        <v>3106.3555966176009</v>
      </c>
      <c r="J42" s="888"/>
      <c r="K42" s="887"/>
      <c r="L42" s="888"/>
    </row>
    <row r="43" spans="2:12" x14ac:dyDescent="0.25">
      <c r="B43" s="1736" t="s">
        <v>48</v>
      </c>
      <c r="C43" s="1737"/>
      <c r="E43" s="884"/>
      <c r="F43" s="884"/>
      <c r="G43" s="884"/>
      <c r="H43" s="884"/>
      <c r="I43" s="887">
        <f>+('CIF Y PV'!C3/1000)*300</f>
        <v>567</v>
      </c>
      <c r="J43" s="888"/>
      <c r="K43" s="887"/>
      <c r="L43" s="888"/>
    </row>
    <row r="44" spans="2:12" x14ac:dyDescent="0.25">
      <c r="B44" s="1736" t="s">
        <v>398</v>
      </c>
      <c r="C44" s="1737"/>
      <c r="E44" s="884"/>
      <c r="F44" s="884"/>
      <c r="G44" s="884"/>
      <c r="H44" s="884"/>
      <c r="I44" s="887">
        <f>+I42+I43</f>
        <v>3673.3555966176009</v>
      </c>
      <c r="J44" s="888"/>
      <c r="K44" s="887"/>
      <c r="L44" s="888"/>
    </row>
    <row r="45" spans="2:12" x14ac:dyDescent="0.25">
      <c r="B45" s="1735" t="s">
        <v>49</v>
      </c>
      <c r="C45" s="1735"/>
      <c r="E45" s="884"/>
      <c r="F45" s="884"/>
      <c r="G45" s="884"/>
      <c r="H45" s="884"/>
      <c r="I45" s="887">
        <f>'CIF Y PV'!C20</f>
        <v>8196</v>
      </c>
      <c r="K45" s="887"/>
      <c r="L45" s="895"/>
    </row>
    <row r="46" spans="2:12" ht="14.45" customHeight="1" x14ac:dyDescent="0.2">
      <c r="B46" s="1735" t="s">
        <v>805</v>
      </c>
      <c r="C46" s="1735"/>
      <c r="E46" s="884"/>
      <c r="F46" s="884"/>
      <c r="G46" s="884"/>
      <c r="H46" s="884"/>
      <c r="I46" s="928">
        <f>+(I45-I44)/I45</f>
        <v>0.55181117659619316</v>
      </c>
      <c r="J46" s="893"/>
      <c r="K46" s="894"/>
      <c r="L46" s="893">
        <f>1-L45</f>
        <v>1</v>
      </c>
    </row>
    <row r="47" spans="2:12" x14ac:dyDescent="0.25">
      <c r="I47" s="890"/>
      <c r="J47" s="890"/>
      <c r="K47" s="890"/>
      <c r="L47" s="890"/>
    </row>
    <row r="48" spans="2:12" x14ac:dyDescent="0.25">
      <c r="I48" s="890"/>
      <c r="J48" s="890"/>
      <c r="K48" s="890"/>
      <c r="L48" s="890"/>
    </row>
  </sheetData>
  <autoFilter ref="B4:K21" xr:uid="{3D9D749A-2CFB-4653-B278-888C40AB2880}"/>
  <mergeCells count="9">
    <mergeCell ref="B46:C46"/>
    <mergeCell ref="B43:C43"/>
    <mergeCell ref="B44:C44"/>
    <mergeCell ref="B45:C45"/>
    <mergeCell ref="B2:I2"/>
    <mergeCell ref="B21:C21"/>
    <mergeCell ref="B23:C23"/>
    <mergeCell ref="B42:C42"/>
    <mergeCell ref="B34:H3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3B22-9CBA-4821-B5F4-53647F79CDA4}">
  <sheetPr codeName="Hoja30"/>
  <dimension ref="A2:I46"/>
  <sheetViews>
    <sheetView view="pageBreakPreview" topLeftCell="B1" zoomScale="70" zoomScaleNormal="100" zoomScaleSheetLayoutView="70" workbookViewId="0">
      <selection activeCell="I6" sqref="I6"/>
    </sheetView>
  </sheetViews>
  <sheetFormatPr baseColWidth="10" defaultColWidth="11.5703125" defaultRowHeight="13.5" x14ac:dyDescent="0.25"/>
  <cols>
    <col min="1" max="1" width="31.42578125" style="120" bestFit="1" customWidth="1"/>
    <col min="2" max="2" width="27" style="120" bestFit="1" customWidth="1"/>
    <col min="3" max="3" width="67.42578125" style="120" bestFit="1" customWidth="1"/>
    <col min="4" max="4" width="11.5703125" style="119"/>
    <col min="5" max="6" width="11.5703125" style="120"/>
    <col min="7" max="7" width="14.28515625" style="120" customWidth="1"/>
    <col min="8" max="16384" width="11.5703125" style="120"/>
  </cols>
  <sheetData>
    <row r="2" spans="1:9" ht="25.5" x14ac:dyDescent="0.25">
      <c r="B2" s="1743" t="s">
        <v>756</v>
      </c>
      <c r="C2" s="1743"/>
      <c r="D2" s="1743"/>
      <c r="E2" s="1743"/>
      <c r="F2" s="1743"/>
      <c r="G2" s="1743"/>
    </row>
    <row r="4" spans="1:9" ht="25.5" x14ac:dyDescent="0.25">
      <c r="B4" s="128" t="s">
        <v>0</v>
      </c>
      <c r="C4" s="128" t="s">
        <v>1</v>
      </c>
      <c r="D4" s="145" t="s">
        <v>2</v>
      </c>
      <c r="E4" s="128" t="s">
        <v>3</v>
      </c>
      <c r="F4" s="778" t="s">
        <v>755</v>
      </c>
      <c r="G4" s="778" t="s">
        <v>747</v>
      </c>
      <c r="H4" s="269"/>
      <c r="I4" s="146"/>
    </row>
    <row r="5" spans="1:9" x14ac:dyDescent="0.25">
      <c r="A5" s="120" t="s">
        <v>802</v>
      </c>
      <c r="B5" s="4" t="s">
        <v>495</v>
      </c>
      <c r="C5" s="4" t="s">
        <v>801</v>
      </c>
      <c r="D5" s="166">
        <v>6.2540498380064813E-2</v>
      </c>
      <c r="E5" s="167">
        <f>(D5*100)/$D$21</f>
        <v>42.498300067997285</v>
      </c>
      <c r="F5" s="167">
        <v>11500</v>
      </c>
      <c r="G5" s="805">
        <f>F5*D5</f>
        <v>719.2157313707454</v>
      </c>
      <c r="H5" s="119"/>
      <c r="I5" s="146"/>
    </row>
    <row r="6" spans="1:9" x14ac:dyDescent="0.25">
      <c r="A6" s="120" t="s">
        <v>802</v>
      </c>
      <c r="B6" s="6" t="s">
        <v>779</v>
      </c>
      <c r="C6" s="6" t="s">
        <v>448</v>
      </c>
      <c r="D6" s="143">
        <v>3.3174423423063079E-2</v>
      </c>
      <c r="E6" s="106">
        <f t="shared" ref="E6:E19" si="0">(D6*100)/$D$21</f>
        <v>22.543098276068957</v>
      </c>
      <c r="F6" s="96">
        <v>7</v>
      </c>
      <c r="G6" s="96">
        <f t="shared" ref="G6:G19" si="1">F6*D6</f>
        <v>0.23222096396144154</v>
      </c>
      <c r="H6" s="119"/>
      <c r="I6" s="146"/>
    </row>
    <row r="7" spans="1:9" x14ac:dyDescent="0.25">
      <c r="A7" s="120" t="s">
        <v>802</v>
      </c>
      <c r="B7" s="6" t="s">
        <v>495</v>
      </c>
      <c r="C7" s="6" t="s">
        <v>757</v>
      </c>
      <c r="D7" s="143">
        <v>2.0601575936962522E-2</v>
      </c>
      <c r="E7" s="106">
        <f t="shared" si="0"/>
        <v>13.999440022399105</v>
      </c>
      <c r="F7" s="96">
        <v>5380</v>
      </c>
      <c r="G7" s="96">
        <f t="shared" si="1"/>
        <v>110.83647854085837</v>
      </c>
      <c r="H7" s="119"/>
      <c r="I7" s="146"/>
    </row>
    <row r="8" spans="1:9" x14ac:dyDescent="0.25">
      <c r="A8" s="120" t="s">
        <v>802</v>
      </c>
      <c r="B8" s="6" t="s">
        <v>495</v>
      </c>
      <c r="C8" s="6" t="s">
        <v>585</v>
      </c>
      <c r="D8" s="143">
        <v>1.8394264229430825E-2</v>
      </c>
      <c r="E8" s="106">
        <f t="shared" si="0"/>
        <v>12.499500019999202</v>
      </c>
      <c r="F8" s="96">
        <v>7671.41</v>
      </c>
      <c r="G8" s="96">
        <f t="shared" si="1"/>
        <v>141.10994255229792</v>
      </c>
      <c r="H8" s="119"/>
      <c r="I8" s="146"/>
    </row>
    <row r="9" spans="1:9" x14ac:dyDescent="0.25">
      <c r="A9" s="120" t="s">
        <v>802</v>
      </c>
      <c r="B9" s="6" t="s">
        <v>496</v>
      </c>
      <c r="C9" s="6" t="s">
        <v>181</v>
      </c>
      <c r="D9" s="143">
        <v>2.7959281628734856E-3</v>
      </c>
      <c r="E9" s="106">
        <f t="shared" si="0"/>
        <v>1.8999240030398785</v>
      </c>
      <c r="F9" s="96">
        <v>36457</v>
      </c>
      <c r="G9" s="96">
        <f t="shared" si="1"/>
        <v>101.93115303387866</v>
      </c>
      <c r="H9" s="119"/>
      <c r="I9" s="119"/>
    </row>
    <row r="10" spans="1:9" x14ac:dyDescent="0.25">
      <c r="A10" s="120" t="s">
        <v>802</v>
      </c>
      <c r="B10" s="6" t="s">
        <v>496</v>
      </c>
      <c r="C10" s="6" t="s">
        <v>758</v>
      </c>
      <c r="D10" s="143">
        <v>2.760611175552978E-3</v>
      </c>
      <c r="E10" s="106">
        <f t="shared" si="0"/>
        <v>1.87592496300148</v>
      </c>
      <c r="F10" s="96">
        <v>17281.52</v>
      </c>
      <c r="G10" s="96">
        <f t="shared" si="1"/>
        <v>47.7075572425423</v>
      </c>
      <c r="H10" s="119"/>
      <c r="I10" s="119"/>
    </row>
    <row r="11" spans="1:9" x14ac:dyDescent="0.25">
      <c r="A11" s="120" t="s">
        <v>802</v>
      </c>
      <c r="B11" s="6" t="s">
        <v>496</v>
      </c>
      <c r="C11" s="6" t="s">
        <v>759</v>
      </c>
      <c r="D11" s="143">
        <v>1.871800327986881E-3</v>
      </c>
      <c r="E11" s="106">
        <f t="shared" si="0"/>
        <v>1.2719491220351189</v>
      </c>
      <c r="F11" s="25">
        <v>5760</v>
      </c>
      <c r="G11" s="96">
        <f t="shared" si="1"/>
        <v>10.781569889204434</v>
      </c>
      <c r="H11" s="119"/>
      <c r="I11" s="119"/>
    </row>
    <row r="12" spans="1:9" x14ac:dyDescent="0.25">
      <c r="A12" s="120" t="s">
        <v>802</v>
      </c>
      <c r="B12" s="6" t="s">
        <v>496</v>
      </c>
      <c r="C12" s="6" t="s">
        <v>760</v>
      </c>
      <c r="D12" s="143">
        <v>1.4715411383544655E-3</v>
      </c>
      <c r="E12" s="106">
        <f t="shared" si="0"/>
        <v>0.9999600015999357</v>
      </c>
      <c r="F12" s="96">
        <v>14664.29</v>
      </c>
      <c r="G12" s="96">
        <f t="shared" si="1"/>
        <v>21.579105999760007</v>
      </c>
      <c r="H12" s="119"/>
      <c r="I12" s="119"/>
    </row>
    <row r="13" spans="1:9" x14ac:dyDescent="0.25">
      <c r="A13" s="120" t="s">
        <v>802</v>
      </c>
      <c r="B13" s="6" t="s">
        <v>496</v>
      </c>
      <c r="C13" s="6" t="s">
        <v>16</v>
      </c>
      <c r="D13" s="143">
        <v>1.4715411383544655E-3</v>
      </c>
      <c r="E13" s="106">
        <f t="shared" si="0"/>
        <v>0.9999600015999357</v>
      </c>
      <c r="F13" s="96">
        <v>30031</v>
      </c>
      <c r="G13" s="96">
        <f t="shared" si="1"/>
        <v>44.191851925922954</v>
      </c>
      <c r="H13" s="119"/>
      <c r="I13" s="119"/>
    </row>
    <row r="14" spans="1:9" x14ac:dyDescent="0.25">
      <c r="A14" s="120" t="s">
        <v>802</v>
      </c>
      <c r="B14" s="6" t="s">
        <v>496</v>
      </c>
      <c r="C14" s="6" t="s">
        <v>761</v>
      </c>
      <c r="D14" s="143">
        <v>7.3577056917723275E-4</v>
      </c>
      <c r="E14" s="106">
        <f t="shared" si="0"/>
        <v>0.49998000079996785</v>
      </c>
      <c r="F14" s="96">
        <v>29500</v>
      </c>
      <c r="G14" s="96">
        <f t="shared" si="1"/>
        <v>21.705231790728366</v>
      </c>
      <c r="H14" s="119"/>
      <c r="I14" s="119"/>
    </row>
    <row r="15" spans="1:9" x14ac:dyDescent="0.25">
      <c r="A15" s="120" t="s">
        <v>802</v>
      </c>
      <c r="B15" s="6" t="s">
        <v>496</v>
      </c>
      <c r="C15" s="6" t="s">
        <v>762</v>
      </c>
      <c r="D15" s="143">
        <v>5.8861645534178644E-4</v>
      </c>
      <c r="E15" s="106">
        <f t="shared" si="0"/>
        <v>0.39998400063997441</v>
      </c>
      <c r="F15" s="96">
        <v>66982.33</v>
      </c>
      <c r="G15" s="96">
        <f t="shared" si="1"/>
        <v>39.426901655133804</v>
      </c>
      <c r="H15" s="119"/>
      <c r="I15" s="119"/>
    </row>
    <row r="16" spans="1:9" x14ac:dyDescent="0.25">
      <c r="A16" s="120" t="s">
        <v>802</v>
      </c>
      <c r="B16" s="6" t="s">
        <v>496</v>
      </c>
      <c r="C16" s="6" t="s">
        <v>763</v>
      </c>
      <c r="D16" s="143">
        <v>4.414623415063398E-4</v>
      </c>
      <c r="E16" s="106">
        <f t="shared" si="0"/>
        <v>0.29998800047998081</v>
      </c>
      <c r="F16" s="8">
        <v>21400</v>
      </c>
      <c r="G16" s="96">
        <f t="shared" si="1"/>
        <v>9.4472941082356723</v>
      </c>
      <c r="H16" s="119"/>
      <c r="I16" s="119"/>
    </row>
    <row r="17" spans="1:9" x14ac:dyDescent="0.25">
      <c r="A17" s="120" t="s">
        <v>802</v>
      </c>
      <c r="B17" s="6" t="s">
        <v>496</v>
      </c>
      <c r="C17" s="6" t="s">
        <v>764</v>
      </c>
      <c r="D17" s="143">
        <v>2.4721891124355035E-4</v>
      </c>
      <c r="E17" s="106">
        <f t="shared" si="0"/>
        <v>0.16799328026878929</v>
      </c>
      <c r="F17" s="25">
        <v>2500</v>
      </c>
      <c r="G17" s="96">
        <f t="shared" si="1"/>
        <v>0.61804727810887583</v>
      </c>
      <c r="H17" s="119"/>
      <c r="I17" s="119"/>
    </row>
    <row r="18" spans="1:9" x14ac:dyDescent="0.25">
      <c r="A18" s="120" t="s">
        <v>802</v>
      </c>
      <c r="B18" s="6" t="s">
        <v>496</v>
      </c>
      <c r="C18" s="6" t="s">
        <v>87</v>
      </c>
      <c r="D18" s="143">
        <v>4.7089316427342908E-5</v>
      </c>
      <c r="E18" s="106">
        <f t="shared" si="0"/>
        <v>3.199872005119795E-2</v>
      </c>
      <c r="F18" s="96">
        <v>57016.43</v>
      </c>
      <c r="G18" s="96">
        <f t="shared" si="1"/>
        <v>2.6848647138274471</v>
      </c>
      <c r="H18" s="119"/>
      <c r="I18" s="119"/>
    </row>
    <row r="19" spans="1:9" ht="16.5" x14ac:dyDescent="0.25">
      <c r="A19" s="120" t="s">
        <v>802</v>
      </c>
      <c r="B19" s="6" t="s">
        <v>496</v>
      </c>
      <c r="C19" s="6" t="s">
        <v>765</v>
      </c>
      <c r="D19" s="143">
        <v>1.7658493660253591E-5</v>
      </c>
      <c r="E19" s="106">
        <f t="shared" si="0"/>
        <v>1.1999520019199232E-2</v>
      </c>
      <c r="F19" s="72">
        <v>4561</v>
      </c>
      <c r="G19" s="96">
        <f t="shared" si="1"/>
        <v>8.054038958441663E-2</v>
      </c>
      <c r="H19" s="119"/>
      <c r="I19" s="119"/>
    </row>
    <row r="20" spans="1:9" hidden="1" x14ac:dyDescent="0.25">
      <c r="B20" s="154"/>
      <c r="C20" s="154"/>
      <c r="D20" s="143"/>
      <c r="E20" s="154"/>
      <c r="F20" s="154"/>
      <c r="G20" s="96"/>
    </row>
    <row r="21" spans="1:9" s="146" customFormat="1" x14ac:dyDescent="0.25">
      <c r="B21" s="1792" t="s">
        <v>37</v>
      </c>
      <c r="C21" s="1792"/>
      <c r="D21" s="155">
        <f>SUM(D5:D19)</f>
        <v>0.14716000000000001</v>
      </c>
      <c r="E21" s="156">
        <f>SUM(E5:E19)</f>
        <v>100</v>
      </c>
      <c r="F21" s="156"/>
      <c r="G21" s="765">
        <f>SUM(G5:G19)</f>
        <v>1271.5484914547906</v>
      </c>
    </row>
    <row r="23" spans="1:9" ht="25.5" x14ac:dyDescent="0.25">
      <c r="B23" s="1793" t="s">
        <v>50</v>
      </c>
      <c r="C23" s="1794"/>
      <c r="D23" s="158" t="s">
        <v>766</v>
      </c>
      <c r="E23" s="159"/>
      <c r="F23" s="159"/>
      <c r="G23" s="159"/>
    </row>
    <row r="24" spans="1:9" x14ac:dyDescent="0.25">
      <c r="B24" s="160" t="s">
        <v>38</v>
      </c>
      <c r="C24" s="161" t="s">
        <v>313</v>
      </c>
    </row>
    <row r="25" spans="1:9" x14ac:dyDescent="0.25">
      <c r="B25" s="162" t="s">
        <v>39</v>
      </c>
      <c r="C25" s="163" t="s">
        <v>800</v>
      </c>
    </row>
    <row r="26" spans="1:9" x14ac:dyDescent="0.25">
      <c r="B26" s="162" t="s">
        <v>40</v>
      </c>
      <c r="C26" s="163">
        <v>120</v>
      </c>
    </row>
    <row r="27" spans="1:9" x14ac:dyDescent="0.25">
      <c r="B27" s="162" t="s">
        <v>41</v>
      </c>
      <c r="C27" s="163">
        <v>0</v>
      </c>
    </row>
    <row r="28" spans="1:9" x14ac:dyDescent="0.25">
      <c r="B28" s="162" t="s">
        <v>42</v>
      </c>
      <c r="C28" s="163">
        <v>6</v>
      </c>
    </row>
    <row r="29" spans="1:9" x14ac:dyDescent="0.25">
      <c r="B29" s="162" t="s">
        <v>43</v>
      </c>
      <c r="C29" s="163">
        <v>1</v>
      </c>
    </row>
    <row r="30" spans="1:9" x14ac:dyDescent="0.25">
      <c r="B30" s="162" t="s">
        <v>44</v>
      </c>
      <c r="C30" s="163">
        <v>2</v>
      </c>
    </row>
    <row r="31" spans="1:9" x14ac:dyDescent="0.25">
      <c r="B31" s="162" t="s">
        <v>45</v>
      </c>
      <c r="C31" s="163">
        <v>4.2</v>
      </c>
    </row>
    <row r="32" spans="1:9" x14ac:dyDescent="0.25">
      <c r="B32" s="162" t="s">
        <v>46</v>
      </c>
      <c r="C32" s="163">
        <f>C31+C30+C29+C28</f>
        <v>13.2</v>
      </c>
    </row>
    <row r="34" spans="1:8" ht="25.5" x14ac:dyDescent="0.25">
      <c r="B34" s="1795" t="s">
        <v>47</v>
      </c>
      <c r="C34" s="1796"/>
      <c r="D34" s="1796"/>
      <c r="E34" s="1796"/>
      <c r="F34" s="1797"/>
      <c r="G34" s="789"/>
    </row>
    <row r="35" spans="1:8" ht="25.5" x14ac:dyDescent="0.25">
      <c r="B35" s="227" t="s">
        <v>0</v>
      </c>
      <c r="C35" s="227" t="s">
        <v>1</v>
      </c>
      <c r="D35" s="287" t="s">
        <v>2</v>
      </c>
      <c r="E35" s="792" t="s">
        <v>767</v>
      </c>
      <c r="F35" s="792" t="s">
        <v>747</v>
      </c>
      <c r="G35" s="790"/>
    </row>
    <row r="36" spans="1:8" x14ac:dyDescent="0.25">
      <c r="A36" s="120" t="s">
        <v>802</v>
      </c>
      <c r="B36" s="222" t="s">
        <v>420</v>
      </c>
      <c r="C36" s="222" t="s">
        <v>768</v>
      </c>
      <c r="D36" s="221">
        <v>0.22</v>
      </c>
      <c r="E36" s="225">
        <v>737</v>
      </c>
      <c r="F36" s="225">
        <f>E36*D36</f>
        <v>162.14000000000001</v>
      </c>
      <c r="G36" s="780"/>
    </row>
    <row r="37" spans="1:8" x14ac:dyDescent="0.25">
      <c r="A37" s="120" t="s">
        <v>802</v>
      </c>
      <c r="B37" s="222" t="s">
        <v>314</v>
      </c>
      <c r="C37" s="222" t="s">
        <v>315</v>
      </c>
      <c r="D37" s="221">
        <v>0.04</v>
      </c>
      <c r="E37" s="225">
        <v>600.71</v>
      </c>
      <c r="F37" s="225">
        <f>E37*D37</f>
        <v>24.028400000000001</v>
      </c>
      <c r="G37" s="780"/>
    </row>
    <row r="38" spans="1:8" x14ac:dyDescent="0.25">
      <c r="A38" s="120" t="s">
        <v>802</v>
      </c>
      <c r="B38" s="222" t="s">
        <v>172</v>
      </c>
      <c r="C38" s="222" t="s">
        <v>129</v>
      </c>
      <c r="D38" s="221">
        <v>0.04</v>
      </c>
      <c r="E38" s="225">
        <v>1244.5999999999999</v>
      </c>
      <c r="F38" s="225">
        <f>E38*D38</f>
        <v>49.783999999999999</v>
      </c>
      <c r="G38" s="780"/>
    </row>
    <row r="39" spans="1:8" x14ac:dyDescent="0.25">
      <c r="A39" s="120" t="s">
        <v>802</v>
      </c>
      <c r="B39" s="222" t="s">
        <v>422</v>
      </c>
      <c r="C39" s="222" t="s">
        <v>769</v>
      </c>
      <c r="D39" s="221">
        <v>1</v>
      </c>
      <c r="E39" s="225">
        <v>103</v>
      </c>
      <c r="F39" s="225">
        <f>E39*D39</f>
        <v>103</v>
      </c>
      <c r="G39" s="780"/>
    </row>
    <row r="40" spans="1:8" x14ac:dyDescent="0.25">
      <c r="B40" s="209"/>
      <c r="C40" s="209" t="s">
        <v>37</v>
      </c>
      <c r="D40" s="288"/>
      <c r="E40" s="220"/>
      <c r="F40" s="793">
        <f>SUM(F36:F39)</f>
        <v>338.95240000000001</v>
      </c>
      <c r="G40" s="791"/>
    </row>
    <row r="42" spans="1:8" x14ac:dyDescent="0.25">
      <c r="B42" s="1798" t="s">
        <v>803</v>
      </c>
      <c r="C42" s="1798"/>
      <c r="D42" s="1799">
        <f>F40+G21</f>
        <v>1610.5008914547907</v>
      </c>
      <c r="E42" s="1799"/>
      <c r="F42" s="1799"/>
      <c r="G42" s="1799"/>
    </row>
    <row r="43" spans="1:8" x14ac:dyDescent="0.25">
      <c r="B43" s="1800" t="s">
        <v>48</v>
      </c>
      <c r="C43" s="1801"/>
      <c r="D43" s="1799">
        <f>+(921.6/1000)*130</f>
        <v>119.80799999999999</v>
      </c>
      <c r="E43" s="1799"/>
      <c r="F43" s="1799"/>
      <c r="G43" s="1799"/>
    </row>
    <row r="44" spans="1:8" x14ac:dyDescent="0.25">
      <c r="B44" s="1800" t="s">
        <v>804</v>
      </c>
      <c r="C44" s="1801"/>
      <c r="D44" s="1799">
        <f>+D42+D43</f>
        <v>1730.3088914547907</v>
      </c>
      <c r="E44" s="1799"/>
      <c r="F44" s="1799"/>
      <c r="G44" s="1799"/>
      <c r="H44" s="846" t="s">
        <v>805</v>
      </c>
    </row>
    <row r="45" spans="1:8" x14ac:dyDescent="0.25">
      <c r="B45" s="1798" t="s">
        <v>49</v>
      </c>
      <c r="C45" s="1798"/>
      <c r="D45" s="1799">
        <f>D44/H46</f>
        <v>2883.8481524246513</v>
      </c>
      <c r="E45" s="1799"/>
      <c r="F45" s="1799"/>
      <c r="G45" s="1799"/>
      <c r="H45" s="301">
        <v>0.4</v>
      </c>
    </row>
    <row r="46" spans="1:8" ht="14.45" customHeight="1" x14ac:dyDescent="0.25">
      <c r="H46" s="413">
        <f>1-H45</f>
        <v>0.6</v>
      </c>
    </row>
  </sheetData>
  <mergeCells count="12">
    <mergeCell ref="B43:C43"/>
    <mergeCell ref="D43:G43"/>
    <mergeCell ref="B44:C44"/>
    <mergeCell ref="D44:G44"/>
    <mergeCell ref="B45:C45"/>
    <mergeCell ref="D45:G45"/>
    <mergeCell ref="B2:G2"/>
    <mergeCell ref="B21:C21"/>
    <mergeCell ref="B23:C23"/>
    <mergeCell ref="B34:F34"/>
    <mergeCell ref="B42:C42"/>
    <mergeCell ref="D42:G4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CB7A-AA65-4277-8DF4-DF1D7F32CDC0}">
  <sheetPr codeName="Hoja31"/>
  <dimension ref="A2:I46"/>
  <sheetViews>
    <sheetView view="pageBreakPreview" zoomScale="70" zoomScaleNormal="100" zoomScaleSheetLayoutView="70" workbookViewId="0">
      <selection activeCell="B23" sqref="B23:C23"/>
    </sheetView>
  </sheetViews>
  <sheetFormatPr baseColWidth="10" defaultColWidth="11.5703125" defaultRowHeight="13.5" x14ac:dyDescent="0.25"/>
  <cols>
    <col min="1" max="1" width="31.42578125" style="120" bestFit="1" customWidth="1"/>
    <col min="2" max="2" width="27" style="120" bestFit="1" customWidth="1"/>
    <col min="3" max="3" width="67.42578125" style="120" bestFit="1" customWidth="1"/>
    <col min="4" max="4" width="11.5703125" style="119"/>
    <col min="5" max="6" width="11.5703125" style="120"/>
    <col min="7" max="7" width="14.28515625" style="120" customWidth="1"/>
    <col min="8" max="16384" width="11.5703125" style="120"/>
  </cols>
  <sheetData>
    <row r="2" spans="1:9" ht="25.5" x14ac:dyDescent="0.25">
      <c r="B2" s="1743" t="s">
        <v>756</v>
      </c>
      <c r="C2" s="1743"/>
      <c r="D2" s="1743"/>
      <c r="E2" s="1743"/>
      <c r="F2" s="1743"/>
      <c r="G2" s="1743"/>
    </row>
    <row r="4" spans="1:9" ht="25.5" x14ac:dyDescent="0.25">
      <c r="B4" s="128" t="s">
        <v>0</v>
      </c>
      <c r="C4" s="128" t="s">
        <v>1</v>
      </c>
      <c r="D4" s="145" t="s">
        <v>2</v>
      </c>
      <c r="E4" s="128" t="s">
        <v>3</v>
      </c>
      <c r="F4" s="778" t="s">
        <v>755</v>
      </c>
      <c r="G4" s="778" t="s">
        <v>747</v>
      </c>
      <c r="H4" s="847">
        <v>7.3580000000000007E-2</v>
      </c>
      <c r="I4" s="146"/>
    </row>
    <row r="5" spans="1:9" x14ac:dyDescent="0.25">
      <c r="A5" s="120" t="s">
        <v>806</v>
      </c>
      <c r="B5" s="4" t="s">
        <v>495</v>
      </c>
      <c r="C5" s="4" t="s">
        <v>801</v>
      </c>
      <c r="D5" s="166">
        <v>3.1270249190032406E-2</v>
      </c>
      <c r="E5" s="167">
        <f>(D5*100)/$D$21</f>
        <v>42.498300067997285</v>
      </c>
      <c r="F5" s="167">
        <v>11500</v>
      </c>
      <c r="G5" s="805">
        <f>F5*D5</f>
        <v>359.6078656853727</v>
      </c>
      <c r="H5" s="119">
        <f>$H$4*E5%</f>
        <v>3.1270249190032406E-2</v>
      </c>
      <c r="I5" s="146"/>
    </row>
    <row r="6" spans="1:9" x14ac:dyDescent="0.25">
      <c r="A6" s="120" t="s">
        <v>806</v>
      </c>
      <c r="B6" s="6" t="s">
        <v>779</v>
      </c>
      <c r="C6" s="6" t="s">
        <v>448</v>
      </c>
      <c r="D6" s="143">
        <v>1.658721171153154E-2</v>
      </c>
      <c r="E6" s="106">
        <f t="shared" ref="E6:E19" si="0">(D6*100)/$D$21</f>
        <v>22.543098276068957</v>
      </c>
      <c r="F6" s="96">
        <v>7</v>
      </c>
      <c r="G6" s="96">
        <f t="shared" ref="G6:G19" si="1">F6*D6</f>
        <v>0.11611048198072077</v>
      </c>
      <c r="H6" s="119">
        <f t="shared" ref="H6:H19" si="2">$H$4*E6%</f>
        <v>1.658721171153154E-2</v>
      </c>
      <c r="I6" s="146"/>
    </row>
    <row r="7" spans="1:9" x14ac:dyDescent="0.25">
      <c r="A7" s="120" t="s">
        <v>806</v>
      </c>
      <c r="B7" s="6" t="s">
        <v>495</v>
      </c>
      <c r="C7" s="6" t="s">
        <v>757</v>
      </c>
      <c r="D7" s="143">
        <v>1.0300787968481261E-2</v>
      </c>
      <c r="E7" s="106">
        <f t="shared" si="0"/>
        <v>13.999440022399105</v>
      </c>
      <c r="F7" s="96">
        <v>5380</v>
      </c>
      <c r="G7" s="96">
        <f t="shared" si="1"/>
        <v>55.418239270429183</v>
      </c>
      <c r="H7" s="119">
        <f t="shared" si="2"/>
        <v>1.0300787968481261E-2</v>
      </c>
      <c r="I7" s="146"/>
    </row>
    <row r="8" spans="1:9" x14ac:dyDescent="0.25">
      <c r="A8" s="120" t="s">
        <v>806</v>
      </c>
      <c r="B8" s="6" t="s">
        <v>495</v>
      </c>
      <c r="C8" s="6" t="s">
        <v>585</v>
      </c>
      <c r="D8" s="143">
        <v>9.1971321147154127E-3</v>
      </c>
      <c r="E8" s="106">
        <f t="shared" si="0"/>
        <v>12.499500019999202</v>
      </c>
      <c r="F8" s="96">
        <v>7671.41</v>
      </c>
      <c r="G8" s="96">
        <f t="shared" si="1"/>
        <v>70.554971276148962</v>
      </c>
      <c r="H8" s="119">
        <f t="shared" si="2"/>
        <v>9.1971321147154127E-3</v>
      </c>
      <c r="I8" s="146"/>
    </row>
    <row r="9" spans="1:9" x14ac:dyDescent="0.25">
      <c r="A9" s="120" t="s">
        <v>806</v>
      </c>
      <c r="B9" s="6" t="s">
        <v>496</v>
      </c>
      <c r="C9" s="6" t="s">
        <v>181</v>
      </c>
      <c r="D9" s="143">
        <v>1.3979640814367428E-3</v>
      </c>
      <c r="E9" s="106">
        <f t="shared" si="0"/>
        <v>1.8999240030398785</v>
      </c>
      <c r="F9" s="96">
        <v>36457</v>
      </c>
      <c r="G9" s="96">
        <f t="shared" si="1"/>
        <v>50.965576516939329</v>
      </c>
      <c r="H9" s="119">
        <f t="shared" si="2"/>
        <v>1.3979640814367428E-3</v>
      </c>
      <c r="I9" s="119"/>
    </row>
    <row r="10" spans="1:9" x14ac:dyDescent="0.25">
      <c r="A10" s="120" t="s">
        <v>806</v>
      </c>
      <c r="B10" s="6" t="s">
        <v>496</v>
      </c>
      <c r="C10" s="6" t="s">
        <v>758</v>
      </c>
      <c r="D10" s="143">
        <v>1.380305587776489E-3</v>
      </c>
      <c r="E10" s="106">
        <f t="shared" si="0"/>
        <v>1.87592496300148</v>
      </c>
      <c r="F10" s="96">
        <v>17281.52</v>
      </c>
      <c r="G10" s="96">
        <f t="shared" si="1"/>
        <v>23.85377862127115</v>
      </c>
      <c r="H10" s="119">
        <f t="shared" si="2"/>
        <v>1.380305587776489E-3</v>
      </c>
      <c r="I10" s="119"/>
    </row>
    <row r="11" spans="1:9" x14ac:dyDescent="0.25">
      <c r="A11" s="120" t="s">
        <v>806</v>
      </c>
      <c r="B11" s="6" t="s">
        <v>496</v>
      </c>
      <c r="C11" s="6" t="s">
        <v>759</v>
      </c>
      <c r="D11" s="143">
        <v>9.359001639934405E-4</v>
      </c>
      <c r="E11" s="106">
        <f t="shared" si="0"/>
        <v>1.2719491220351189</v>
      </c>
      <c r="F11" s="25">
        <v>5760</v>
      </c>
      <c r="G11" s="96">
        <f t="shared" si="1"/>
        <v>5.3907849446022169</v>
      </c>
      <c r="H11" s="119">
        <f t="shared" si="2"/>
        <v>9.359001639934405E-4</v>
      </c>
      <c r="I11" s="119"/>
    </row>
    <row r="12" spans="1:9" x14ac:dyDescent="0.25">
      <c r="A12" s="120" t="s">
        <v>806</v>
      </c>
      <c r="B12" s="6" t="s">
        <v>496</v>
      </c>
      <c r="C12" s="6" t="s">
        <v>760</v>
      </c>
      <c r="D12" s="143">
        <v>7.3577056917723275E-4</v>
      </c>
      <c r="E12" s="106">
        <f t="shared" si="0"/>
        <v>0.9999600015999357</v>
      </c>
      <c r="F12" s="96">
        <v>14664.29</v>
      </c>
      <c r="G12" s="96">
        <f t="shared" si="1"/>
        <v>10.789552999880003</v>
      </c>
      <c r="H12" s="119">
        <f t="shared" si="2"/>
        <v>7.3577056917723275E-4</v>
      </c>
      <c r="I12" s="119"/>
    </row>
    <row r="13" spans="1:9" x14ac:dyDescent="0.25">
      <c r="A13" s="120" t="s">
        <v>806</v>
      </c>
      <c r="B13" s="6" t="s">
        <v>496</v>
      </c>
      <c r="C13" s="6" t="s">
        <v>16</v>
      </c>
      <c r="D13" s="143">
        <v>7.3577056917723275E-4</v>
      </c>
      <c r="E13" s="106">
        <f t="shared" si="0"/>
        <v>0.9999600015999357</v>
      </c>
      <c r="F13" s="96">
        <v>30031</v>
      </c>
      <c r="G13" s="96">
        <f t="shared" si="1"/>
        <v>22.095925962961477</v>
      </c>
      <c r="H13" s="119">
        <f t="shared" si="2"/>
        <v>7.3577056917723275E-4</v>
      </c>
      <c r="I13" s="119"/>
    </row>
    <row r="14" spans="1:9" x14ac:dyDescent="0.25">
      <c r="A14" s="120" t="s">
        <v>806</v>
      </c>
      <c r="B14" s="6" t="s">
        <v>496</v>
      </c>
      <c r="C14" s="6" t="s">
        <v>761</v>
      </c>
      <c r="D14" s="143">
        <v>3.6788528458861638E-4</v>
      </c>
      <c r="E14" s="106">
        <f t="shared" si="0"/>
        <v>0.49998000079996785</v>
      </c>
      <c r="F14" s="96">
        <v>29500</v>
      </c>
      <c r="G14" s="96">
        <f t="shared" si="1"/>
        <v>10.852615895364183</v>
      </c>
      <c r="H14" s="119">
        <f t="shared" si="2"/>
        <v>3.6788528458861638E-4</v>
      </c>
      <c r="I14" s="119"/>
    </row>
    <row r="15" spans="1:9" x14ac:dyDescent="0.25">
      <c r="A15" s="120" t="s">
        <v>806</v>
      </c>
      <c r="B15" s="6" t="s">
        <v>496</v>
      </c>
      <c r="C15" s="6" t="s">
        <v>762</v>
      </c>
      <c r="D15" s="143">
        <v>2.9430822767089317E-4</v>
      </c>
      <c r="E15" s="106">
        <f t="shared" si="0"/>
        <v>0.39998400063997441</v>
      </c>
      <c r="F15" s="96">
        <v>66982.33</v>
      </c>
      <c r="G15" s="96">
        <f t="shared" si="1"/>
        <v>19.713450827566898</v>
      </c>
      <c r="H15" s="119">
        <f t="shared" si="2"/>
        <v>2.9430822767089317E-4</v>
      </c>
      <c r="I15" s="119"/>
    </row>
    <row r="16" spans="1:9" x14ac:dyDescent="0.25">
      <c r="A16" s="120" t="s">
        <v>806</v>
      </c>
      <c r="B16" s="6" t="s">
        <v>496</v>
      </c>
      <c r="C16" s="6" t="s">
        <v>763</v>
      </c>
      <c r="D16" s="143">
        <v>2.207311707531699E-4</v>
      </c>
      <c r="E16" s="106">
        <f t="shared" si="0"/>
        <v>0.29998800047998081</v>
      </c>
      <c r="F16" s="8">
        <v>21400</v>
      </c>
      <c r="G16" s="96">
        <f t="shared" si="1"/>
        <v>4.7236470541178361</v>
      </c>
      <c r="H16" s="119">
        <f t="shared" si="2"/>
        <v>2.207311707531699E-4</v>
      </c>
      <c r="I16" s="119"/>
    </row>
    <row r="17" spans="1:9" x14ac:dyDescent="0.25">
      <c r="A17" s="120" t="s">
        <v>806</v>
      </c>
      <c r="B17" s="6" t="s">
        <v>496</v>
      </c>
      <c r="C17" s="6" t="s">
        <v>764</v>
      </c>
      <c r="D17" s="143">
        <v>1.2360945562177517E-4</v>
      </c>
      <c r="E17" s="106">
        <f t="shared" si="0"/>
        <v>0.16799328026878929</v>
      </c>
      <c r="F17" s="25">
        <v>2500</v>
      </c>
      <c r="G17" s="96">
        <f t="shared" si="1"/>
        <v>0.30902363905443792</v>
      </c>
      <c r="H17" s="119">
        <f t="shared" si="2"/>
        <v>1.2360945562177517E-4</v>
      </c>
      <c r="I17" s="119"/>
    </row>
    <row r="18" spans="1:9" x14ac:dyDescent="0.25">
      <c r="A18" s="120" t="s">
        <v>806</v>
      </c>
      <c r="B18" s="6" t="s">
        <v>496</v>
      </c>
      <c r="C18" s="6" t="s">
        <v>87</v>
      </c>
      <c r="D18" s="143">
        <v>2.3544658213671454E-5</v>
      </c>
      <c r="E18" s="106">
        <f t="shared" si="0"/>
        <v>3.199872005119795E-2</v>
      </c>
      <c r="F18" s="96">
        <v>57016.43</v>
      </c>
      <c r="G18" s="96">
        <f t="shared" si="1"/>
        <v>1.3424323569137235</v>
      </c>
      <c r="H18" s="119">
        <f t="shared" si="2"/>
        <v>2.3544658213671454E-5</v>
      </c>
      <c r="I18" s="119"/>
    </row>
    <row r="19" spans="1:9" ht="16.5" x14ac:dyDescent="0.25">
      <c r="A19" s="120" t="s">
        <v>806</v>
      </c>
      <c r="B19" s="6" t="s">
        <v>496</v>
      </c>
      <c r="C19" s="6" t="s">
        <v>765</v>
      </c>
      <c r="D19" s="143">
        <v>8.8292468301267957E-6</v>
      </c>
      <c r="E19" s="106">
        <f t="shared" si="0"/>
        <v>1.1999520019199232E-2</v>
      </c>
      <c r="F19" s="72">
        <v>4561</v>
      </c>
      <c r="G19" s="96">
        <f t="shared" si="1"/>
        <v>4.0270194792208315E-2</v>
      </c>
      <c r="H19" s="119">
        <f t="shared" si="2"/>
        <v>8.8292468301267957E-6</v>
      </c>
      <c r="I19" s="119"/>
    </row>
    <row r="20" spans="1:9" hidden="1" x14ac:dyDescent="0.25">
      <c r="B20" s="154"/>
      <c r="C20" s="154"/>
      <c r="D20" s="143"/>
      <c r="E20" s="154"/>
      <c r="F20" s="154"/>
      <c r="G20" s="96"/>
      <c r="H20" s="119"/>
    </row>
    <row r="21" spans="1:9" s="146" customFormat="1" x14ac:dyDescent="0.25">
      <c r="B21" s="1792" t="s">
        <v>37</v>
      </c>
      <c r="C21" s="1792"/>
      <c r="D21" s="155">
        <v>7.3580000000000007E-2</v>
      </c>
      <c r="E21" s="156">
        <f>SUM(E5:E19)</f>
        <v>100</v>
      </c>
      <c r="F21" s="156"/>
      <c r="G21" s="765">
        <f>SUM(G5:G19)</f>
        <v>635.77424572739528</v>
      </c>
      <c r="H21" s="119">
        <f>SUM(H5:H19)</f>
        <v>7.3580000000000007E-2</v>
      </c>
    </row>
    <row r="23" spans="1:9" ht="25.5" x14ac:dyDescent="0.25">
      <c r="B23" s="1793" t="s">
        <v>50</v>
      </c>
      <c r="C23" s="1794"/>
      <c r="D23" s="158" t="s">
        <v>766</v>
      </c>
      <c r="E23" s="159"/>
      <c r="F23" s="159"/>
      <c r="G23" s="159"/>
    </row>
    <row r="24" spans="1:9" x14ac:dyDescent="0.25">
      <c r="B24" s="160" t="s">
        <v>38</v>
      </c>
      <c r="C24" s="161" t="s">
        <v>313</v>
      </c>
    </row>
    <row r="25" spans="1:9" x14ac:dyDescent="0.25">
      <c r="B25" s="162" t="s">
        <v>39</v>
      </c>
      <c r="C25" s="163" t="s">
        <v>800</v>
      </c>
    </row>
    <row r="26" spans="1:9" x14ac:dyDescent="0.25">
      <c r="B26" s="162" t="s">
        <v>40</v>
      </c>
      <c r="C26" s="163">
        <v>120</v>
      </c>
    </row>
    <row r="27" spans="1:9" x14ac:dyDescent="0.25">
      <c r="B27" s="162" t="s">
        <v>41</v>
      </c>
      <c r="C27" s="163">
        <v>0</v>
      </c>
    </row>
    <row r="28" spans="1:9" x14ac:dyDescent="0.25">
      <c r="B28" s="162" t="s">
        <v>42</v>
      </c>
      <c r="C28" s="163">
        <v>6</v>
      </c>
    </row>
    <row r="29" spans="1:9" x14ac:dyDescent="0.25">
      <c r="B29" s="162" t="s">
        <v>43</v>
      </c>
      <c r="C29" s="163">
        <v>1</v>
      </c>
    </row>
    <row r="30" spans="1:9" x14ac:dyDescent="0.25">
      <c r="B30" s="162" t="s">
        <v>44</v>
      </c>
      <c r="C30" s="163">
        <v>2</v>
      </c>
    </row>
    <row r="31" spans="1:9" x14ac:dyDescent="0.25">
      <c r="B31" s="162" t="s">
        <v>45</v>
      </c>
      <c r="C31" s="163">
        <v>4.2</v>
      </c>
    </row>
    <row r="32" spans="1:9" x14ac:dyDescent="0.25">
      <c r="B32" s="162" t="s">
        <v>46</v>
      </c>
      <c r="C32" s="163">
        <f>C31+C30+C29+C28</f>
        <v>13.2</v>
      </c>
    </row>
    <row r="34" spans="1:8" ht="25.5" x14ac:dyDescent="0.25">
      <c r="B34" s="1795" t="s">
        <v>47</v>
      </c>
      <c r="C34" s="1796"/>
      <c r="D34" s="1796"/>
      <c r="E34" s="1796"/>
      <c r="F34" s="1797"/>
      <c r="G34" s="789"/>
    </row>
    <row r="35" spans="1:8" ht="25.5" x14ac:dyDescent="0.25">
      <c r="B35" s="227" t="s">
        <v>0</v>
      </c>
      <c r="C35" s="227" t="s">
        <v>1</v>
      </c>
      <c r="D35" s="287" t="s">
        <v>2</v>
      </c>
      <c r="E35" s="792" t="s">
        <v>767</v>
      </c>
      <c r="F35" s="792" t="s">
        <v>747</v>
      </c>
      <c r="G35" s="790"/>
    </row>
    <row r="36" spans="1:8" x14ac:dyDescent="0.25">
      <c r="A36" s="120" t="s">
        <v>802</v>
      </c>
      <c r="B36" s="222" t="s">
        <v>420</v>
      </c>
      <c r="C36" s="222" t="s">
        <v>768</v>
      </c>
      <c r="D36" s="221">
        <v>0.22</v>
      </c>
      <c r="E36" s="225">
        <v>737</v>
      </c>
      <c r="F36" s="225">
        <f>E36*D36</f>
        <v>162.14000000000001</v>
      </c>
      <c r="G36" s="780"/>
    </row>
    <row r="37" spans="1:8" x14ac:dyDescent="0.25">
      <c r="A37" s="120" t="s">
        <v>802</v>
      </c>
      <c r="B37" s="222" t="s">
        <v>314</v>
      </c>
      <c r="C37" s="222" t="s">
        <v>315</v>
      </c>
      <c r="D37" s="221">
        <v>0.04</v>
      </c>
      <c r="E37" s="225">
        <v>600.71</v>
      </c>
      <c r="F37" s="225">
        <f>E37*D37</f>
        <v>24.028400000000001</v>
      </c>
      <c r="G37" s="780"/>
    </row>
    <row r="38" spans="1:8" x14ac:dyDescent="0.25">
      <c r="A38" s="120" t="s">
        <v>802</v>
      </c>
      <c r="B38" s="222" t="s">
        <v>172</v>
      </c>
      <c r="C38" s="222" t="s">
        <v>129</v>
      </c>
      <c r="D38" s="221">
        <v>0.04</v>
      </c>
      <c r="E38" s="225">
        <v>1244.5999999999999</v>
      </c>
      <c r="F38" s="225">
        <f>E38*D38</f>
        <v>49.783999999999999</v>
      </c>
      <c r="G38" s="780"/>
    </row>
    <row r="39" spans="1:8" x14ac:dyDescent="0.25">
      <c r="A39" s="120" t="s">
        <v>802</v>
      </c>
      <c r="B39" s="222" t="s">
        <v>422</v>
      </c>
      <c r="C39" s="222" t="s">
        <v>769</v>
      </c>
      <c r="D39" s="221">
        <v>1</v>
      </c>
      <c r="E39" s="225">
        <v>103</v>
      </c>
      <c r="F39" s="225">
        <f>E39*D39</f>
        <v>103</v>
      </c>
      <c r="G39" s="780"/>
    </row>
    <row r="40" spans="1:8" x14ac:dyDescent="0.25">
      <c r="B40" s="209"/>
      <c r="C40" s="209" t="s">
        <v>37</v>
      </c>
      <c r="D40" s="288"/>
      <c r="E40" s="220"/>
      <c r="F40" s="793">
        <f>SUM(F36:F39)</f>
        <v>338.95240000000001</v>
      </c>
      <c r="G40" s="791"/>
    </row>
    <row r="42" spans="1:8" x14ac:dyDescent="0.25">
      <c r="B42" s="1798" t="s">
        <v>803</v>
      </c>
      <c r="C42" s="1798"/>
      <c r="D42" s="1799">
        <f>F40+G21</f>
        <v>974.72664572739529</v>
      </c>
      <c r="E42" s="1799"/>
      <c r="F42" s="1799"/>
      <c r="G42" s="1799"/>
    </row>
    <row r="43" spans="1:8" x14ac:dyDescent="0.25">
      <c r="B43" s="1800" t="s">
        <v>48</v>
      </c>
      <c r="C43" s="1801"/>
      <c r="D43" s="1799">
        <f>+(921.6/1000)*130</f>
        <v>119.80799999999999</v>
      </c>
      <c r="E43" s="1799"/>
      <c r="F43" s="1799"/>
      <c r="G43" s="1799"/>
    </row>
    <row r="44" spans="1:8" x14ac:dyDescent="0.25">
      <c r="B44" s="1800" t="s">
        <v>804</v>
      </c>
      <c r="C44" s="1801"/>
      <c r="D44" s="1799">
        <f>+D42+D43</f>
        <v>1094.5346457273954</v>
      </c>
      <c r="E44" s="1799"/>
      <c r="F44" s="1799"/>
      <c r="G44" s="1799"/>
      <c r="H44" s="846" t="s">
        <v>805</v>
      </c>
    </row>
    <row r="45" spans="1:8" x14ac:dyDescent="0.25">
      <c r="B45" s="1798" t="s">
        <v>49</v>
      </c>
      <c r="C45" s="1798"/>
      <c r="D45" s="1799">
        <f>D44/H46</f>
        <v>1824.224409545659</v>
      </c>
      <c r="E45" s="1799"/>
      <c r="F45" s="1799"/>
      <c r="G45" s="1799"/>
      <c r="H45" s="301">
        <v>0.4</v>
      </c>
    </row>
    <row r="46" spans="1:8" ht="14.45" customHeight="1" x14ac:dyDescent="0.25">
      <c r="H46" s="413">
        <f>1-H45</f>
        <v>0.6</v>
      </c>
    </row>
  </sheetData>
  <mergeCells count="12">
    <mergeCell ref="B43:C43"/>
    <mergeCell ref="D43:G43"/>
    <mergeCell ref="B44:C44"/>
    <mergeCell ref="D44:G44"/>
    <mergeCell ref="B45:C45"/>
    <mergeCell ref="D45:G45"/>
    <mergeCell ref="B2:G2"/>
    <mergeCell ref="B21:C21"/>
    <mergeCell ref="B23:C23"/>
    <mergeCell ref="B34:F34"/>
    <mergeCell ref="B42:C42"/>
    <mergeCell ref="D42:G4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D461-78B2-4AAD-A30F-2BC5E39AB669}">
  <sheetPr codeName="Hoja32"/>
  <dimension ref="B2:K46"/>
  <sheetViews>
    <sheetView topLeftCell="A21" zoomScale="70" zoomScaleNormal="70" workbookViewId="0">
      <selection activeCell="H27" sqref="H27"/>
    </sheetView>
  </sheetViews>
  <sheetFormatPr baseColWidth="10" defaultColWidth="11.5703125" defaultRowHeight="13.5" x14ac:dyDescent="0.25"/>
  <cols>
    <col min="1" max="2" width="11.5703125" style="120"/>
    <col min="3" max="3" width="67.42578125" style="120" bestFit="1" customWidth="1"/>
    <col min="4" max="4" width="11.5703125" style="119"/>
    <col min="5" max="5" width="11.5703125" style="120"/>
    <col min="6" max="7" width="13.28515625" style="120" customWidth="1"/>
    <col min="8" max="8" width="12.5703125" style="120" bestFit="1" customWidth="1"/>
    <col min="9" max="9" width="14.42578125" style="120" bestFit="1" customWidth="1"/>
    <col min="10" max="10" width="18.85546875" style="120" bestFit="1" customWidth="1"/>
    <col min="11" max="16384" width="11.5703125" style="120"/>
  </cols>
  <sheetData>
    <row r="2" spans="2:11" ht="25.5" x14ac:dyDescent="0.25">
      <c r="B2" s="1743" t="s">
        <v>429</v>
      </c>
      <c r="C2" s="1743"/>
      <c r="D2" s="1743"/>
      <c r="E2" s="1743"/>
      <c r="F2" s="1743"/>
      <c r="G2" s="1743"/>
      <c r="H2" s="1743"/>
      <c r="I2" s="1743"/>
    </row>
    <row r="4" spans="2:11" ht="25.5" x14ac:dyDescent="0.25">
      <c r="B4" s="117" t="s">
        <v>0</v>
      </c>
      <c r="C4" s="117" t="s">
        <v>1</v>
      </c>
      <c r="D4" s="142" t="s">
        <v>2</v>
      </c>
      <c r="E4" s="117" t="s">
        <v>3</v>
      </c>
      <c r="F4" s="149" t="s">
        <v>628</v>
      </c>
      <c r="G4" s="149" t="s">
        <v>627</v>
      </c>
      <c r="H4" s="118"/>
      <c r="I4" s="118"/>
      <c r="J4" s="118" t="s">
        <v>3</v>
      </c>
      <c r="K4" s="281">
        <v>6.9000000000000006E-2</v>
      </c>
    </row>
    <row r="5" spans="2:11" ht="16.5" x14ac:dyDescent="0.25">
      <c r="B5" s="6" t="s">
        <v>95</v>
      </c>
      <c r="C5" s="6" t="s">
        <v>96</v>
      </c>
      <c r="D5" s="143">
        <v>3.2344766669486581E-2</v>
      </c>
      <c r="E5" s="96">
        <f>(D5*100)/$D$19</f>
        <v>46.876473434038502</v>
      </c>
      <c r="F5" s="96">
        <v>15045</v>
      </c>
      <c r="G5" s="96">
        <f>F5*D5</f>
        <v>486.62701454242563</v>
      </c>
      <c r="H5" s="88"/>
      <c r="I5" s="96"/>
      <c r="J5" s="631" t="e">
        <f>((F5/H5)*100)-100</f>
        <v>#DIV/0!</v>
      </c>
      <c r="K5" s="277">
        <f>$K$4*E5%</f>
        <v>3.2344766669486567E-2</v>
      </c>
    </row>
    <row r="6" spans="2:11" x14ac:dyDescent="0.25">
      <c r="B6" s="6" t="s">
        <v>4</v>
      </c>
      <c r="C6" s="6" t="s">
        <v>53</v>
      </c>
      <c r="D6" s="143">
        <v>1.8964234694914154E-2</v>
      </c>
      <c r="E6" s="96">
        <f t="shared" ref="E6:E17" si="0">(D6*100)/$D$19</f>
        <v>27.484398108571227</v>
      </c>
      <c r="F6" s="96">
        <v>7</v>
      </c>
      <c r="G6" s="96">
        <f t="shared" ref="G6:G17" si="1">F6*D6</f>
        <v>0.13274964286439908</v>
      </c>
      <c r="H6" s="95"/>
      <c r="I6" s="96"/>
      <c r="J6" s="631" t="e">
        <f t="shared" ref="J6:J17" si="2">((F6/H6)*100)-100</f>
        <v>#DIV/0!</v>
      </c>
      <c r="K6" s="277">
        <f t="shared" ref="K6:K17" si="3">$K$4*E6%</f>
        <v>1.896423469491415E-2</v>
      </c>
    </row>
    <row r="7" spans="2:11" x14ac:dyDescent="0.25">
      <c r="B7" s="6" t="s">
        <v>133</v>
      </c>
      <c r="C7" s="6" t="s">
        <v>118</v>
      </c>
      <c r="D7" s="143">
        <v>8.0555735878887671E-3</v>
      </c>
      <c r="E7" s="96">
        <f t="shared" si="0"/>
        <v>11.674744330273569</v>
      </c>
      <c r="F7" s="96">
        <v>7022.73</v>
      </c>
      <c r="G7" s="96">
        <f t="shared" si="1"/>
        <v>56.572118302874081</v>
      </c>
      <c r="H7" s="95"/>
      <c r="I7" s="96"/>
      <c r="J7" s="631" t="e">
        <f t="shared" si="2"/>
        <v>#DIV/0!</v>
      </c>
      <c r="K7" s="277">
        <f t="shared" si="3"/>
        <v>8.0555735878887636E-3</v>
      </c>
    </row>
    <row r="8" spans="2:11" x14ac:dyDescent="0.25">
      <c r="B8" s="6" t="s">
        <v>433</v>
      </c>
      <c r="C8" s="6" t="s">
        <v>434</v>
      </c>
      <c r="D8" s="143">
        <v>2.0954152586042797E-3</v>
      </c>
      <c r="E8" s="96">
        <f t="shared" si="0"/>
        <v>3.0368337081221428</v>
      </c>
      <c r="F8" s="96">
        <v>16071</v>
      </c>
      <c r="G8" s="96">
        <f t="shared" si="1"/>
        <v>33.67541862102938</v>
      </c>
      <c r="H8" s="95"/>
      <c r="I8" s="96"/>
      <c r="J8" s="631" t="e">
        <f t="shared" si="2"/>
        <v>#DIV/0!</v>
      </c>
      <c r="K8" s="277">
        <f t="shared" si="3"/>
        <v>2.0954152586042788E-3</v>
      </c>
    </row>
    <row r="9" spans="2:11" x14ac:dyDescent="0.25">
      <c r="B9" s="6"/>
      <c r="C9" s="154" t="s">
        <v>454</v>
      </c>
      <c r="D9" s="143">
        <v>5.7079000004976298E-3</v>
      </c>
      <c r="E9" s="96">
        <f t="shared" si="0"/>
        <v>8.2723188413009083</v>
      </c>
      <c r="F9" s="96">
        <v>11000</v>
      </c>
      <c r="G9" s="96">
        <f t="shared" si="1"/>
        <v>62.786900005473932</v>
      </c>
      <c r="H9" s="95"/>
      <c r="I9" s="96"/>
      <c r="J9" s="631" t="e">
        <f t="shared" si="2"/>
        <v>#DIV/0!</v>
      </c>
      <c r="K9" s="277">
        <f t="shared" si="3"/>
        <v>5.7079000004976272E-3</v>
      </c>
    </row>
    <row r="10" spans="2:11" x14ac:dyDescent="0.25">
      <c r="B10" s="6" t="s">
        <v>11</v>
      </c>
      <c r="C10" s="6" t="s">
        <v>12</v>
      </c>
      <c r="D10" s="143">
        <v>9.6499386909407604E-4</v>
      </c>
      <c r="E10" s="96">
        <f t="shared" si="0"/>
        <v>1.3985418392667761</v>
      </c>
      <c r="F10" s="96">
        <v>16693.95</v>
      </c>
      <c r="G10" s="96">
        <f t="shared" si="1"/>
        <v>16.10955940096305</v>
      </c>
      <c r="H10" s="95"/>
      <c r="I10" s="96"/>
      <c r="J10" s="631" t="e">
        <f t="shared" si="2"/>
        <v>#DIV/0!</v>
      </c>
      <c r="K10" s="277">
        <f t="shared" si="3"/>
        <v>9.649938690940756E-4</v>
      </c>
    </row>
    <row r="11" spans="2:11" x14ac:dyDescent="0.25">
      <c r="B11" s="6" t="s">
        <v>13</v>
      </c>
      <c r="C11" s="6" t="s">
        <v>14</v>
      </c>
      <c r="D11" s="143">
        <v>3.3085504083225459E-4</v>
      </c>
      <c r="E11" s="96">
        <f t="shared" si="0"/>
        <v>0.4795000591771803</v>
      </c>
      <c r="F11" s="32">
        <v>34415.230000000003</v>
      </c>
      <c r="G11" s="96">
        <f t="shared" si="1"/>
        <v>11.386452326901434</v>
      </c>
      <c r="H11" s="95"/>
      <c r="I11" s="96"/>
      <c r="J11" s="631" t="e">
        <f t="shared" si="2"/>
        <v>#DIV/0!</v>
      </c>
      <c r="K11" s="277">
        <f t="shared" si="3"/>
        <v>3.3085504083225442E-4</v>
      </c>
    </row>
    <row r="12" spans="2:11" ht="16.5" x14ac:dyDescent="0.25">
      <c r="B12" s="6" t="s">
        <v>25</v>
      </c>
      <c r="C12" s="6" t="s">
        <v>26</v>
      </c>
      <c r="D12" s="143">
        <v>2.0402727517989034E-4</v>
      </c>
      <c r="E12" s="96">
        <f t="shared" si="0"/>
        <v>0.29569170315926119</v>
      </c>
      <c r="F12" s="25">
        <v>61143.15</v>
      </c>
      <c r="G12" s="96">
        <f t="shared" si="1"/>
        <v>12.474870290415312</v>
      </c>
      <c r="H12" s="88"/>
      <c r="I12" s="96"/>
      <c r="J12" s="631" t="e">
        <f t="shared" si="2"/>
        <v>#DIV/0!</v>
      </c>
      <c r="K12" s="277">
        <f t="shared" si="3"/>
        <v>2.0402727517989026E-4</v>
      </c>
    </row>
    <row r="13" spans="2:11" x14ac:dyDescent="0.25">
      <c r="B13" s="6" t="s">
        <v>17</v>
      </c>
      <c r="C13" s="6" t="s">
        <v>18</v>
      </c>
      <c r="D13" s="143">
        <v>1.4199195502384259E-4</v>
      </c>
      <c r="E13" s="96">
        <f t="shared" si="0"/>
        <v>0.20578544206353988</v>
      </c>
      <c r="F13" s="96">
        <v>878</v>
      </c>
      <c r="G13" s="96">
        <f t="shared" si="1"/>
        <v>0.12466893651093379</v>
      </c>
      <c r="H13" s="95"/>
      <c r="I13" s="96"/>
      <c r="J13" s="631" t="e">
        <f t="shared" si="2"/>
        <v>#DIV/0!</v>
      </c>
      <c r="K13" s="277">
        <f t="shared" si="3"/>
        <v>1.4199195502384254E-4</v>
      </c>
    </row>
    <row r="14" spans="2:11" x14ac:dyDescent="0.25">
      <c r="B14" s="6" t="s">
        <v>29</v>
      </c>
      <c r="C14" s="6" t="s">
        <v>30</v>
      </c>
      <c r="D14" s="143">
        <v>1.1469641415518161E-4</v>
      </c>
      <c r="E14" s="96">
        <f t="shared" si="0"/>
        <v>0.16622668718142253</v>
      </c>
      <c r="F14" s="96">
        <v>2500</v>
      </c>
      <c r="G14" s="96">
        <f t="shared" si="1"/>
        <v>0.28674103538795404</v>
      </c>
      <c r="H14" s="95"/>
      <c r="I14" s="96"/>
      <c r="J14" s="631" t="e">
        <f t="shared" si="2"/>
        <v>#DIV/0!</v>
      </c>
      <c r="K14" s="277">
        <f t="shared" si="3"/>
        <v>1.1469641415518156E-4</v>
      </c>
    </row>
    <row r="15" spans="2:11" x14ac:dyDescent="0.25">
      <c r="B15" s="6" t="s">
        <v>86</v>
      </c>
      <c r="C15" s="6" t="s">
        <v>87</v>
      </c>
      <c r="D15" s="143">
        <v>4.1356880104031823E-5</v>
      </c>
      <c r="E15" s="96">
        <f t="shared" si="0"/>
        <v>5.9937507397147538E-2</v>
      </c>
      <c r="F15" s="96">
        <v>53429.29</v>
      </c>
      <c r="G15" s="96">
        <f t="shared" si="1"/>
        <v>2.2096687405735467</v>
      </c>
      <c r="H15" s="95"/>
      <c r="I15" s="96"/>
      <c r="J15" s="631" t="e">
        <f t="shared" si="2"/>
        <v>#DIV/0!</v>
      </c>
      <c r="K15" s="277">
        <f t="shared" si="3"/>
        <v>4.1356880104031803E-5</v>
      </c>
    </row>
    <row r="16" spans="2:11" ht="16.5" x14ac:dyDescent="0.25">
      <c r="B16" s="6" t="s">
        <v>31</v>
      </c>
      <c r="C16" s="6" t="s">
        <v>32</v>
      </c>
      <c r="D16" s="143">
        <v>1.764560217772025E-5</v>
      </c>
      <c r="E16" s="96">
        <f t="shared" si="0"/>
        <v>2.5573336489449625E-2</v>
      </c>
      <c r="F16" s="8">
        <v>121899</v>
      </c>
      <c r="G16" s="96">
        <f t="shared" si="1"/>
        <v>2.1509812598619207</v>
      </c>
      <c r="H16" s="88"/>
      <c r="I16" s="96"/>
      <c r="J16" s="631" t="e">
        <f t="shared" si="2"/>
        <v>#DIV/0!</v>
      </c>
      <c r="K16" s="277">
        <f t="shared" si="3"/>
        <v>1.7645602177720243E-5</v>
      </c>
    </row>
    <row r="17" spans="2:11" x14ac:dyDescent="0.25">
      <c r="B17" s="6" t="s">
        <v>149</v>
      </c>
      <c r="C17" s="6" t="s">
        <v>416</v>
      </c>
      <c r="D17" s="143">
        <v>1.6542752041612732E-5</v>
      </c>
      <c r="E17" s="96">
        <f t="shared" si="0"/>
        <v>2.3975002958859019E-2</v>
      </c>
      <c r="F17" s="8">
        <v>41100</v>
      </c>
      <c r="G17" s="96">
        <f t="shared" si="1"/>
        <v>0.67990710891028328</v>
      </c>
      <c r="H17" s="95"/>
      <c r="I17" s="96"/>
      <c r="J17" s="631" t="e">
        <f t="shared" si="2"/>
        <v>#DIV/0!</v>
      </c>
      <c r="K17" s="277">
        <f t="shared" si="3"/>
        <v>1.6542752041612725E-5</v>
      </c>
    </row>
    <row r="18" spans="2:11" hidden="1" x14ac:dyDescent="0.25">
      <c r="B18" s="154"/>
      <c r="C18" s="154"/>
      <c r="D18" s="143"/>
      <c r="E18" s="154"/>
      <c r="F18" s="154"/>
      <c r="G18" s="154"/>
      <c r="H18" s="95"/>
      <c r="I18" s="96"/>
      <c r="J18" s="154"/>
    </row>
    <row r="19" spans="2:11" s="146" customFormat="1" x14ac:dyDescent="0.25">
      <c r="B19" s="1792" t="s">
        <v>37</v>
      </c>
      <c r="C19" s="1792"/>
      <c r="D19" s="155">
        <f>SUM(D5:D17)</f>
        <v>6.9000000000000034E-2</v>
      </c>
      <c r="E19" s="156">
        <f>SUM(E5:E17)</f>
        <v>99.999999999999986</v>
      </c>
      <c r="F19" s="156"/>
      <c r="G19" s="279">
        <f>SUM(G5:G17)</f>
        <v>685.21705021419189</v>
      </c>
      <c r="H19" s="156"/>
      <c r="I19" s="157">
        <f>SUM(I5:I17)</f>
        <v>0</v>
      </c>
      <c r="J19" s="156" t="e">
        <f>((G19/I19)*100)-100</f>
        <v>#DIV/0!</v>
      </c>
    </row>
    <row r="21" spans="2:11" ht="25.5" x14ac:dyDescent="0.25">
      <c r="B21" s="1793" t="s">
        <v>50</v>
      </c>
      <c r="C21" s="1794"/>
      <c r="D21" s="158"/>
      <c r="E21" s="159"/>
      <c r="F21" s="159"/>
      <c r="G21" s="159"/>
      <c r="H21" s="159"/>
      <c r="I21" s="159"/>
      <c r="J21" s="159"/>
    </row>
    <row r="22" spans="2:11" x14ac:dyDescent="0.25">
      <c r="B22" s="160" t="s">
        <v>38</v>
      </c>
      <c r="C22" s="161" t="s">
        <v>430</v>
      </c>
      <c r="H22" s="146"/>
    </row>
    <row r="23" spans="2:11" x14ac:dyDescent="0.25">
      <c r="B23" s="162" t="s">
        <v>39</v>
      </c>
      <c r="C23" s="163" t="s">
        <v>431</v>
      </c>
      <c r="H23" s="146"/>
    </row>
    <row r="24" spans="2:11" x14ac:dyDescent="0.25">
      <c r="B24" s="162" t="s">
        <v>40</v>
      </c>
      <c r="C24" s="163" t="s">
        <v>432</v>
      </c>
      <c r="H24" s="146"/>
    </row>
    <row r="25" spans="2:11" x14ac:dyDescent="0.25">
      <c r="B25" s="162" t="s">
        <v>41</v>
      </c>
      <c r="C25" s="163">
        <v>0</v>
      </c>
      <c r="H25" s="146"/>
    </row>
    <row r="26" spans="2:11" x14ac:dyDescent="0.25">
      <c r="B26" s="162" t="s">
        <v>42</v>
      </c>
      <c r="C26" s="163">
        <v>9</v>
      </c>
      <c r="H26" s="146"/>
    </row>
    <row r="27" spans="2:11" x14ac:dyDescent="0.25">
      <c r="B27" s="162" t="s">
        <v>43</v>
      </c>
      <c r="C27" s="163">
        <v>2</v>
      </c>
      <c r="H27" s="146"/>
    </row>
    <row r="28" spans="2:11" x14ac:dyDescent="0.25">
      <c r="B28" s="162" t="s">
        <v>44</v>
      </c>
      <c r="C28" s="163">
        <v>7</v>
      </c>
      <c r="H28" s="146"/>
    </row>
    <row r="29" spans="2:11" x14ac:dyDescent="0.25">
      <c r="B29" s="162" t="s">
        <v>45</v>
      </c>
      <c r="C29" s="163">
        <v>20</v>
      </c>
      <c r="H29" s="146"/>
    </row>
    <row r="30" spans="2:11" x14ac:dyDescent="0.25">
      <c r="B30" s="162" t="s">
        <v>46</v>
      </c>
      <c r="C30" s="163">
        <f>C29+C28+C27+C26</f>
        <v>38</v>
      </c>
      <c r="H30" s="146"/>
    </row>
    <row r="31" spans="2:11" x14ac:dyDescent="0.25">
      <c r="H31" s="159"/>
      <c r="I31" s="159"/>
    </row>
    <row r="32" spans="2:11" ht="25.5" x14ac:dyDescent="0.25">
      <c r="B32" s="1802" t="s">
        <v>47</v>
      </c>
      <c r="C32" s="1803"/>
      <c r="D32" s="1803"/>
      <c r="E32" s="1803"/>
      <c r="F32" s="1803"/>
      <c r="G32" s="1803"/>
      <c r="H32" s="1803"/>
      <c r="I32" s="1803"/>
    </row>
    <row r="33" spans="2:9" ht="25.5" x14ac:dyDescent="0.25">
      <c r="B33" s="132" t="s">
        <v>0</v>
      </c>
      <c r="C33" s="132" t="s">
        <v>1</v>
      </c>
      <c r="D33" s="164" t="s">
        <v>2</v>
      </c>
      <c r="E33" s="150" t="s">
        <v>628</v>
      </c>
      <c r="F33" s="150" t="s">
        <v>627</v>
      </c>
      <c r="G33" s="2" t="s">
        <v>536</v>
      </c>
      <c r="H33" s="2" t="s">
        <v>512</v>
      </c>
      <c r="I33" s="138" t="s">
        <v>3</v>
      </c>
    </row>
    <row r="34" spans="2:9" x14ac:dyDescent="0.25">
      <c r="B34" s="165" t="s">
        <v>435</v>
      </c>
      <c r="C34" s="165" t="s">
        <v>436</v>
      </c>
      <c r="D34" s="166">
        <v>0.03</v>
      </c>
      <c r="E34" s="167">
        <v>2381</v>
      </c>
      <c r="F34" s="167">
        <f>E34*D34</f>
        <v>71.429999999999993</v>
      </c>
      <c r="G34" s="167">
        <v>2510</v>
      </c>
      <c r="H34" s="167">
        <f>G34*D34</f>
        <v>75.3</v>
      </c>
      <c r="I34" s="270">
        <f>((E34/G34)*100)-100</f>
        <v>-5.1394422310756909</v>
      </c>
    </row>
    <row r="35" spans="2:9" x14ac:dyDescent="0.25">
      <c r="B35" s="165" t="s">
        <v>70</v>
      </c>
      <c r="C35" s="165" t="s">
        <v>71</v>
      </c>
      <c r="D35" s="166">
        <v>0.1</v>
      </c>
      <c r="E35" s="167">
        <v>28</v>
      </c>
      <c r="F35" s="167">
        <f>E35*D35</f>
        <v>2.8000000000000003</v>
      </c>
      <c r="G35" s="167">
        <v>27</v>
      </c>
      <c r="H35" s="167">
        <f>G35*D35</f>
        <v>2.7</v>
      </c>
      <c r="I35" s="270">
        <f>((E35/G35)*100)-100</f>
        <v>3.7037037037036953</v>
      </c>
    </row>
    <row r="36" spans="2:9" x14ac:dyDescent="0.25">
      <c r="B36" s="165" t="s">
        <v>437</v>
      </c>
      <c r="C36" s="165" t="s">
        <v>438</v>
      </c>
      <c r="D36" s="166">
        <v>0.09</v>
      </c>
      <c r="E36" s="167">
        <v>954</v>
      </c>
      <c r="F36" s="167">
        <f>E36*D36</f>
        <v>85.86</v>
      </c>
      <c r="G36" s="167">
        <v>954</v>
      </c>
      <c r="H36" s="167">
        <f>G36*D36</f>
        <v>85.86</v>
      </c>
      <c r="I36" s="270">
        <f>((E36/G36)*100)-100</f>
        <v>0</v>
      </c>
    </row>
    <row r="37" spans="2:9" x14ac:dyDescent="0.25">
      <c r="B37" s="165" t="s">
        <v>128</v>
      </c>
      <c r="C37" s="165" t="s">
        <v>129</v>
      </c>
      <c r="D37" s="166">
        <v>0.09</v>
      </c>
      <c r="E37" s="167">
        <v>1399.05</v>
      </c>
      <c r="F37" s="167">
        <f>E37*D37</f>
        <v>125.91449999999999</v>
      </c>
      <c r="G37" s="167">
        <v>1350</v>
      </c>
      <c r="H37" s="167">
        <f>G37*D37</f>
        <v>121.5</v>
      </c>
      <c r="I37" s="270">
        <f>((E37/G37)*100)-100</f>
        <v>3.6333333333333258</v>
      </c>
    </row>
    <row r="38" spans="2:9" x14ac:dyDescent="0.25">
      <c r="B38" s="132"/>
      <c r="C38" s="132" t="s">
        <v>37</v>
      </c>
      <c r="D38" s="164"/>
      <c r="E38" s="133"/>
      <c r="F38" s="134">
        <f>SUM(F34:F37)</f>
        <v>286.00449999999995</v>
      </c>
      <c r="G38" s="133"/>
      <c r="H38" s="133">
        <f>SUM(H34:H37)</f>
        <v>285.36</v>
      </c>
      <c r="I38" s="133">
        <f>((F38/H38)*100)-100</f>
        <v>0.22585506027472491</v>
      </c>
    </row>
    <row r="39" spans="2:9" x14ac:dyDescent="0.25">
      <c r="H39" s="146"/>
    </row>
    <row r="40" spans="2:9" x14ac:dyDescent="0.25">
      <c r="B40" s="1798" t="s">
        <v>439</v>
      </c>
      <c r="C40" s="1798"/>
      <c r="D40" s="1799">
        <f>+F38+G19</f>
        <v>971.22155021419189</v>
      </c>
      <c r="E40" s="1799"/>
      <c r="F40" s="1799"/>
      <c r="G40" s="1799"/>
      <c r="H40" s="1799"/>
      <c r="I40" s="337">
        <f>H38+I19</f>
        <v>285.36</v>
      </c>
    </row>
    <row r="41" spans="2:9" x14ac:dyDescent="0.25">
      <c r="B41" s="1800" t="s">
        <v>48</v>
      </c>
      <c r="C41" s="1801"/>
      <c r="D41" s="1799">
        <f>+(921.6/1000)*50</f>
        <v>46.08</v>
      </c>
      <c r="E41" s="1799"/>
      <c r="F41" s="1799"/>
      <c r="G41" s="1799"/>
      <c r="H41" s="1799"/>
      <c r="I41" s="170">
        <v>46</v>
      </c>
    </row>
    <row r="42" spans="2:9" x14ac:dyDescent="0.25">
      <c r="B42" s="1800" t="s">
        <v>440</v>
      </c>
      <c r="C42" s="1801"/>
      <c r="D42" s="1799">
        <f>+D40+D41</f>
        <v>1017.3015502141919</v>
      </c>
      <c r="E42" s="1799"/>
      <c r="F42" s="1799"/>
      <c r="G42" s="1799"/>
      <c r="H42" s="1799"/>
      <c r="I42" s="338">
        <f>+I41+I40</f>
        <v>331.36</v>
      </c>
    </row>
    <row r="43" spans="2:9" x14ac:dyDescent="0.25">
      <c r="B43" s="1798" t="s">
        <v>49</v>
      </c>
      <c r="C43" s="1798"/>
      <c r="D43" s="1799">
        <f>D42/I44</f>
        <v>1400.2774263099684</v>
      </c>
      <c r="E43" s="1799"/>
      <c r="F43" s="1799"/>
      <c r="G43" s="1799"/>
      <c r="H43" s="1799"/>
      <c r="I43" s="403">
        <v>0.27350000000000002</v>
      </c>
    </row>
    <row r="44" spans="2:9" ht="14.45" customHeight="1" x14ac:dyDescent="0.25">
      <c r="H44" s="146"/>
      <c r="I44" s="172">
        <f>1-I43</f>
        <v>0.72649999999999992</v>
      </c>
    </row>
    <row r="45" spans="2:9" x14ac:dyDescent="0.25">
      <c r="H45" s="146"/>
    </row>
    <row r="46" spans="2:9" x14ac:dyDescent="0.25">
      <c r="H46" s="146"/>
    </row>
  </sheetData>
  <mergeCells count="12">
    <mergeCell ref="B41:C41"/>
    <mergeCell ref="D41:H41"/>
    <mergeCell ref="B42:C42"/>
    <mergeCell ref="D42:H42"/>
    <mergeCell ref="B43:C43"/>
    <mergeCell ref="D43:H43"/>
    <mergeCell ref="B2:I2"/>
    <mergeCell ref="B19:C19"/>
    <mergeCell ref="B21:C21"/>
    <mergeCell ref="B32:I32"/>
    <mergeCell ref="B40:C40"/>
    <mergeCell ref="D40:H4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ADE2-7214-4A47-A8DD-6CE44D2068DB}">
  <sheetPr codeName="Hoja102">
    <tabColor rgb="FF7030A0"/>
  </sheetPr>
  <dimension ref="B2:M48"/>
  <sheetViews>
    <sheetView topLeftCell="A34" zoomScaleNormal="100" workbookViewId="0">
      <selection activeCell="E36" sqref="E36"/>
    </sheetView>
  </sheetViews>
  <sheetFormatPr baseColWidth="10" defaultColWidth="11.5703125" defaultRowHeight="13.5" x14ac:dyDescent="0.25"/>
  <cols>
    <col min="1" max="1" width="10.7109375" style="120" customWidth="1"/>
    <col min="2" max="2" width="11.5703125" style="120"/>
    <col min="3" max="3" width="55" style="120" customWidth="1"/>
    <col min="4" max="4" width="11.5703125" style="119" customWidth="1"/>
    <col min="5" max="5" width="11.5703125" style="120" customWidth="1"/>
    <col min="6" max="6" width="12.85546875" style="120" customWidth="1"/>
    <col min="7" max="7" width="11.5703125" style="120" customWidth="1"/>
    <col min="8" max="8" width="17.140625" style="120" customWidth="1"/>
    <col min="9" max="9" width="14.28515625" style="120" customWidth="1"/>
    <col min="10" max="10" width="11.140625" style="120" customWidth="1"/>
    <col min="11" max="11" width="11.5703125" style="120" customWidth="1"/>
    <col min="12" max="12" width="11.5703125" style="120"/>
    <col min="13" max="13" width="14.42578125" style="120" bestFit="1" customWidth="1"/>
    <col min="14" max="16384" width="11.5703125" style="120"/>
  </cols>
  <sheetData>
    <row r="2" spans="2:13" ht="25.5" x14ac:dyDescent="0.25">
      <c r="B2" s="1743" t="s">
        <v>947</v>
      </c>
      <c r="C2" s="1743"/>
      <c r="D2" s="1743"/>
      <c r="E2" s="1743"/>
      <c r="F2" s="1743"/>
      <c r="G2" s="1743"/>
      <c r="H2" s="1743"/>
      <c r="I2" s="1743"/>
      <c r="J2" s="43"/>
    </row>
    <row r="4" spans="2:13" ht="25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367">
        <f>+D23/1000</f>
        <v>0.53760000000000008</v>
      </c>
      <c r="L4" s="1310">
        <v>252</v>
      </c>
      <c r="M4" s="1373" t="s">
        <v>1024</v>
      </c>
    </row>
    <row r="5" spans="2:13" x14ac:dyDescent="0.25">
      <c r="B5" s="4">
        <f>VLOOKUP(C5,[1]Hoja1!$B$2:$C$260,2,FALSE)</f>
        <v>1122008</v>
      </c>
      <c r="C5" s="6" t="s">
        <v>1028</v>
      </c>
      <c r="D5" s="166">
        <v>0.19199846400000004</v>
      </c>
      <c r="E5" s="167">
        <v>35.713999999999999</v>
      </c>
      <c r="F5" s="1236">
        <f>VLOOKUP(B5,[2]Hoja1!$C$2:$E$279,3,FALSE)</f>
        <v>12059.2</v>
      </c>
      <c r="G5" s="96">
        <f>F5*D5</f>
        <v>2315.3478770688007</v>
      </c>
      <c r="H5" s="927">
        <v>12498.88</v>
      </c>
      <c r="I5" s="805">
        <v>2739.2440320000001</v>
      </c>
      <c r="J5" s="248">
        <f>((F5/H5)*100)-100</f>
        <v>-3.5177551908650884</v>
      </c>
      <c r="K5" s="146">
        <f>$K$4*E5%</f>
        <v>0.19199846400000004</v>
      </c>
      <c r="L5" s="178">
        <f>+$L$4*E5%</f>
        <v>89.999279999999999</v>
      </c>
      <c r="M5" s="1231">
        <f>L5*F5</f>
        <v>1085319.3173760001</v>
      </c>
    </row>
    <row r="6" spans="2:13" x14ac:dyDescent="0.25">
      <c r="B6" s="4">
        <f>VLOOKUP(C6,[1]Hoja1!$B$2:$C$260,2,FALSE)</f>
        <v>1112001</v>
      </c>
      <c r="C6" s="6" t="s">
        <v>797</v>
      </c>
      <c r="D6" s="143">
        <v>8.1064704000000015E-2</v>
      </c>
      <c r="E6" s="106">
        <v>15.079000000000001</v>
      </c>
      <c r="F6" s="1236">
        <f>VLOOKUP(B6,[2]Hoja1!$C$2:$E$279,3,FALSE)</f>
        <v>3663.96</v>
      </c>
      <c r="G6" s="96">
        <f t="shared" ref="G6:G20" si="0">F6*D6</f>
        <v>297.01783286784007</v>
      </c>
      <c r="H6" s="896">
        <v>4222.72</v>
      </c>
      <c r="I6" s="96">
        <v>332.98611558912</v>
      </c>
      <c r="J6" s="233">
        <f t="shared" ref="J6:J19" si="1">((F6/H6)*100)-100</f>
        <v>-13.232229463473786</v>
      </c>
      <c r="K6" s="146">
        <f t="shared" ref="K6:K20" si="2">$K$4*E6%</f>
        <v>8.1064704000000015E-2</v>
      </c>
      <c r="L6" s="178">
        <f t="shared" ref="L6:L18" si="3">+$L$4*E6%</f>
        <v>37.999079999999999</v>
      </c>
      <c r="M6" s="1231">
        <f t="shared" ref="M6:M20" si="4">L6*F6</f>
        <v>139227.1091568</v>
      </c>
    </row>
    <row r="7" spans="2:13" x14ac:dyDescent="0.25">
      <c r="B7" s="4">
        <f>VLOOKUP(C7,[1]Hoja1!$B$2:$C$260,2,FALSE)</f>
        <v>1131002</v>
      </c>
      <c r="C7" s="6" t="s">
        <v>663</v>
      </c>
      <c r="D7" s="143">
        <v>0.14913024</v>
      </c>
      <c r="E7" s="106">
        <v>27.74</v>
      </c>
      <c r="F7" s="1236">
        <f>VLOOKUP(B7,[2]Hoja1!$C$2:$E$279,3,FALSE)</f>
        <v>0</v>
      </c>
      <c r="G7" s="96">
        <f t="shared" si="0"/>
        <v>0</v>
      </c>
      <c r="H7" s="896">
        <v>0</v>
      </c>
      <c r="I7" s="96">
        <v>0</v>
      </c>
      <c r="J7" s="233" t="e">
        <f t="shared" si="1"/>
        <v>#DIV/0!</v>
      </c>
      <c r="K7" s="146">
        <f t="shared" si="2"/>
        <v>0.14913024</v>
      </c>
      <c r="L7" s="178">
        <f t="shared" si="3"/>
        <v>69.904799999999994</v>
      </c>
      <c r="M7" s="1231">
        <f t="shared" si="4"/>
        <v>0</v>
      </c>
    </row>
    <row r="8" spans="2:13" x14ac:dyDescent="0.25">
      <c r="B8" s="4">
        <f>VLOOKUP(C8,[1]Hoja1!$B$2:$C$260,2,FALSE)</f>
        <v>1230006</v>
      </c>
      <c r="C8" s="6" t="s">
        <v>1153</v>
      </c>
      <c r="D8" s="143">
        <v>1.0241280000000002E-2</v>
      </c>
      <c r="E8" s="106">
        <v>1.905</v>
      </c>
      <c r="F8" s="1236">
        <f>VLOOKUP(B8,[2]Hoja1!$C$2:$E$279,3,FALSE)</f>
        <v>44693.38</v>
      </c>
      <c r="G8" s="96">
        <f t="shared" si="0"/>
        <v>457.71741872640007</v>
      </c>
      <c r="H8" s="926">
        <v>42594.15</v>
      </c>
      <c r="I8" s="96">
        <v>415.4781810816001</v>
      </c>
      <c r="J8" s="233">
        <f t="shared" si="1"/>
        <v>4.9284467467950179</v>
      </c>
      <c r="K8" s="146">
        <f t="shared" si="2"/>
        <v>1.0241280000000002E-2</v>
      </c>
      <c r="L8" s="178">
        <f t="shared" si="3"/>
        <v>4.8006000000000002</v>
      </c>
      <c r="M8" s="1231">
        <f t="shared" si="4"/>
        <v>214555.04002799999</v>
      </c>
    </row>
    <row r="9" spans="2:13" x14ac:dyDescent="0.25">
      <c r="B9" s="4">
        <f>VLOOKUP(C9,[1]Hoja1!$B$2:$C$260,2,FALSE)</f>
        <v>1210006</v>
      </c>
      <c r="C9" s="6" t="s">
        <v>1130</v>
      </c>
      <c r="D9" s="143">
        <v>6.7200000000000011E-3</v>
      </c>
      <c r="E9" s="106">
        <v>1.25</v>
      </c>
      <c r="F9" s="1236">
        <f>VLOOKUP(B9,[2]Hoja1!$C$2:$E$279,3,FALSE)</f>
        <v>8904.4500000000007</v>
      </c>
      <c r="G9" s="96">
        <f t="shared" si="0"/>
        <v>59.837904000000016</v>
      </c>
      <c r="H9" s="914">
        <v>8910.1</v>
      </c>
      <c r="I9" s="96">
        <v>57.736695797760014</v>
      </c>
      <c r="J9" s="233">
        <f t="shared" si="1"/>
        <v>-6.3411185059649711E-2</v>
      </c>
      <c r="K9" s="863">
        <f t="shared" si="2"/>
        <v>6.7200000000000011E-3</v>
      </c>
      <c r="L9" s="178">
        <f t="shared" si="3"/>
        <v>3.1500000000000004</v>
      </c>
      <c r="M9" s="1231">
        <f t="shared" si="4"/>
        <v>28049.017500000005</v>
      </c>
    </row>
    <row r="10" spans="2:13" x14ac:dyDescent="0.25">
      <c r="B10" s="4">
        <f>VLOOKUP(C10,[1]Hoja1!$B$2:$C$260,2,FALSE)</f>
        <v>1210004</v>
      </c>
      <c r="C10" s="6" t="s">
        <v>1131</v>
      </c>
      <c r="D10" s="143">
        <v>6.9888000000000003E-4</v>
      </c>
      <c r="E10" s="106">
        <v>0.13</v>
      </c>
      <c r="F10" s="1236">
        <f>VLOOKUP(B10,[2]Hoja1!$C$2:$E$279,3,FALSE)</f>
        <v>3841</v>
      </c>
      <c r="G10" s="96">
        <f t="shared" si="0"/>
        <v>2.6843980800000002</v>
      </c>
      <c r="H10" s="914">
        <v>3508.01</v>
      </c>
      <c r="I10" s="96">
        <v>1.4760560640000002</v>
      </c>
      <c r="J10" s="233">
        <f t="shared" si="1"/>
        <v>9.4922762477871885</v>
      </c>
      <c r="K10" s="863">
        <f t="shared" si="2"/>
        <v>6.9888000000000003E-4</v>
      </c>
      <c r="L10" s="178">
        <f t="shared" si="3"/>
        <v>0.3276</v>
      </c>
      <c r="M10" s="1231">
        <f t="shared" si="4"/>
        <v>1258.3116</v>
      </c>
    </row>
    <row r="11" spans="2:13" x14ac:dyDescent="0.25">
      <c r="B11" s="4">
        <f>VLOOKUP(C11,[1]Hoja1!$B$2:$C$260,2,FALSE)</f>
        <v>121007</v>
      </c>
      <c r="C11" s="6" t="s">
        <v>821</v>
      </c>
      <c r="D11" s="143">
        <v>2.1342720000000004E-3</v>
      </c>
      <c r="E11" s="106">
        <v>0.39700000000000002</v>
      </c>
      <c r="F11" s="1236">
        <f>VLOOKUP(B11,[2]Hoja1!$C$2:$E$279,3,FALSE)</f>
        <v>16905</v>
      </c>
      <c r="G11" s="96">
        <f t="shared" si="0"/>
        <v>36.079868160000004</v>
      </c>
      <c r="H11" s="880">
        <v>16100</v>
      </c>
      <c r="I11" s="96">
        <v>34.361779200000008</v>
      </c>
      <c r="J11" s="233">
        <f t="shared" si="1"/>
        <v>5</v>
      </c>
      <c r="K11" s="863">
        <f t="shared" si="2"/>
        <v>2.1342720000000004E-3</v>
      </c>
      <c r="L11" s="178">
        <f t="shared" si="3"/>
        <v>1.0004400000000002</v>
      </c>
      <c r="M11" s="1231">
        <f t="shared" si="4"/>
        <v>16912.438200000004</v>
      </c>
    </row>
    <row r="12" spans="2:13" x14ac:dyDescent="0.25">
      <c r="B12" s="4">
        <f>VLOOKUP(C12,[1]Hoja1!$B$2:$C$260,2,FALSE)</f>
        <v>1230012</v>
      </c>
      <c r="C12" s="6" t="s">
        <v>798</v>
      </c>
      <c r="D12" s="143">
        <v>2.6664960000000004E-3</v>
      </c>
      <c r="E12" s="106">
        <v>0.496</v>
      </c>
      <c r="F12" s="1236">
        <f>VLOOKUP(B12,[2]Hoja1!$C$2:$E$279,3,FALSE)</f>
        <v>31314.19</v>
      </c>
      <c r="G12" s="96">
        <f t="shared" si="0"/>
        <v>83.499162378240015</v>
      </c>
      <c r="H12" s="106">
        <v>29941</v>
      </c>
      <c r="I12" s="96">
        <v>97.653563105280014</v>
      </c>
      <c r="J12" s="233">
        <f t="shared" si="1"/>
        <v>4.5863197621989826</v>
      </c>
      <c r="K12" s="863">
        <f t="shared" si="2"/>
        <v>2.6664960000000004E-3</v>
      </c>
      <c r="L12" s="178">
        <f t="shared" si="3"/>
        <v>1.2499199999999999</v>
      </c>
      <c r="M12" s="1231">
        <f t="shared" si="4"/>
        <v>39140.232364799995</v>
      </c>
    </row>
    <row r="13" spans="2:13" x14ac:dyDescent="0.25">
      <c r="B13" s="4">
        <f>VLOOKUP(C13,[1]Hoja1!$B$2:$C$260,2,FALSE)</f>
        <v>1250003</v>
      </c>
      <c r="C13" s="6" t="s">
        <v>914</v>
      </c>
      <c r="D13" s="143">
        <v>1.7203200000000005E-4</v>
      </c>
      <c r="E13" s="106">
        <v>3.2000000000000001E-2</v>
      </c>
      <c r="F13" s="1236">
        <f>VLOOKUP(B13,[2]Hoja1!$C$2:$E$279,3,FALSE)</f>
        <v>50952.79</v>
      </c>
      <c r="G13" s="96">
        <f t="shared" si="0"/>
        <v>8.7655103692800029</v>
      </c>
      <c r="H13" s="96">
        <v>47385.41</v>
      </c>
      <c r="I13" s="96">
        <v>8.350099537920002</v>
      </c>
      <c r="J13" s="233">
        <f t="shared" si="1"/>
        <v>7.5284354403602123</v>
      </c>
      <c r="K13" s="863">
        <f t="shared" si="2"/>
        <v>1.7203200000000005E-4</v>
      </c>
      <c r="L13" s="178">
        <f t="shared" si="3"/>
        <v>8.0640000000000003E-2</v>
      </c>
      <c r="M13" s="1231">
        <f t="shared" si="4"/>
        <v>4108.8329856</v>
      </c>
    </row>
    <row r="14" spans="2:13" x14ac:dyDescent="0.25">
      <c r="B14" s="4">
        <f>VLOOKUP(C14,[1]Hoja1!$B$2:$C$260,2,FALSE)</f>
        <v>1250001</v>
      </c>
      <c r="C14" s="6" t="s">
        <v>1160</v>
      </c>
      <c r="D14" s="143">
        <v>6.4512000000000008E-5</v>
      </c>
      <c r="E14" s="106">
        <v>1.2E-2</v>
      </c>
      <c r="F14" s="1236">
        <f>VLOOKUP(B14,[2]Hoja1!$C$2:$E$279,3,FALSE)</f>
        <v>5093.8999999999996</v>
      </c>
      <c r="G14" s="96">
        <f t="shared" si="0"/>
        <v>0.32861767680000004</v>
      </c>
      <c r="H14" s="106">
        <v>4885.95</v>
      </c>
      <c r="I14" s="96">
        <v>0.33436569600000005</v>
      </c>
      <c r="J14" s="233">
        <f t="shared" si="1"/>
        <v>4.256081212456138</v>
      </c>
      <c r="K14" s="863">
        <f t="shared" si="2"/>
        <v>6.4512000000000008E-5</v>
      </c>
      <c r="L14" s="178">
        <f t="shared" si="3"/>
        <v>3.024E-2</v>
      </c>
      <c r="M14" s="1231">
        <f t="shared" si="4"/>
        <v>154.039536</v>
      </c>
    </row>
    <row r="15" spans="2:13" x14ac:dyDescent="0.25">
      <c r="B15" s="4">
        <f>VLOOKUP(C15,[1]Hoja1!$B$2:$C$260,2,FALSE)</f>
        <v>1260005</v>
      </c>
      <c r="C15" s="6" t="s">
        <v>811</v>
      </c>
      <c r="D15" s="143">
        <v>8.1070080000000006E-3</v>
      </c>
      <c r="E15" s="106">
        <v>1.508</v>
      </c>
      <c r="F15" s="1236">
        <f>VLOOKUP(B15,[2]Hoja1!$C$2:$E$279,3,FALSE)</f>
        <v>26429</v>
      </c>
      <c r="G15" s="96">
        <f t="shared" si="0"/>
        <v>214.26011443200002</v>
      </c>
      <c r="H15" s="914">
        <v>25850</v>
      </c>
      <c r="I15" s="96">
        <v>226.59087360000001</v>
      </c>
      <c r="J15" s="233">
        <f t="shared" si="1"/>
        <v>2.2398452611218715</v>
      </c>
      <c r="K15" s="863">
        <f t="shared" si="2"/>
        <v>8.1070080000000006E-3</v>
      </c>
      <c r="L15" s="178">
        <f t="shared" si="3"/>
        <v>3.80016</v>
      </c>
      <c r="M15" s="1231">
        <f t="shared" si="4"/>
        <v>100434.42864</v>
      </c>
    </row>
    <row r="16" spans="2:13" x14ac:dyDescent="0.25">
      <c r="B16" s="4">
        <f>VLOOKUP(C16,[1]Hoja1!$B$2:$C$260,2,FALSE)</f>
        <v>1260010</v>
      </c>
      <c r="C16" s="6" t="s">
        <v>1043</v>
      </c>
      <c r="D16" s="143">
        <v>2.0321280000000004E-2</v>
      </c>
      <c r="E16" s="106">
        <v>3.78</v>
      </c>
      <c r="F16" s="1236">
        <f>VLOOKUP(B16,[2]Hoja1!$C$2:$E$279,3,FALSE)</f>
        <v>6959.71</v>
      </c>
      <c r="G16" s="96">
        <f t="shared" si="0"/>
        <v>141.43021562880003</v>
      </c>
      <c r="H16" s="880">
        <v>8234.27</v>
      </c>
      <c r="I16" s="96">
        <v>126.66541440000003</v>
      </c>
      <c r="J16" s="233">
        <f t="shared" si="1"/>
        <v>-15.478724890002397</v>
      </c>
      <c r="K16" s="863">
        <f t="shared" si="2"/>
        <v>2.0321280000000004E-2</v>
      </c>
      <c r="L16" s="178">
        <f t="shared" si="3"/>
        <v>9.5256000000000007</v>
      </c>
      <c r="M16" s="1231">
        <f t="shared" si="4"/>
        <v>66295.413576000006</v>
      </c>
    </row>
    <row r="17" spans="2:13" ht="15" x14ac:dyDescent="0.25">
      <c r="B17" s="4">
        <f>VLOOKUP(C17,[1]Hoja1!$B$2:$C$260,2,FALSE)</f>
        <v>1121009</v>
      </c>
      <c r="C17" s="6" t="s">
        <v>1272</v>
      </c>
      <c r="D17" s="143">
        <v>3.4137600000000004E-2</v>
      </c>
      <c r="E17" s="106">
        <v>6.35</v>
      </c>
      <c r="F17" s="1236">
        <f>VLOOKUP(B17,[2]Hoja1!$C$2:$E$279,3,FALSE)</f>
        <v>8741.6200000000008</v>
      </c>
      <c r="G17" s="96">
        <f t="shared" si="0"/>
        <v>298.41792691200004</v>
      </c>
      <c r="H17" s="949">
        <v>8324.2000000000007</v>
      </c>
      <c r="I17" s="96">
        <v>447.99552000000006</v>
      </c>
      <c r="J17" s="233">
        <f t="shared" si="1"/>
        <v>5.0145359313807916</v>
      </c>
      <c r="K17" s="863">
        <f t="shared" si="2"/>
        <v>3.4137600000000004E-2</v>
      </c>
      <c r="L17" s="178">
        <f t="shared" si="3"/>
        <v>16.001999999999999</v>
      </c>
      <c r="M17" s="1231">
        <f t="shared" si="4"/>
        <v>139883.40324000001</v>
      </c>
    </row>
    <row r="18" spans="2:13" x14ac:dyDescent="0.25">
      <c r="B18" s="4">
        <f>VLOOKUP(C18,[1]Hoja1!$B$2:$C$260,2,FALSE)</f>
        <v>2906001</v>
      </c>
      <c r="C18" s="6" t="s">
        <v>831</v>
      </c>
      <c r="D18" s="143">
        <v>2.3654400000000006E-2</v>
      </c>
      <c r="E18" s="106">
        <v>4.4000000000000004</v>
      </c>
      <c r="F18" s="1236">
        <f>VLOOKUP(B18,[2]Hoja1!$C$2:$E$279,3,FALSE)</f>
        <v>1956.71</v>
      </c>
      <c r="G18" s="96">
        <f t="shared" si="0"/>
        <v>46.284801024000011</v>
      </c>
      <c r="H18" s="96">
        <v>12670.44</v>
      </c>
      <c r="I18" s="96">
        <v>138.99406590720002</v>
      </c>
      <c r="J18" s="233">
        <f t="shared" si="1"/>
        <v>-84.556889894904998</v>
      </c>
      <c r="K18" s="863">
        <f t="shared" si="2"/>
        <v>2.3654400000000006E-2</v>
      </c>
      <c r="L18" s="178">
        <f t="shared" si="3"/>
        <v>11.088000000000001</v>
      </c>
      <c r="M18" s="1231">
        <f t="shared" si="4"/>
        <v>21696.000480000002</v>
      </c>
    </row>
    <row r="19" spans="2:13" x14ac:dyDescent="0.25">
      <c r="B19" s="4">
        <f>VLOOKUP(C19,[1]Hoja1!$B$2:$C$260,2,FALSE)</f>
        <v>1220010</v>
      </c>
      <c r="C19" s="6" t="s">
        <v>1144</v>
      </c>
      <c r="D19" s="143">
        <v>3.7632E-3</v>
      </c>
      <c r="E19" s="106">
        <v>0.7</v>
      </c>
      <c r="F19" s="1236">
        <f>VLOOKUP(B19,[2]Hoja1!$C$2:$E$279,3,FALSE)</f>
        <v>4744.72</v>
      </c>
      <c r="G19" s="96">
        <f t="shared" si="0"/>
        <v>17.855330304000002</v>
      </c>
      <c r="H19" s="914">
        <v>11340</v>
      </c>
      <c r="I19" s="96">
        <v>14.112000000000002</v>
      </c>
      <c r="J19" s="233">
        <f t="shared" si="1"/>
        <v>-58.159435626102294</v>
      </c>
      <c r="K19" s="863">
        <f t="shared" si="2"/>
        <v>3.7632E-3</v>
      </c>
      <c r="L19" s="178">
        <f>+$L$4*E19%</f>
        <v>1.7639999999999998</v>
      </c>
      <c r="M19" s="1231">
        <f t="shared" si="4"/>
        <v>8369.6860799999995</v>
      </c>
    </row>
    <row r="20" spans="2:13" x14ac:dyDescent="0.25">
      <c r="B20" s="4">
        <v>1240007</v>
      </c>
      <c r="C20" s="154" t="s">
        <v>1352</v>
      </c>
      <c r="D20" s="1161">
        <v>2.6880000000000003E-3</v>
      </c>
      <c r="E20" s="154">
        <v>0.5</v>
      </c>
      <c r="F20" s="1236">
        <f>VLOOKUP(B20,[2]Hoja1!$C$2:$E$279,3,FALSE)</f>
        <v>25921.42</v>
      </c>
      <c r="G20" s="96">
        <f t="shared" si="0"/>
        <v>69.676776959999998</v>
      </c>
      <c r="H20" s="914">
        <v>324156.28000000003</v>
      </c>
      <c r="I20" s="96">
        <v>1.7426632473600003</v>
      </c>
      <c r="J20" s="233">
        <f>((F20/H20)*100)-100</f>
        <v>-92.003418844762166</v>
      </c>
      <c r="K20" s="863">
        <f t="shared" si="2"/>
        <v>2.6880000000000003E-3</v>
      </c>
      <c r="L20" s="178">
        <f>+$L$4*E20%</f>
        <v>1.26</v>
      </c>
      <c r="M20" s="1231">
        <f t="shared" si="4"/>
        <v>32660.989199999996</v>
      </c>
    </row>
    <row r="21" spans="2:13" s="146" customFormat="1" x14ac:dyDescent="0.25">
      <c r="B21" s="1764" t="s">
        <v>37</v>
      </c>
      <c r="C21" s="1764"/>
      <c r="D21" s="1278">
        <f>SUM(D5:D19)</f>
        <v>0.5348743680000001</v>
      </c>
      <c r="E21" s="1279">
        <f>SUM(E5:E20)</f>
        <v>99.992999999999995</v>
      </c>
      <c r="F21" s="1281"/>
      <c r="G21" s="1280">
        <f>SUM(G5:G20)</f>
        <v>4049.2037545881608</v>
      </c>
      <c r="H21" s="1281"/>
      <c r="I21" s="1280">
        <f>SUM(I5:I19)</f>
        <v>4641.9787619788813</v>
      </c>
      <c r="J21" s="1282">
        <f>((G21/I21)*100)-100</f>
        <v>-12.769877627316404</v>
      </c>
      <c r="K21" s="1283"/>
      <c r="L21" s="1283"/>
      <c r="M21" s="1374">
        <f>SUM(M5:M20)</f>
        <v>1898064.2599631997</v>
      </c>
    </row>
    <row r="22" spans="2:13" x14ac:dyDescent="0.25">
      <c r="J22" s="775"/>
    </row>
    <row r="23" spans="2:13" ht="25.5" x14ac:dyDescent="0.25">
      <c r="B23" s="1765" t="s">
        <v>50</v>
      </c>
      <c r="C23" s="1766"/>
      <c r="D23" s="38">
        <f>+C26+(C26*C32%)</f>
        <v>537.6</v>
      </c>
      <c r="E23" s="159"/>
      <c r="F23" s="159"/>
      <c r="G23" s="159"/>
      <c r="H23" s="159"/>
      <c r="I23" s="159"/>
      <c r="J23" s="159"/>
    </row>
    <row r="24" spans="2:13" x14ac:dyDescent="0.25">
      <c r="B24" s="1284" t="s">
        <v>38</v>
      </c>
      <c r="C24" s="161" t="s">
        <v>123</v>
      </c>
    </row>
    <row r="25" spans="2:13" x14ac:dyDescent="0.25">
      <c r="B25" s="1285" t="s">
        <v>39</v>
      </c>
      <c r="C25" s="163" t="s">
        <v>783</v>
      </c>
    </row>
    <row r="26" spans="2:13" x14ac:dyDescent="0.25">
      <c r="B26" s="1285" t="s">
        <v>40</v>
      </c>
      <c r="C26" s="163">
        <v>480</v>
      </c>
    </row>
    <row r="27" spans="2:13" x14ac:dyDescent="0.25">
      <c r="B27" s="1285" t="s">
        <v>41</v>
      </c>
      <c r="C27" s="163">
        <v>0</v>
      </c>
    </row>
    <row r="28" spans="2:13" x14ac:dyDescent="0.25">
      <c r="B28" s="1285" t="s">
        <v>42</v>
      </c>
      <c r="C28" s="163">
        <v>6</v>
      </c>
    </row>
    <row r="29" spans="2:13" x14ac:dyDescent="0.25">
      <c r="B29" s="1285" t="s">
        <v>43</v>
      </c>
      <c r="C29" s="163">
        <v>2</v>
      </c>
    </row>
    <row r="30" spans="2:13" x14ac:dyDescent="0.25">
      <c r="B30" s="1285" t="s">
        <v>44</v>
      </c>
      <c r="C30" s="163">
        <v>2</v>
      </c>
    </row>
    <row r="31" spans="2:13" x14ac:dyDescent="0.25">
      <c r="B31" s="1285" t="s">
        <v>45</v>
      </c>
      <c r="C31" s="163">
        <v>2</v>
      </c>
    </row>
    <row r="32" spans="2:13" x14ac:dyDescent="0.25">
      <c r="B32" s="1285" t="s">
        <v>46</v>
      </c>
      <c r="C32" s="163">
        <f>C31+C30+C29+C28</f>
        <v>12</v>
      </c>
    </row>
    <row r="34" spans="2:12" ht="25.5" x14ac:dyDescent="0.25">
      <c r="B34" s="1789" t="s">
        <v>47</v>
      </c>
      <c r="C34" s="1790"/>
      <c r="D34" s="1790"/>
      <c r="E34" s="1790"/>
      <c r="F34" s="1790"/>
      <c r="G34" s="1790"/>
      <c r="H34" s="1791"/>
      <c r="I34" s="789"/>
      <c r="J34" s="857"/>
    </row>
    <row r="35" spans="2:12" ht="25.5" x14ac:dyDescent="0.25">
      <c r="B35" s="1368" t="s">
        <v>0</v>
      </c>
      <c r="C35" s="1368" t="s">
        <v>1</v>
      </c>
      <c r="D35" s="1369" t="s">
        <v>2</v>
      </c>
      <c r="E35" s="1243" t="str">
        <f>+'CIF Y PV'!$F$4</f>
        <v xml:space="preserve">JUN-COP/UMB </v>
      </c>
      <c r="F35" s="1243" t="str">
        <f>+'CIF Y PV'!$G$4</f>
        <v>JUN-COP/APP</v>
      </c>
      <c r="G35" s="1243" t="str">
        <f>+'CIF Y PV'!$H$4</f>
        <v xml:space="preserve">MAY-COP/UMB </v>
      </c>
      <c r="H35" s="1243" t="str">
        <f>+'CIF Y PV'!$I$4</f>
        <v>MAY-COP/APP</v>
      </c>
      <c r="I35" s="1244" t="s">
        <v>3</v>
      </c>
      <c r="J35" s="870"/>
    </row>
    <row r="36" spans="2:12" x14ac:dyDescent="0.25">
      <c r="B36" s="222">
        <f>VLOOKUP(C36,[1]Hoja1!$B$2:$C$260,2,FALSE)</f>
        <v>1370009</v>
      </c>
      <c r="C36" s="222" t="s">
        <v>1154</v>
      </c>
      <c r="D36" s="221">
        <v>1.2</v>
      </c>
      <c r="E36" s="225">
        <f>VLOOKUP(B36,[2]Hoja1!$C$2:$E$279,3,FALSE)</f>
        <v>487.07</v>
      </c>
      <c r="F36" s="225">
        <f>E36*D36</f>
        <v>584.48399999999992</v>
      </c>
      <c r="G36" s="225">
        <v>504.87</v>
      </c>
      <c r="H36" s="225">
        <f>G36*D36</f>
        <v>605.84399999999994</v>
      </c>
      <c r="I36" s="270">
        <f>((F36/H36)*100)-100</f>
        <v>-3.5256600709093391</v>
      </c>
      <c r="J36" s="389"/>
    </row>
    <row r="37" spans="2:12" x14ac:dyDescent="0.25">
      <c r="B37" s="222">
        <f>VLOOKUP(C37,[1]Hoja1!$B$2:$C$260,2,FALSE)</f>
        <v>1310018</v>
      </c>
      <c r="C37" s="1515" t="s">
        <v>890</v>
      </c>
      <c r="D37" s="221">
        <v>0.15</v>
      </c>
      <c r="E37" s="225">
        <f>VLOOKUP(B37,[2]Hoja1!$C$2:$E$279,3,FALSE)</f>
        <v>478.26</v>
      </c>
      <c r="F37" s="225">
        <f>E37*D37</f>
        <v>71.73899999999999</v>
      </c>
      <c r="G37" s="871">
        <v>503.51</v>
      </c>
      <c r="H37" s="225">
        <f>G37*D37</f>
        <v>75.526499999999999</v>
      </c>
      <c r="I37" s="270">
        <f>((F37/H37)*100)-100</f>
        <v>-5.0147961311592724</v>
      </c>
      <c r="J37" s="389"/>
    </row>
    <row r="38" spans="2:12" x14ac:dyDescent="0.25">
      <c r="B38" s="222">
        <f>VLOOKUP(C38,[1]Hoja1!$B$2:$C$260,2,FALSE)</f>
        <v>1320005</v>
      </c>
      <c r="C38" s="222" t="s">
        <v>1145</v>
      </c>
      <c r="D38" s="221">
        <v>0.15</v>
      </c>
      <c r="E38" s="225">
        <f>VLOOKUP(B38,[2]Hoja1!$C$2:$E$279,3,FALSE)</f>
        <v>740.21</v>
      </c>
      <c r="F38" s="225">
        <f>E38*D38</f>
        <v>111.03150000000001</v>
      </c>
      <c r="G38" s="24">
        <v>828.94</v>
      </c>
      <c r="H38" s="225">
        <f>G38*D38</f>
        <v>124.34100000000001</v>
      </c>
      <c r="I38" s="270">
        <f>((F38/H38)*100)-100</f>
        <v>-10.704031654884545</v>
      </c>
      <c r="J38" s="389"/>
    </row>
    <row r="39" spans="2:12" x14ac:dyDescent="0.25">
      <c r="B39" s="222">
        <f>VLOOKUP(C39,[1]Hoja1!$B$2:$C$260,2,FALSE)</f>
        <v>1330046</v>
      </c>
      <c r="C39" s="222" t="s">
        <v>1161</v>
      </c>
      <c r="D39" s="221">
        <v>1</v>
      </c>
      <c r="E39" s="225">
        <f>VLOOKUP(B39,[2]Hoja1!$C$2:$E$279,3,FALSE)</f>
        <v>77</v>
      </c>
      <c r="F39" s="225">
        <f>E39*D39</f>
        <v>77</v>
      </c>
      <c r="G39" s="225">
        <v>77</v>
      </c>
      <c r="H39" s="225">
        <f>G39*D39</f>
        <v>77</v>
      </c>
      <c r="I39" s="270">
        <f>((F39/H39)*100)-100</f>
        <v>0</v>
      </c>
      <c r="J39" s="389"/>
    </row>
    <row r="40" spans="2:12" x14ac:dyDescent="0.25">
      <c r="B40" s="1370"/>
      <c r="C40" s="1370" t="s">
        <v>37</v>
      </c>
      <c r="D40" s="1371"/>
      <c r="E40" s="1372"/>
      <c r="F40" s="1372">
        <f>SUM(F36:F39)</f>
        <v>844.25450000000001</v>
      </c>
      <c r="G40" s="1372"/>
      <c r="H40" s="1372">
        <f>SUM(H36:H39)</f>
        <v>882.7115</v>
      </c>
      <c r="I40" s="1287">
        <f>((F40/H40)*100)-100</f>
        <v>-4.3566895865750013</v>
      </c>
      <c r="J40" s="859"/>
    </row>
    <row r="41" spans="2:12" x14ac:dyDescent="0.25">
      <c r="I41" s="1" t="str">
        <f>+'CIF Y PV'!$G$1</f>
        <v>MAYO</v>
      </c>
      <c r="J41" s="890"/>
      <c r="K41" s="890"/>
      <c r="L41" s="890"/>
    </row>
    <row r="42" spans="2:12" x14ac:dyDescent="0.25">
      <c r="B42" s="1735" t="s">
        <v>194</v>
      </c>
      <c r="C42" s="1735"/>
      <c r="E42" s="884"/>
      <c r="F42" s="884"/>
      <c r="G42" s="884"/>
      <c r="H42" s="884"/>
      <c r="I42" s="1375">
        <f>F40+G21</f>
        <v>4893.4582545881603</v>
      </c>
      <c r="J42" s="888"/>
      <c r="K42" s="887"/>
      <c r="L42" s="888"/>
    </row>
    <row r="43" spans="2:12" x14ac:dyDescent="0.25">
      <c r="B43" s="1736" t="s">
        <v>48</v>
      </c>
      <c r="C43" s="1737"/>
      <c r="E43" s="884"/>
      <c r="F43" s="884"/>
      <c r="G43" s="884"/>
      <c r="H43" s="884"/>
      <c r="I43" s="1375">
        <f>+('CIF Y PV'!C3/1000)*480</f>
        <v>907.19999999999993</v>
      </c>
      <c r="J43" s="888"/>
      <c r="K43" s="887"/>
      <c r="L43" s="888"/>
    </row>
    <row r="44" spans="2:12" x14ac:dyDescent="0.25">
      <c r="B44" s="1736" t="s">
        <v>195</v>
      </c>
      <c r="C44" s="1737"/>
      <c r="E44" s="884"/>
      <c r="F44" s="884"/>
      <c r="G44" s="884"/>
      <c r="H44" s="884"/>
      <c r="I44" s="1375">
        <f>+I42+I43</f>
        <v>5800.6582545881602</v>
      </c>
      <c r="J44" s="888"/>
      <c r="K44" s="887"/>
      <c r="L44" s="888"/>
    </row>
    <row r="45" spans="2:12" x14ac:dyDescent="0.25">
      <c r="B45" s="1735" t="s">
        <v>49</v>
      </c>
      <c r="C45" s="1735"/>
      <c r="E45" s="884"/>
      <c r="F45" s="884"/>
      <c r="G45" s="884"/>
      <c r="H45" s="884"/>
      <c r="I45" s="1376">
        <f>'CIF Y PV'!C21</f>
        <v>12911.050000000001</v>
      </c>
      <c r="K45" s="887"/>
      <c r="L45" s="895"/>
    </row>
    <row r="46" spans="2:12" ht="14.45" customHeight="1" x14ac:dyDescent="0.2">
      <c r="B46" s="1735" t="s">
        <v>805</v>
      </c>
      <c r="C46" s="1735"/>
      <c r="E46" s="884"/>
      <c r="F46" s="884"/>
      <c r="G46" s="884"/>
      <c r="H46" s="884"/>
      <c r="I46" s="928">
        <f>+(I45-I44)/I45</f>
        <v>0.55072141657044471</v>
      </c>
      <c r="J46" s="893"/>
      <c r="K46" s="894"/>
      <c r="L46" s="893">
        <f>1-L45</f>
        <v>1</v>
      </c>
    </row>
    <row r="47" spans="2:12" x14ac:dyDescent="0.25">
      <c r="I47" s="890"/>
      <c r="J47" s="890"/>
      <c r="K47" s="890"/>
      <c r="L47" s="890"/>
    </row>
    <row r="48" spans="2:12" x14ac:dyDescent="0.25">
      <c r="I48" s="890"/>
      <c r="J48" s="890"/>
      <c r="K48" s="890"/>
      <c r="L48" s="890"/>
    </row>
  </sheetData>
  <autoFilter ref="B4:K21" xr:uid="{3D9D749A-2CFB-4653-B278-888C40AB2880}"/>
  <mergeCells count="9">
    <mergeCell ref="B44:C44"/>
    <mergeCell ref="B45:C45"/>
    <mergeCell ref="B46:C46"/>
    <mergeCell ref="B2:I2"/>
    <mergeCell ref="B21:C21"/>
    <mergeCell ref="B23:C23"/>
    <mergeCell ref="B34:H34"/>
    <mergeCell ref="B42:C42"/>
    <mergeCell ref="B43:C4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08AA-709B-47B7-B058-A8C099E79BBB}">
  <sheetPr codeName="Hoja103"/>
  <dimension ref="B2:M48"/>
  <sheetViews>
    <sheetView topLeftCell="A26" zoomScale="80" zoomScaleNormal="80" workbookViewId="0">
      <selection activeCell="F20" sqref="F20"/>
    </sheetView>
  </sheetViews>
  <sheetFormatPr baseColWidth="10" defaultColWidth="11.5703125" defaultRowHeight="13.5" x14ac:dyDescent="0.25"/>
  <cols>
    <col min="1" max="1" width="10.7109375" style="120" customWidth="1"/>
    <col min="2" max="2" width="11.7109375" style="120" bestFit="1" customWidth="1"/>
    <col min="3" max="3" width="67.42578125" style="120" bestFit="1" customWidth="1"/>
    <col min="4" max="4" width="11.5703125" style="119" customWidth="1"/>
    <col min="5" max="5" width="12.140625" style="120" customWidth="1"/>
    <col min="6" max="6" width="14.140625" style="120" customWidth="1"/>
    <col min="7" max="7" width="11.5703125" style="120" customWidth="1"/>
    <col min="8" max="8" width="14.85546875" style="120" customWidth="1"/>
    <col min="9" max="10" width="14.28515625" style="120" customWidth="1"/>
    <col min="11" max="11" width="11.5703125" style="120" customWidth="1"/>
    <col min="12" max="12" width="11.7109375" style="120" bestFit="1" customWidth="1"/>
    <col min="13" max="13" width="15.85546875" style="120" bestFit="1" customWidth="1"/>
    <col min="14" max="16384" width="11.5703125" style="120"/>
  </cols>
  <sheetData>
    <row r="2" spans="2:13" ht="25.5" x14ac:dyDescent="0.25">
      <c r="B2" s="1743" t="s">
        <v>1079</v>
      </c>
      <c r="C2" s="1743"/>
      <c r="D2" s="1743"/>
      <c r="E2" s="1743"/>
      <c r="F2" s="1743"/>
      <c r="G2" s="1743"/>
      <c r="H2" s="1743"/>
      <c r="I2" s="1743"/>
      <c r="J2" s="43"/>
    </row>
    <row r="4" spans="2:13" ht="25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366">
        <f>+D23/1000</f>
        <v>1.3320000000000001</v>
      </c>
      <c r="L4" s="1272">
        <v>252</v>
      </c>
      <c r="M4" s="1373" t="s">
        <v>1024</v>
      </c>
    </row>
    <row r="5" spans="2:13" ht="16.5" x14ac:dyDescent="0.3">
      <c r="B5" s="563">
        <f>VLOOKUP(C5,[1]Hoja1!$B$2:$C$260,2,FALSE)</f>
        <v>1122008</v>
      </c>
      <c r="C5" s="74" t="s">
        <v>1028</v>
      </c>
      <c r="D5" s="494">
        <v>0.47571048000000005</v>
      </c>
      <c r="E5" s="507">
        <v>35.713999999999999</v>
      </c>
      <c r="F5" s="1516">
        <f>VLOOKUP(B5,[2]Hoja1!$C$2:$E$279,3,FALSE)</f>
        <v>12059.2</v>
      </c>
      <c r="G5" s="73">
        <f>F5*D5</f>
        <v>5736.6878204160012</v>
      </c>
      <c r="H5" s="1516">
        <v>12498.88</v>
      </c>
      <c r="I5" s="498">
        <f>H5*D5</f>
        <v>5945.8482042624</v>
      </c>
      <c r="J5" s="905">
        <f>((F5/H5)*100)-100</f>
        <v>-3.5177551908650884</v>
      </c>
      <c r="K5" s="345">
        <f>$K$4*E5%</f>
        <v>0.47571048000000005</v>
      </c>
      <c r="L5" s="336">
        <f>+$L$4*E5%</f>
        <v>89.999279999999999</v>
      </c>
      <c r="M5" s="1403">
        <f>L5*F5</f>
        <v>1085319.3173760001</v>
      </c>
    </row>
    <row r="6" spans="2:13" ht="16.5" x14ac:dyDescent="0.3">
      <c r="B6" s="563">
        <f>VLOOKUP(C6,[1]Hoja1!$B$2:$C$260,2,FALSE)</f>
        <v>1112001</v>
      </c>
      <c r="C6" s="74" t="s">
        <v>797</v>
      </c>
      <c r="D6" s="190">
        <v>0.20085228000000002</v>
      </c>
      <c r="E6" s="70">
        <v>15.079000000000001</v>
      </c>
      <c r="F6" s="1516">
        <f>VLOOKUP(B6,[2]Hoja1!$C$2:$E$279,3,FALSE)</f>
        <v>3663.96</v>
      </c>
      <c r="G6" s="73">
        <f t="shared" ref="G6:G20" si="0">F6*D6</f>
        <v>735.91471982880012</v>
      </c>
      <c r="H6" s="982">
        <v>4222.72</v>
      </c>
      <c r="I6" s="498">
        <f t="shared" ref="I6:I20" si="1">H6*D6</f>
        <v>848.14293980160016</v>
      </c>
      <c r="J6" s="536">
        <f t="shared" ref="J6:J20" si="2">((F6/H6)*100)-100</f>
        <v>-13.232229463473786</v>
      </c>
      <c r="K6" s="345">
        <f t="shared" ref="K6:K20" si="3">$K$4*E6%</f>
        <v>0.20085228000000002</v>
      </c>
      <c r="L6" s="336">
        <f t="shared" ref="L6:L18" si="4">+$L$4*E6%</f>
        <v>37.999079999999999</v>
      </c>
      <c r="M6" s="1403">
        <f t="shared" ref="M6:M20" si="5">L6*F6</f>
        <v>139227.1091568</v>
      </c>
    </row>
    <row r="7" spans="2:13" ht="16.5" x14ac:dyDescent="0.3">
      <c r="B7" s="563">
        <f>VLOOKUP(C7,[1]Hoja1!$B$2:$C$260,2,FALSE)</f>
        <v>1131002</v>
      </c>
      <c r="C7" s="74" t="s">
        <v>663</v>
      </c>
      <c r="D7" s="190">
        <v>0.36949680000000001</v>
      </c>
      <c r="E7" s="70">
        <v>27.74</v>
      </c>
      <c r="F7" s="1516">
        <f>VLOOKUP(B7,[2]Hoja1!$C$2:$E$279,3,FALSE)</f>
        <v>0</v>
      </c>
      <c r="G7" s="73">
        <f t="shared" si="0"/>
        <v>0</v>
      </c>
      <c r="H7" s="982">
        <v>0</v>
      </c>
      <c r="I7" s="498">
        <f t="shared" si="1"/>
        <v>0</v>
      </c>
      <c r="J7" s="536" t="e">
        <f t="shared" si="2"/>
        <v>#DIV/0!</v>
      </c>
      <c r="K7" s="345">
        <f t="shared" si="3"/>
        <v>0.36949680000000001</v>
      </c>
      <c r="L7" s="336">
        <f t="shared" si="4"/>
        <v>69.904799999999994</v>
      </c>
      <c r="M7" s="1403">
        <f t="shared" si="5"/>
        <v>0</v>
      </c>
    </row>
    <row r="8" spans="2:13" ht="16.5" x14ac:dyDescent="0.3">
      <c r="B8" s="563">
        <f>VLOOKUP(C8,[1]Hoja1!$B$2:$C$260,2,FALSE)</f>
        <v>1230006</v>
      </c>
      <c r="C8" s="74" t="s">
        <v>1153</v>
      </c>
      <c r="D8" s="190">
        <v>2.5374600000000004E-2</v>
      </c>
      <c r="E8" s="70">
        <v>1.905</v>
      </c>
      <c r="F8" s="1516">
        <f>VLOOKUP(B8,[2]Hoja1!$C$2:$E$279,3,FALSE)</f>
        <v>44693.38</v>
      </c>
      <c r="G8" s="73">
        <f t="shared" si="0"/>
        <v>1134.076640148</v>
      </c>
      <c r="H8" s="1527">
        <v>42594.15</v>
      </c>
      <c r="I8" s="498">
        <f t="shared" si="1"/>
        <v>1080.8095185900002</v>
      </c>
      <c r="J8" s="536">
        <f t="shared" si="2"/>
        <v>4.9284467467950179</v>
      </c>
      <c r="K8" s="345">
        <f t="shared" si="3"/>
        <v>2.5374600000000004E-2</v>
      </c>
      <c r="L8" s="336">
        <f t="shared" si="4"/>
        <v>4.8006000000000002</v>
      </c>
      <c r="M8" s="1403">
        <f t="shared" si="5"/>
        <v>214555.04002799999</v>
      </c>
    </row>
    <row r="9" spans="2:13" ht="16.5" x14ac:dyDescent="0.3">
      <c r="B9" s="563">
        <f>VLOOKUP(C9,[1]Hoja1!$B$2:$C$260,2,FALSE)</f>
        <v>1210006</v>
      </c>
      <c r="C9" s="74" t="s">
        <v>1130</v>
      </c>
      <c r="D9" s="190">
        <v>1.6650000000000002E-2</v>
      </c>
      <c r="E9" s="70">
        <v>1.25</v>
      </c>
      <c r="F9" s="1516">
        <f>VLOOKUP(B9,[2]Hoja1!$C$2:$E$279,3,FALSE)</f>
        <v>8904.4500000000007</v>
      </c>
      <c r="G9" s="73">
        <f t="shared" si="0"/>
        <v>148.25909250000004</v>
      </c>
      <c r="H9" s="965">
        <v>8910.1</v>
      </c>
      <c r="I9" s="498">
        <f t="shared" si="1"/>
        <v>148.35316500000002</v>
      </c>
      <c r="J9" s="536">
        <f t="shared" si="2"/>
        <v>-6.3411185059649711E-2</v>
      </c>
      <c r="K9" s="1098">
        <f t="shared" si="3"/>
        <v>1.6650000000000002E-2</v>
      </c>
      <c r="L9" s="336">
        <f t="shared" si="4"/>
        <v>3.1500000000000004</v>
      </c>
      <c r="M9" s="1403">
        <f t="shared" si="5"/>
        <v>28049.017500000005</v>
      </c>
    </row>
    <row r="10" spans="2:13" ht="16.5" x14ac:dyDescent="0.3">
      <c r="B10" s="563">
        <f>VLOOKUP(C10,[1]Hoja1!$B$2:$C$260,2,FALSE)</f>
        <v>1210004</v>
      </c>
      <c r="C10" s="74" t="s">
        <v>1131</v>
      </c>
      <c r="D10" s="190">
        <v>1.7316E-3</v>
      </c>
      <c r="E10" s="70">
        <v>0.13</v>
      </c>
      <c r="F10" s="1516">
        <f>VLOOKUP(B10,[2]Hoja1!$C$2:$E$279,3,FALSE)</f>
        <v>3841</v>
      </c>
      <c r="G10" s="73">
        <f t="shared" si="0"/>
        <v>6.6510756000000004</v>
      </c>
      <c r="H10" s="965">
        <v>3508.01</v>
      </c>
      <c r="I10" s="498">
        <f t="shared" si="1"/>
        <v>6.0744701160000005</v>
      </c>
      <c r="J10" s="536">
        <f t="shared" si="2"/>
        <v>9.4922762477871885</v>
      </c>
      <c r="K10" s="1098">
        <f t="shared" si="3"/>
        <v>1.7316E-3</v>
      </c>
      <c r="L10" s="336">
        <f t="shared" si="4"/>
        <v>0.3276</v>
      </c>
      <c r="M10" s="1403">
        <f t="shared" si="5"/>
        <v>1258.3116</v>
      </c>
    </row>
    <row r="11" spans="2:13" ht="16.5" x14ac:dyDescent="0.3">
      <c r="B11" s="563">
        <f>VLOOKUP(C11,[1]Hoja1!$B$2:$C$260,2,FALSE)</f>
        <v>121007</v>
      </c>
      <c r="C11" s="74" t="s">
        <v>821</v>
      </c>
      <c r="D11" s="190">
        <v>5.2880400000000008E-3</v>
      </c>
      <c r="E11" s="70">
        <v>0.39700000000000002</v>
      </c>
      <c r="F11" s="1516">
        <f>VLOOKUP(B11,[2]Hoja1!$C$2:$E$279,3,FALSE)</f>
        <v>16905</v>
      </c>
      <c r="G11" s="73">
        <f t="shared" si="0"/>
        <v>89.39431620000002</v>
      </c>
      <c r="H11" s="964">
        <v>16100</v>
      </c>
      <c r="I11" s="498">
        <f t="shared" si="1"/>
        <v>85.137444000000016</v>
      </c>
      <c r="J11" s="536">
        <f t="shared" si="2"/>
        <v>5</v>
      </c>
      <c r="K11" s="1098">
        <f t="shared" si="3"/>
        <v>5.2880400000000008E-3</v>
      </c>
      <c r="L11" s="336">
        <f t="shared" si="4"/>
        <v>1.0004400000000002</v>
      </c>
      <c r="M11" s="1403">
        <f t="shared" si="5"/>
        <v>16912.438200000004</v>
      </c>
    </row>
    <row r="12" spans="2:13" ht="16.5" x14ac:dyDescent="0.3">
      <c r="B12" s="563">
        <f>VLOOKUP(C12,[1]Hoja1!$B$2:$C$260,2,FALSE)</f>
        <v>1230012</v>
      </c>
      <c r="C12" s="74" t="s">
        <v>798</v>
      </c>
      <c r="D12" s="190">
        <v>6.60672E-3</v>
      </c>
      <c r="E12" s="70">
        <v>0.496</v>
      </c>
      <c r="F12" s="1516">
        <f>VLOOKUP(B12,[2]Hoja1!$C$2:$E$279,3,FALSE)</f>
        <v>31314.19</v>
      </c>
      <c r="G12" s="73">
        <f t="shared" si="0"/>
        <v>206.8840853568</v>
      </c>
      <c r="H12" s="88">
        <v>29941</v>
      </c>
      <c r="I12" s="498">
        <f t="shared" si="1"/>
        <v>197.81180352000001</v>
      </c>
      <c r="J12" s="536">
        <f t="shared" si="2"/>
        <v>4.5863197621989826</v>
      </c>
      <c r="K12" s="1098">
        <f t="shared" si="3"/>
        <v>6.60672E-3</v>
      </c>
      <c r="L12" s="336">
        <f t="shared" si="4"/>
        <v>1.2499199999999999</v>
      </c>
      <c r="M12" s="1403">
        <f t="shared" si="5"/>
        <v>39140.232364799995</v>
      </c>
    </row>
    <row r="13" spans="2:13" ht="16.5" x14ac:dyDescent="0.3">
      <c r="B13" s="563">
        <f>VLOOKUP(C13,[1]Hoja1!$B$2:$C$260,2,FALSE)</f>
        <v>1250003</v>
      </c>
      <c r="C13" s="74" t="s">
        <v>914</v>
      </c>
      <c r="D13" s="190">
        <v>4.2624000000000004E-4</v>
      </c>
      <c r="E13" s="70">
        <v>3.2000000000000001E-2</v>
      </c>
      <c r="F13" s="1516">
        <f>VLOOKUP(B13,[2]Hoja1!$C$2:$E$279,3,FALSE)</f>
        <v>50952.79</v>
      </c>
      <c r="G13" s="73">
        <f t="shared" si="0"/>
        <v>21.718117209600003</v>
      </c>
      <c r="H13" s="1528">
        <v>47385.41</v>
      </c>
      <c r="I13" s="498">
        <f t="shared" si="1"/>
        <v>20.197557158400002</v>
      </c>
      <c r="J13" s="536">
        <f t="shared" si="2"/>
        <v>7.5284354403602123</v>
      </c>
      <c r="K13" s="1098">
        <f t="shared" si="3"/>
        <v>4.2624000000000004E-4</v>
      </c>
      <c r="L13" s="336">
        <f t="shared" si="4"/>
        <v>8.0640000000000003E-2</v>
      </c>
      <c r="M13" s="1403">
        <f t="shared" si="5"/>
        <v>4108.8329856</v>
      </c>
    </row>
    <row r="14" spans="2:13" ht="16.5" x14ac:dyDescent="0.3">
      <c r="B14" s="563">
        <f>VLOOKUP(C14,[1]Hoja1!$B$2:$C$260,2,FALSE)</f>
        <v>1250001</v>
      </c>
      <c r="C14" s="74" t="s">
        <v>1160</v>
      </c>
      <c r="D14" s="190">
        <v>1.5984000000000001E-4</v>
      </c>
      <c r="E14" s="70">
        <v>1.2E-2</v>
      </c>
      <c r="F14" s="1516">
        <f>VLOOKUP(B14,[2]Hoja1!$C$2:$E$279,3,FALSE)</f>
        <v>5093.8999999999996</v>
      </c>
      <c r="G14" s="73">
        <f t="shared" si="0"/>
        <v>0.81420897599999997</v>
      </c>
      <c r="H14" s="88">
        <v>4885.95</v>
      </c>
      <c r="I14" s="498">
        <f t="shared" si="1"/>
        <v>0.78097024800000003</v>
      </c>
      <c r="J14" s="536">
        <f t="shared" si="2"/>
        <v>4.256081212456138</v>
      </c>
      <c r="K14" s="1098">
        <f t="shared" si="3"/>
        <v>1.5984000000000001E-4</v>
      </c>
      <c r="L14" s="336">
        <f t="shared" si="4"/>
        <v>3.024E-2</v>
      </c>
      <c r="M14" s="1403">
        <f t="shared" si="5"/>
        <v>154.039536</v>
      </c>
    </row>
    <row r="15" spans="2:13" ht="16.5" x14ac:dyDescent="0.3">
      <c r="B15" s="563">
        <f>VLOOKUP(C15,[1]Hoja1!$B$2:$C$260,2,FALSE)</f>
        <v>1260005</v>
      </c>
      <c r="C15" s="74" t="s">
        <v>811</v>
      </c>
      <c r="D15" s="190">
        <v>2.008656E-2</v>
      </c>
      <c r="E15" s="70">
        <v>1.508</v>
      </c>
      <c r="F15" s="1516">
        <f>VLOOKUP(B15,[2]Hoja1!$C$2:$E$279,3,FALSE)</f>
        <v>26429</v>
      </c>
      <c r="G15" s="73">
        <f t="shared" si="0"/>
        <v>530.86769423999999</v>
      </c>
      <c r="H15" s="965">
        <v>25850</v>
      </c>
      <c r="I15" s="498">
        <f t="shared" si="1"/>
        <v>519.23757599999999</v>
      </c>
      <c r="J15" s="536">
        <f t="shared" si="2"/>
        <v>2.2398452611218715</v>
      </c>
      <c r="K15" s="1098">
        <f t="shared" si="3"/>
        <v>2.008656E-2</v>
      </c>
      <c r="L15" s="336">
        <f t="shared" si="4"/>
        <v>3.80016</v>
      </c>
      <c r="M15" s="1403">
        <f t="shared" si="5"/>
        <v>100434.42864</v>
      </c>
    </row>
    <row r="16" spans="2:13" ht="16.5" x14ac:dyDescent="0.3">
      <c r="B16" s="563">
        <f>VLOOKUP(C16,[1]Hoja1!$B$2:$C$260,2,FALSE)</f>
        <v>1260010</v>
      </c>
      <c r="C16" s="74" t="s">
        <v>1043</v>
      </c>
      <c r="D16" s="190">
        <v>5.0349600000000001E-2</v>
      </c>
      <c r="E16" s="70">
        <v>3.78</v>
      </c>
      <c r="F16" s="1516">
        <f>VLOOKUP(B16,[2]Hoja1!$C$2:$E$279,3,FALSE)</f>
        <v>6959.71</v>
      </c>
      <c r="G16" s="73">
        <f t="shared" si="0"/>
        <v>350.41861461600001</v>
      </c>
      <c r="H16" s="964">
        <v>8234.27</v>
      </c>
      <c r="I16" s="498">
        <f t="shared" si="1"/>
        <v>414.59220079200003</v>
      </c>
      <c r="J16" s="536">
        <f t="shared" si="2"/>
        <v>-15.478724890002397</v>
      </c>
      <c r="K16" s="1098">
        <f t="shared" si="3"/>
        <v>5.0349600000000001E-2</v>
      </c>
      <c r="L16" s="336">
        <f t="shared" si="4"/>
        <v>9.5256000000000007</v>
      </c>
      <c r="M16" s="1403">
        <f t="shared" si="5"/>
        <v>66295.413576000006</v>
      </c>
    </row>
    <row r="17" spans="2:13" ht="16.5" x14ac:dyDescent="0.3">
      <c r="B17" s="563">
        <f>VLOOKUP(C17,[1]Hoja1!$B$2:$C$260,2,FALSE)</f>
        <v>1121009</v>
      </c>
      <c r="C17" s="74" t="s">
        <v>1272</v>
      </c>
      <c r="D17" s="190">
        <v>8.4582000000000004E-2</v>
      </c>
      <c r="E17" s="70">
        <v>6.35</v>
      </c>
      <c r="F17" s="1516">
        <f>VLOOKUP(B17,[2]Hoja1!$C$2:$E$279,3,FALSE)</f>
        <v>8741.6200000000008</v>
      </c>
      <c r="G17" s="73">
        <f t="shared" si="0"/>
        <v>739.38370284000007</v>
      </c>
      <c r="H17" s="1529">
        <v>8324.2000000000007</v>
      </c>
      <c r="I17" s="498">
        <f t="shared" si="1"/>
        <v>704.07748440000012</v>
      </c>
      <c r="J17" s="536">
        <f t="shared" si="2"/>
        <v>5.0145359313807916</v>
      </c>
      <c r="K17" s="1098">
        <f t="shared" si="3"/>
        <v>8.4582000000000004E-2</v>
      </c>
      <c r="L17" s="336">
        <f t="shared" si="4"/>
        <v>16.001999999999999</v>
      </c>
      <c r="M17" s="1403">
        <f t="shared" si="5"/>
        <v>139883.40324000001</v>
      </c>
    </row>
    <row r="18" spans="2:13" ht="16.5" x14ac:dyDescent="0.3">
      <c r="B18" s="563">
        <f>VLOOKUP(C18,[1]Hoja1!$B$2:$C$260,2,FALSE)</f>
        <v>2906001</v>
      </c>
      <c r="C18" s="74" t="s">
        <v>831</v>
      </c>
      <c r="D18" s="190">
        <v>5.8608000000000007E-2</v>
      </c>
      <c r="E18" s="70">
        <v>4.4000000000000004</v>
      </c>
      <c r="F18" s="1516">
        <f>VLOOKUP(B18,[2]Hoja1!$C$2:$E$279,3,FALSE)</f>
        <v>1956.71</v>
      </c>
      <c r="G18" s="73">
        <f t="shared" si="0"/>
        <v>114.67885968000002</v>
      </c>
      <c r="H18" s="1528">
        <v>12670.44</v>
      </c>
      <c r="I18" s="498">
        <f t="shared" si="1"/>
        <v>742.5891475200001</v>
      </c>
      <c r="J18" s="536">
        <f t="shared" si="2"/>
        <v>-84.556889894904998</v>
      </c>
      <c r="K18" s="1098">
        <f t="shared" si="3"/>
        <v>5.8608000000000007E-2</v>
      </c>
      <c r="L18" s="336">
        <f t="shared" si="4"/>
        <v>11.088000000000001</v>
      </c>
      <c r="M18" s="1403">
        <f t="shared" si="5"/>
        <v>21696.000480000002</v>
      </c>
    </row>
    <row r="19" spans="2:13" ht="16.5" x14ac:dyDescent="0.3">
      <c r="B19" s="563">
        <f>VLOOKUP(C19,[1]Hoja1!$B$2:$C$260,2,FALSE)</f>
        <v>1220010</v>
      </c>
      <c r="C19" s="74" t="s">
        <v>1144</v>
      </c>
      <c r="D19" s="190">
        <v>9.323999999999999E-3</v>
      </c>
      <c r="E19" s="70">
        <v>0.7</v>
      </c>
      <c r="F19" s="1516">
        <f>VLOOKUP(B19,[2]Hoja1!$C$2:$E$279,3,FALSE)</f>
        <v>4744.72</v>
      </c>
      <c r="G19" s="73">
        <f t="shared" si="0"/>
        <v>44.239769279999997</v>
      </c>
      <c r="H19" s="965">
        <v>11340</v>
      </c>
      <c r="I19" s="498">
        <f t="shared" si="1"/>
        <v>105.73415999999999</v>
      </c>
      <c r="J19" s="536">
        <f t="shared" si="2"/>
        <v>-58.159435626102294</v>
      </c>
      <c r="K19" s="1098">
        <f t="shared" si="3"/>
        <v>9.323999999999999E-3</v>
      </c>
      <c r="L19" s="336">
        <f>+$L$4*E19%</f>
        <v>1.7639999999999998</v>
      </c>
      <c r="M19" s="1403">
        <f t="shared" si="5"/>
        <v>8369.6860799999995</v>
      </c>
    </row>
    <row r="20" spans="2:13" ht="16.5" x14ac:dyDescent="0.3">
      <c r="B20" s="563">
        <v>1240007</v>
      </c>
      <c r="C20" s="523" t="s">
        <v>1352</v>
      </c>
      <c r="D20" s="1517">
        <v>6.6600000000000001E-3</v>
      </c>
      <c r="E20" s="523">
        <v>0.5</v>
      </c>
      <c r="F20" s="1516">
        <f>VLOOKUP(B20,[2]Hoja1!$C$2:$E$279,3,FALSE)</f>
        <v>25921.42</v>
      </c>
      <c r="G20" s="73">
        <f t="shared" si="0"/>
        <v>172.6366572</v>
      </c>
      <c r="H20" s="965">
        <v>324156.28000000003</v>
      </c>
      <c r="I20" s="498">
        <f t="shared" si="1"/>
        <v>2158.8808248</v>
      </c>
      <c r="J20" s="536">
        <f t="shared" si="2"/>
        <v>-92.003418844762166</v>
      </c>
      <c r="K20" s="1098">
        <f t="shared" si="3"/>
        <v>6.6600000000000001E-3</v>
      </c>
      <c r="L20" s="336">
        <f>+$L$4*E20%</f>
        <v>1.26</v>
      </c>
      <c r="M20" s="1518">
        <f t="shared" si="5"/>
        <v>32660.989199999996</v>
      </c>
    </row>
    <row r="21" spans="2:13" s="146" customFormat="1" ht="16.5" x14ac:dyDescent="0.25">
      <c r="B21" s="1780" t="s">
        <v>37</v>
      </c>
      <c r="C21" s="1780"/>
      <c r="D21" s="1329">
        <f>SUM(D5:D19)</f>
        <v>1.3252467599999997</v>
      </c>
      <c r="E21" s="1651">
        <f>SUM(E5:E20)</f>
        <v>99.992999999999995</v>
      </c>
      <c r="F21" s="1330"/>
      <c r="G21" s="1354">
        <f>SUM(G5:G20)</f>
        <v>10032.625374091202</v>
      </c>
      <c r="H21" s="1330"/>
      <c r="I21" s="1354">
        <f>SUM(I5:I19)</f>
        <v>10819.386641408402</v>
      </c>
      <c r="J21" s="1331">
        <f>((G21/I21)*100)-100</f>
        <v>-7.2717732843197922</v>
      </c>
      <c r="K21" s="1341"/>
      <c r="L21" s="1341"/>
      <c r="M21" s="1519">
        <f>SUM(M5:M20)</f>
        <v>1898064.2599631997</v>
      </c>
    </row>
    <row r="22" spans="2:13" x14ac:dyDescent="0.25">
      <c r="J22" s="775"/>
    </row>
    <row r="23" spans="2:13" ht="25.5" x14ac:dyDescent="0.25">
      <c r="B23" s="1765" t="s">
        <v>50</v>
      </c>
      <c r="C23" s="1766"/>
      <c r="D23" s="38">
        <f>+C26+(C26*C32%)</f>
        <v>1332</v>
      </c>
      <c r="E23" s="159"/>
      <c r="F23" s="159"/>
      <c r="G23" s="159"/>
      <c r="H23" s="159"/>
      <c r="I23" s="159"/>
      <c r="J23" s="159"/>
    </row>
    <row r="24" spans="2:13" x14ac:dyDescent="0.25">
      <c r="B24" s="1284" t="s">
        <v>38</v>
      </c>
      <c r="C24" s="161" t="s">
        <v>123</v>
      </c>
    </row>
    <row r="25" spans="2:13" x14ac:dyDescent="0.25">
      <c r="B25" s="1285" t="s">
        <v>39</v>
      </c>
      <c r="C25" s="163" t="s">
        <v>783</v>
      </c>
    </row>
    <row r="26" spans="2:13" x14ac:dyDescent="0.25">
      <c r="B26" s="1285" t="s">
        <v>40</v>
      </c>
      <c r="C26" s="163">
        <v>1200</v>
      </c>
    </row>
    <row r="27" spans="2:13" x14ac:dyDescent="0.25">
      <c r="B27" s="1285" t="s">
        <v>41</v>
      </c>
      <c r="C27" s="163">
        <v>0</v>
      </c>
    </row>
    <row r="28" spans="2:13" x14ac:dyDescent="0.25">
      <c r="B28" s="1285" t="s">
        <v>42</v>
      </c>
      <c r="C28" s="163">
        <v>6</v>
      </c>
    </row>
    <row r="29" spans="2:13" x14ac:dyDescent="0.25">
      <c r="B29" s="1285" t="s">
        <v>43</v>
      </c>
      <c r="C29" s="163">
        <v>2</v>
      </c>
    </row>
    <row r="30" spans="2:13" x14ac:dyDescent="0.25">
      <c r="B30" s="1285" t="s">
        <v>44</v>
      </c>
      <c r="C30" s="163">
        <v>1</v>
      </c>
    </row>
    <row r="31" spans="2:13" x14ac:dyDescent="0.25">
      <c r="B31" s="1285" t="s">
        <v>45</v>
      </c>
      <c r="C31" s="163">
        <v>2</v>
      </c>
    </row>
    <row r="32" spans="2:13" x14ac:dyDescent="0.25">
      <c r="B32" s="1285" t="s">
        <v>46</v>
      </c>
      <c r="C32" s="163">
        <f>C31+C30+C29+C28</f>
        <v>11</v>
      </c>
    </row>
    <row r="33" spans="2:12" x14ac:dyDescent="0.25">
      <c r="E33" s="120">
        <f>0.123*20</f>
        <v>2.46</v>
      </c>
    </row>
    <row r="34" spans="2:12" ht="25.5" x14ac:dyDescent="0.25">
      <c r="B34" s="1789" t="s">
        <v>47</v>
      </c>
      <c r="C34" s="1790"/>
      <c r="D34" s="1790"/>
      <c r="E34" s="1790"/>
      <c r="F34" s="1790"/>
      <c r="G34" s="1790"/>
      <c r="H34" s="1791"/>
      <c r="I34" s="789"/>
      <c r="J34" s="857"/>
    </row>
    <row r="35" spans="2:12" ht="25.5" x14ac:dyDescent="0.25">
      <c r="B35" s="1368" t="s">
        <v>0</v>
      </c>
      <c r="C35" s="1368" t="s">
        <v>1</v>
      </c>
      <c r="D35" s="1369" t="s">
        <v>2</v>
      </c>
      <c r="E35" s="1243" t="str">
        <f>+'CIF Y PV'!$F$4</f>
        <v xml:space="preserve">JUN-COP/UMB </v>
      </c>
      <c r="F35" s="1243" t="str">
        <f>+'CIF Y PV'!$G$4</f>
        <v>JUN-COP/APP</v>
      </c>
      <c r="G35" s="1243" t="str">
        <f>+'CIF Y PV'!$H$4</f>
        <v xml:space="preserve">MAY-COP/UMB </v>
      </c>
      <c r="H35" s="1243" t="str">
        <f>+'CIF Y PV'!$I$4</f>
        <v>MAY-COP/APP</v>
      </c>
      <c r="I35" s="1244" t="s">
        <v>3</v>
      </c>
      <c r="J35" s="870"/>
    </row>
    <row r="36" spans="2:12" ht="16.5" x14ac:dyDescent="0.25">
      <c r="B36" s="694">
        <f>VLOOKUP(C36,[1]Hoja1!$B$2:$C$260,2,FALSE)</f>
        <v>1370009</v>
      </c>
      <c r="C36" s="694" t="s">
        <v>1154</v>
      </c>
      <c r="D36" s="1520">
        <v>2.46</v>
      </c>
      <c r="E36" s="677">
        <f>VLOOKUP(B36,[2]Hoja1!$C$2:$E$279,3,FALSE)</f>
        <v>487.07</v>
      </c>
      <c r="F36" s="677">
        <f>E36*D36</f>
        <v>1198.1922</v>
      </c>
      <c r="G36" s="677">
        <v>504.87</v>
      </c>
      <c r="H36" s="677">
        <f>G36*D36</f>
        <v>1241.9802</v>
      </c>
      <c r="I36" s="566">
        <f>((F36/H36)*100)-100</f>
        <v>-3.5256600709093391</v>
      </c>
      <c r="J36" s="389"/>
    </row>
    <row r="37" spans="2:12" ht="16.5" x14ac:dyDescent="0.3">
      <c r="B37" s="694">
        <f>VLOOKUP(C37,[1]Hoja1!$B$2:$C$260,2,FALSE)</f>
        <v>1310018</v>
      </c>
      <c r="C37" s="694" t="s">
        <v>890</v>
      </c>
      <c r="D37" s="1520">
        <v>0.15</v>
      </c>
      <c r="E37" s="677">
        <f>VLOOKUP(B37,[2]Hoja1!$C$2:$E$279,3,FALSE)</f>
        <v>478.26</v>
      </c>
      <c r="F37" s="677">
        <f>E37*D37</f>
        <v>71.73899999999999</v>
      </c>
      <c r="G37" s="970">
        <v>503.51</v>
      </c>
      <c r="H37" s="677">
        <f>G37*D37</f>
        <v>75.526499999999999</v>
      </c>
      <c r="I37" s="566">
        <f>((F37/H37)*100)-100</f>
        <v>-5.0147961311592724</v>
      </c>
      <c r="J37" s="389"/>
    </row>
    <row r="38" spans="2:12" ht="16.5" x14ac:dyDescent="0.3">
      <c r="B38" s="694">
        <f>VLOOKUP(C38,[1]Hoja1!$B$2:$C$260,2,FALSE)</f>
        <v>1320004</v>
      </c>
      <c r="C38" s="694" t="s">
        <v>1141</v>
      </c>
      <c r="D38" s="1520">
        <v>0.15</v>
      </c>
      <c r="E38" s="677">
        <f>VLOOKUP(B38,[2]Hoja1!$C$2:$E$279,3,FALSE)</f>
        <v>1481.51</v>
      </c>
      <c r="F38" s="677">
        <f>E38*D38</f>
        <v>222.22649999999999</v>
      </c>
      <c r="G38" s="582">
        <v>1575.9</v>
      </c>
      <c r="H38" s="677">
        <f>G38*D38</f>
        <v>236.38499999999999</v>
      </c>
      <c r="I38" s="566">
        <f>((F38/H38)*100)-100</f>
        <v>-5.9895932483025547</v>
      </c>
      <c r="J38" s="389"/>
    </row>
    <row r="39" spans="2:12" ht="16.5" x14ac:dyDescent="0.25">
      <c r="B39" s="694">
        <f>VLOOKUP(C39,[1]Hoja1!$B$2:$C$260,2,FALSE)</f>
        <v>1330022</v>
      </c>
      <c r="C39" s="694" t="s">
        <v>943</v>
      </c>
      <c r="D39" s="1520">
        <v>1</v>
      </c>
      <c r="E39" s="677">
        <f>VLOOKUP(B39,[2]Hoja1!$C$2:$E$279,3,FALSE)</f>
        <v>40.869999999999997</v>
      </c>
      <c r="F39" s="677">
        <f>E39*D39</f>
        <v>40.869999999999997</v>
      </c>
      <c r="G39" s="677">
        <v>40.200000000000003</v>
      </c>
      <c r="H39" s="677">
        <f>G39*D39</f>
        <v>40.200000000000003</v>
      </c>
      <c r="I39" s="566">
        <f>((F39/H39)*100)-100</f>
        <v>1.6666666666666572</v>
      </c>
      <c r="J39" s="389"/>
    </row>
    <row r="40" spans="2:12" ht="14.25" x14ac:dyDescent="0.25">
      <c r="B40" s="1521"/>
      <c r="C40" s="1521" t="s">
        <v>37</v>
      </c>
      <c r="D40" s="1522"/>
      <c r="E40" s="1523"/>
      <c r="F40" s="1523">
        <f>SUM(F36:F39)</f>
        <v>1533.0276999999999</v>
      </c>
      <c r="G40" s="1523"/>
      <c r="H40" s="1523">
        <f>SUM(H36:H39)</f>
        <v>1594.0916999999999</v>
      </c>
      <c r="I40" s="1350">
        <f>((F40/H40)*100)-100</f>
        <v>-3.8306453762979942</v>
      </c>
      <c r="J40" s="859"/>
    </row>
    <row r="41" spans="2:12" x14ac:dyDescent="0.25">
      <c r="I41" s="1" t="str">
        <f>+'CIF Y PV'!$G$1</f>
        <v>MAYO</v>
      </c>
      <c r="J41" s="890"/>
      <c r="K41" s="890"/>
      <c r="L41" s="890"/>
    </row>
    <row r="42" spans="2:12" x14ac:dyDescent="0.25">
      <c r="B42" s="1735" t="s">
        <v>194</v>
      </c>
      <c r="C42" s="1735"/>
      <c r="E42" s="884"/>
      <c r="F42" s="884"/>
      <c r="G42" s="884"/>
      <c r="H42" s="884"/>
      <c r="I42" s="1375">
        <f>F40+G21</f>
        <v>11565.653074091202</v>
      </c>
      <c r="J42" s="888"/>
      <c r="K42" s="887"/>
      <c r="L42" s="888"/>
    </row>
    <row r="43" spans="2:12" x14ac:dyDescent="0.25">
      <c r="B43" s="1736" t="s">
        <v>48</v>
      </c>
      <c r="C43" s="1737"/>
      <c r="E43" s="884"/>
      <c r="F43" s="884"/>
      <c r="G43" s="884"/>
      <c r="H43" s="884"/>
      <c r="I43" s="1375">
        <f>+('CIF Y PV'!C3/1000)*1200</f>
        <v>2268</v>
      </c>
      <c r="J43" s="888"/>
      <c r="K43" s="887"/>
      <c r="L43" s="888"/>
    </row>
    <row r="44" spans="2:12" x14ac:dyDescent="0.25">
      <c r="B44" s="1736" t="s">
        <v>195</v>
      </c>
      <c r="C44" s="1737"/>
      <c r="E44" s="884"/>
      <c r="F44" s="884"/>
      <c r="G44" s="884"/>
      <c r="H44" s="884"/>
      <c r="I44" s="1375">
        <f>+I42+I43</f>
        <v>13833.653074091202</v>
      </c>
      <c r="J44" s="888"/>
      <c r="K44" s="887"/>
      <c r="L44" s="888"/>
    </row>
    <row r="45" spans="2:12" x14ac:dyDescent="0.25">
      <c r="B45" s="1735" t="s">
        <v>49</v>
      </c>
      <c r="C45" s="1735"/>
      <c r="E45" s="884"/>
      <c r="F45" s="884"/>
      <c r="G45" s="884"/>
      <c r="H45" s="884"/>
      <c r="I45" s="1376">
        <f>'CIF Y PV'!C22</f>
        <v>28067.500000000004</v>
      </c>
      <c r="K45" s="887"/>
      <c r="L45" s="895"/>
    </row>
    <row r="46" spans="2:12" ht="14.45" customHeight="1" x14ac:dyDescent="0.2">
      <c r="B46" s="1735" t="s">
        <v>805</v>
      </c>
      <c r="C46" s="1735"/>
      <c r="E46" s="884"/>
      <c r="F46" s="884"/>
      <c r="G46" s="884"/>
      <c r="H46" s="884"/>
      <c r="I46" s="928">
        <f>+(I45-I44)/I45</f>
        <v>0.5071291324809406</v>
      </c>
      <c r="J46" s="893"/>
      <c r="K46" s="894"/>
      <c r="L46" s="893">
        <f>1-L45</f>
        <v>1</v>
      </c>
    </row>
    <row r="47" spans="2:12" x14ac:dyDescent="0.25">
      <c r="I47" s="890"/>
      <c r="J47" s="890"/>
      <c r="K47" s="890"/>
      <c r="L47" s="890"/>
    </row>
    <row r="48" spans="2:12" x14ac:dyDescent="0.25">
      <c r="I48" s="890"/>
      <c r="J48" s="890"/>
      <c r="K48" s="890"/>
      <c r="L48" s="890"/>
    </row>
  </sheetData>
  <autoFilter ref="B4:K21" xr:uid="{3D9D749A-2CFB-4653-B278-888C40AB2880}"/>
  <mergeCells count="9">
    <mergeCell ref="B44:C44"/>
    <mergeCell ref="B45:C45"/>
    <mergeCell ref="B46:C46"/>
    <mergeCell ref="B2:I2"/>
    <mergeCell ref="B21:C21"/>
    <mergeCell ref="B23:C23"/>
    <mergeCell ref="B34:H34"/>
    <mergeCell ref="B42:C42"/>
    <mergeCell ref="B43:C4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EECA-F60D-41F5-98AE-CA4DAD18750B}">
  <sheetPr codeName="Hoja104"/>
  <dimension ref="B2:M49"/>
  <sheetViews>
    <sheetView topLeftCell="A31" zoomScaleNormal="100" workbookViewId="0">
      <selection activeCell="F20" sqref="F20"/>
    </sheetView>
  </sheetViews>
  <sheetFormatPr baseColWidth="10" defaultColWidth="11.5703125" defaultRowHeight="13.5" x14ac:dyDescent="0.25"/>
  <cols>
    <col min="1" max="1" width="10.7109375" style="120" customWidth="1"/>
    <col min="2" max="2" width="11.5703125" style="120"/>
    <col min="3" max="3" width="67.42578125" style="120" bestFit="1" customWidth="1"/>
    <col min="4" max="4" width="11.5703125" style="119" customWidth="1"/>
    <col min="5" max="5" width="11.5703125" style="120" customWidth="1"/>
    <col min="6" max="6" width="15.5703125" style="120" customWidth="1"/>
    <col min="7" max="7" width="11.5703125" style="120" customWidth="1"/>
    <col min="8" max="8" width="20.7109375" style="120" bestFit="1" customWidth="1"/>
    <col min="9" max="10" width="14.28515625" style="120" customWidth="1"/>
    <col min="11" max="11" width="11.5703125" style="120" customWidth="1"/>
    <col min="12" max="12" width="11.5703125" style="120"/>
    <col min="13" max="13" width="15.42578125" style="120" bestFit="1" customWidth="1"/>
    <col min="14" max="16384" width="11.5703125" style="120"/>
  </cols>
  <sheetData>
    <row r="2" spans="2:13" ht="25.5" x14ac:dyDescent="0.25">
      <c r="B2" s="1743" t="s">
        <v>1092</v>
      </c>
      <c r="C2" s="1743"/>
      <c r="D2" s="1743"/>
      <c r="E2" s="1743"/>
      <c r="F2" s="1743"/>
      <c r="G2" s="1743"/>
      <c r="H2" s="1743"/>
      <c r="I2" s="1743"/>
      <c r="J2" s="43"/>
    </row>
    <row r="4" spans="2:13" ht="25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367">
        <f>+D23/1000</f>
        <v>0.33600000000000002</v>
      </c>
      <c r="L4" s="1310">
        <v>252</v>
      </c>
      <c r="M4" s="1339" t="s">
        <v>1128</v>
      </c>
    </row>
    <row r="5" spans="2:13" x14ac:dyDescent="0.25">
      <c r="B5" s="4">
        <f>VLOOKUP(C5,[1]Hoja1!$B$2:$C$260,2,FALSE)</f>
        <v>1122008</v>
      </c>
      <c r="C5" s="6" t="s">
        <v>1028</v>
      </c>
      <c r="D5" s="166">
        <v>0.11999904000000002</v>
      </c>
      <c r="E5" s="167">
        <v>35.713999999999999</v>
      </c>
      <c r="F5" s="1236">
        <f>VLOOKUP(B5,[2]Hoja1!$C$2:$E$279,3,FALSE)</f>
        <v>12059.2</v>
      </c>
      <c r="G5" s="96">
        <f>F5*D5</f>
        <v>1447.0924231680003</v>
      </c>
      <c r="H5" s="1236">
        <v>12498.88</v>
      </c>
      <c r="I5" s="805">
        <f>H5*D5</f>
        <v>1499.8536010752</v>
      </c>
      <c r="J5" s="248">
        <f>((F5/H5)*100)-100</f>
        <v>-3.5177551908650884</v>
      </c>
      <c r="K5" s="146">
        <f>$K$4*E5%</f>
        <v>0.11999904000000002</v>
      </c>
      <c r="L5" s="178">
        <f>+$L$4*E5%</f>
        <v>89.999279999999999</v>
      </c>
      <c r="M5" s="1231">
        <f>L5*F5</f>
        <v>1085319.3173760001</v>
      </c>
    </row>
    <row r="6" spans="2:13" x14ac:dyDescent="0.25">
      <c r="B6" s="4">
        <f>VLOOKUP(C6,[1]Hoja1!$B$2:$C$260,2,FALSE)</f>
        <v>1112001</v>
      </c>
      <c r="C6" s="6" t="s">
        <v>797</v>
      </c>
      <c r="D6" s="143">
        <v>5.0665440000000006E-2</v>
      </c>
      <c r="E6" s="106">
        <v>15.079000000000001</v>
      </c>
      <c r="F6" s="1236">
        <f>VLOOKUP(B6,[2]Hoja1!$C$2:$E$279,3,FALSE)</f>
        <v>3663.96</v>
      </c>
      <c r="G6" s="96">
        <f t="shared" ref="G6:G20" si="0">F6*D6</f>
        <v>185.63614554240002</v>
      </c>
      <c r="H6" s="1530">
        <v>4222.72</v>
      </c>
      <c r="I6" s="805">
        <f t="shared" ref="I6:I20" si="1">H6*D6</f>
        <v>213.94596679680004</v>
      </c>
      <c r="J6" s="233">
        <f t="shared" ref="J6:J20" si="2">((F6/H6)*100)-100</f>
        <v>-13.232229463473786</v>
      </c>
      <c r="K6" s="146">
        <f t="shared" ref="K6:K20" si="3">$K$4*E6%</f>
        <v>5.0665440000000006E-2</v>
      </c>
      <c r="L6" s="178">
        <f t="shared" ref="L6:L20" si="4">+$L$4*E6%</f>
        <v>37.999079999999999</v>
      </c>
      <c r="M6" s="1231">
        <f t="shared" ref="M6:M19" si="5">L6*F6</f>
        <v>139227.1091568</v>
      </c>
    </row>
    <row r="7" spans="2:13" x14ac:dyDescent="0.25">
      <c r="B7" s="4">
        <f>VLOOKUP(C7,[1]Hoja1!$B$2:$C$260,2,FALSE)</f>
        <v>1131002</v>
      </c>
      <c r="C7" s="6" t="s">
        <v>663</v>
      </c>
      <c r="D7" s="143">
        <v>9.3206399999999995E-2</v>
      </c>
      <c r="E7" s="106">
        <v>27.74</v>
      </c>
      <c r="F7" s="1236">
        <f>VLOOKUP(B7,[2]Hoja1!$C$2:$E$279,3,FALSE)</f>
        <v>0</v>
      </c>
      <c r="G7" s="96">
        <f t="shared" si="0"/>
        <v>0</v>
      </c>
      <c r="H7" s="1530">
        <v>0</v>
      </c>
      <c r="I7" s="805">
        <f t="shared" si="1"/>
        <v>0</v>
      </c>
      <c r="J7" s="233" t="e">
        <f t="shared" si="2"/>
        <v>#DIV/0!</v>
      </c>
      <c r="K7" s="146">
        <f t="shared" si="3"/>
        <v>9.3206399999999995E-2</v>
      </c>
      <c r="L7" s="178">
        <f t="shared" si="4"/>
        <v>69.904799999999994</v>
      </c>
      <c r="M7" s="1231">
        <f t="shared" si="5"/>
        <v>0</v>
      </c>
    </row>
    <row r="8" spans="2:13" x14ac:dyDescent="0.25">
      <c r="B8" s="4">
        <f>VLOOKUP(C8,[1]Hoja1!$B$2:$C$260,2,FALSE)</f>
        <v>1230006</v>
      </c>
      <c r="C8" s="6" t="s">
        <v>1153</v>
      </c>
      <c r="D8" s="143">
        <v>6.4008000000000008E-3</v>
      </c>
      <c r="E8" s="106">
        <v>1.905</v>
      </c>
      <c r="F8" s="1236">
        <f>VLOOKUP(B8,[2]Hoja1!$C$2:$E$279,3,FALSE)</f>
        <v>44693.38</v>
      </c>
      <c r="G8" s="96">
        <f t="shared" si="0"/>
        <v>286.07338670400003</v>
      </c>
      <c r="H8" s="1531">
        <v>42594.15</v>
      </c>
      <c r="I8" s="805">
        <f t="shared" si="1"/>
        <v>272.63663532000004</v>
      </c>
      <c r="J8" s="233">
        <f t="shared" si="2"/>
        <v>4.9284467467950179</v>
      </c>
      <c r="K8" s="146">
        <f t="shared" si="3"/>
        <v>6.4008000000000008E-3</v>
      </c>
      <c r="L8" s="178">
        <f t="shared" si="4"/>
        <v>4.8006000000000002</v>
      </c>
      <c r="M8" s="1231">
        <f t="shared" si="5"/>
        <v>214555.04002799999</v>
      </c>
    </row>
    <row r="9" spans="2:13" x14ac:dyDescent="0.25">
      <c r="B9" s="4">
        <f>VLOOKUP(C9,[1]Hoja1!$B$2:$C$260,2,FALSE)</f>
        <v>1210006</v>
      </c>
      <c r="C9" s="6" t="s">
        <v>1130</v>
      </c>
      <c r="D9" s="143">
        <v>4.2000000000000006E-3</v>
      </c>
      <c r="E9" s="106">
        <v>1.25</v>
      </c>
      <c r="F9" s="1236">
        <f>VLOOKUP(B9,[2]Hoja1!$C$2:$E$279,3,FALSE)</f>
        <v>8904.4500000000007</v>
      </c>
      <c r="G9" s="96">
        <f t="shared" si="0"/>
        <v>37.398690000000009</v>
      </c>
      <c r="H9" s="1532">
        <v>8910.1</v>
      </c>
      <c r="I9" s="805">
        <f t="shared" si="1"/>
        <v>37.42242000000001</v>
      </c>
      <c r="J9" s="233">
        <f t="shared" si="2"/>
        <v>-6.3411185059649711E-2</v>
      </c>
      <c r="K9" s="863">
        <f t="shared" si="3"/>
        <v>4.2000000000000006E-3</v>
      </c>
      <c r="L9" s="178">
        <f t="shared" si="4"/>
        <v>3.1500000000000004</v>
      </c>
      <c r="M9" s="1231">
        <f t="shared" si="5"/>
        <v>28049.017500000005</v>
      </c>
    </row>
    <row r="10" spans="2:13" x14ac:dyDescent="0.25">
      <c r="B10" s="4">
        <f>VLOOKUP(C10,[1]Hoja1!$B$2:$C$260,2,FALSE)</f>
        <v>1210004</v>
      </c>
      <c r="C10" s="6" t="s">
        <v>1131</v>
      </c>
      <c r="D10" s="143">
        <v>4.3679999999999999E-4</v>
      </c>
      <c r="E10" s="106">
        <v>0.13</v>
      </c>
      <c r="F10" s="1236">
        <f>VLOOKUP(B10,[2]Hoja1!$C$2:$E$279,3,FALSE)</f>
        <v>3841</v>
      </c>
      <c r="G10" s="96">
        <f t="shared" si="0"/>
        <v>1.6777488</v>
      </c>
      <c r="H10" s="1532">
        <v>3508.01</v>
      </c>
      <c r="I10" s="805">
        <f t="shared" si="1"/>
        <v>1.532298768</v>
      </c>
      <c r="J10" s="233">
        <f t="shared" si="2"/>
        <v>9.4922762477871885</v>
      </c>
      <c r="K10" s="863">
        <f t="shared" si="3"/>
        <v>4.3679999999999999E-4</v>
      </c>
      <c r="L10" s="178">
        <f t="shared" si="4"/>
        <v>0.3276</v>
      </c>
      <c r="M10" s="1231">
        <f t="shared" si="5"/>
        <v>1258.3116</v>
      </c>
    </row>
    <row r="11" spans="2:13" x14ac:dyDescent="0.25">
      <c r="B11" s="4">
        <f>VLOOKUP(C11,[1]Hoja1!$B$2:$C$260,2,FALSE)</f>
        <v>121007</v>
      </c>
      <c r="C11" s="6" t="s">
        <v>821</v>
      </c>
      <c r="D11" s="143">
        <v>1.3339200000000002E-3</v>
      </c>
      <c r="E11" s="106">
        <v>0.39700000000000002</v>
      </c>
      <c r="F11" s="1236">
        <f>VLOOKUP(B11,[2]Hoja1!$C$2:$E$279,3,FALSE)</f>
        <v>16905</v>
      </c>
      <c r="G11" s="96">
        <f t="shared" si="0"/>
        <v>22.549917600000004</v>
      </c>
      <c r="H11" s="1533">
        <v>16100</v>
      </c>
      <c r="I11" s="805">
        <f t="shared" si="1"/>
        <v>21.476112000000004</v>
      </c>
      <c r="J11" s="233">
        <f t="shared" si="2"/>
        <v>5</v>
      </c>
      <c r="K11" s="863">
        <f t="shared" si="3"/>
        <v>1.3339200000000002E-3</v>
      </c>
      <c r="L11" s="178">
        <f t="shared" si="4"/>
        <v>1.0004400000000002</v>
      </c>
      <c r="M11" s="1231">
        <f t="shared" si="5"/>
        <v>16912.438200000004</v>
      </c>
    </row>
    <row r="12" spans="2:13" x14ac:dyDescent="0.25">
      <c r="B12" s="4">
        <f>VLOOKUP(C12,[1]Hoja1!$B$2:$C$260,2,FALSE)</f>
        <v>1230012</v>
      </c>
      <c r="C12" s="6" t="s">
        <v>798</v>
      </c>
      <c r="D12" s="143">
        <v>1.6665600000000001E-3</v>
      </c>
      <c r="E12" s="106">
        <v>0.496</v>
      </c>
      <c r="F12" s="1236">
        <f>VLOOKUP(B12,[2]Hoja1!$C$2:$E$279,3,FALSE)</f>
        <v>31314.19</v>
      </c>
      <c r="G12" s="96">
        <f t="shared" si="0"/>
        <v>52.186976486399999</v>
      </c>
      <c r="H12" s="1534">
        <v>29941</v>
      </c>
      <c r="I12" s="805">
        <f t="shared" si="1"/>
        <v>49.898472959999999</v>
      </c>
      <c r="J12" s="233">
        <f t="shared" si="2"/>
        <v>4.5863197621989826</v>
      </c>
      <c r="K12" s="863">
        <f t="shared" si="3"/>
        <v>1.6665600000000001E-3</v>
      </c>
      <c r="L12" s="178">
        <f t="shared" si="4"/>
        <v>1.2499199999999999</v>
      </c>
      <c r="M12" s="1231">
        <f t="shared" si="5"/>
        <v>39140.232364799995</v>
      </c>
    </row>
    <row r="13" spans="2:13" x14ac:dyDescent="0.25">
      <c r="B13" s="4">
        <f>VLOOKUP(C13,[1]Hoja1!$B$2:$C$260,2,FALSE)</f>
        <v>1250003</v>
      </c>
      <c r="C13" s="6" t="s">
        <v>914</v>
      </c>
      <c r="D13" s="143">
        <v>1.0752000000000001E-4</v>
      </c>
      <c r="E13" s="106">
        <v>3.2000000000000001E-2</v>
      </c>
      <c r="F13" s="1236">
        <f>VLOOKUP(B13,[2]Hoja1!$C$2:$E$279,3,FALSE)</f>
        <v>50952.79</v>
      </c>
      <c r="G13" s="96">
        <f t="shared" si="0"/>
        <v>5.4784439808000007</v>
      </c>
      <c r="H13" s="1535">
        <v>47385.41</v>
      </c>
      <c r="I13" s="805">
        <f t="shared" si="1"/>
        <v>5.0948792832000009</v>
      </c>
      <c r="J13" s="233">
        <f t="shared" si="2"/>
        <v>7.5284354403602123</v>
      </c>
      <c r="K13" s="863">
        <f t="shared" si="3"/>
        <v>1.0752000000000001E-4</v>
      </c>
      <c r="L13" s="178">
        <f t="shared" si="4"/>
        <v>8.0640000000000003E-2</v>
      </c>
      <c r="M13" s="1231">
        <f t="shared" si="5"/>
        <v>4108.8329856</v>
      </c>
    </row>
    <row r="14" spans="2:13" x14ac:dyDescent="0.25">
      <c r="B14" s="4">
        <f>VLOOKUP(C14,[1]Hoja1!$B$2:$C$260,2,FALSE)</f>
        <v>1250001</v>
      </c>
      <c r="C14" s="6" t="s">
        <v>1160</v>
      </c>
      <c r="D14" s="143">
        <v>4.032E-5</v>
      </c>
      <c r="E14" s="106">
        <v>1.2E-2</v>
      </c>
      <c r="F14" s="1236">
        <f>VLOOKUP(B14,[2]Hoja1!$C$2:$E$279,3,FALSE)</f>
        <v>5093.8999999999996</v>
      </c>
      <c r="G14" s="96">
        <f t="shared" si="0"/>
        <v>0.20538604799999999</v>
      </c>
      <c r="H14" s="1534">
        <v>4885.95</v>
      </c>
      <c r="I14" s="805">
        <f t="shared" si="1"/>
        <v>0.19700150399999999</v>
      </c>
      <c r="J14" s="233">
        <f t="shared" si="2"/>
        <v>4.256081212456138</v>
      </c>
      <c r="K14" s="863">
        <f t="shared" si="3"/>
        <v>4.032E-5</v>
      </c>
      <c r="L14" s="178">
        <f t="shared" si="4"/>
        <v>3.024E-2</v>
      </c>
      <c r="M14" s="1231">
        <f t="shared" si="5"/>
        <v>154.039536</v>
      </c>
    </row>
    <row r="15" spans="2:13" x14ac:dyDescent="0.25">
      <c r="B15" s="4">
        <f>VLOOKUP(C15,[1]Hoja1!$B$2:$C$260,2,FALSE)</f>
        <v>1260005</v>
      </c>
      <c r="C15" s="6" t="s">
        <v>811</v>
      </c>
      <c r="D15" s="143">
        <v>5.0668800000000002E-3</v>
      </c>
      <c r="E15" s="106">
        <v>1.508</v>
      </c>
      <c r="F15" s="1236">
        <f>VLOOKUP(B15,[2]Hoja1!$C$2:$E$279,3,FALSE)</f>
        <v>26429</v>
      </c>
      <c r="G15" s="96">
        <f t="shared" si="0"/>
        <v>133.91257152</v>
      </c>
      <c r="H15" s="1532">
        <v>25850</v>
      </c>
      <c r="I15" s="805">
        <f t="shared" si="1"/>
        <v>130.978848</v>
      </c>
      <c r="J15" s="233">
        <f t="shared" si="2"/>
        <v>2.2398452611218715</v>
      </c>
      <c r="K15" s="863">
        <f t="shared" si="3"/>
        <v>5.0668800000000002E-3</v>
      </c>
      <c r="L15" s="178">
        <f t="shared" si="4"/>
        <v>3.80016</v>
      </c>
      <c r="M15" s="1231">
        <f t="shared" si="5"/>
        <v>100434.42864</v>
      </c>
    </row>
    <row r="16" spans="2:13" x14ac:dyDescent="0.25">
      <c r="B16" s="4">
        <f>VLOOKUP(C16,[1]Hoja1!$B$2:$C$260,2,FALSE)</f>
        <v>1260010</v>
      </c>
      <c r="C16" s="6" t="s">
        <v>1043</v>
      </c>
      <c r="D16" s="143">
        <v>1.2700800000000002E-2</v>
      </c>
      <c r="E16" s="106">
        <v>3.78</v>
      </c>
      <c r="F16" s="1236">
        <f>VLOOKUP(B16,[2]Hoja1!$C$2:$E$279,3,FALSE)</f>
        <v>6959.71</v>
      </c>
      <c r="G16" s="96">
        <f t="shared" si="0"/>
        <v>88.393884768000007</v>
      </c>
      <c r="H16" s="1533">
        <v>8234.27</v>
      </c>
      <c r="I16" s="805">
        <f t="shared" si="1"/>
        <v>104.58181641600002</v>
      </c>
      <c r="J16" s="233">
        <f t="shared" si="2"/>
        <v>-15.478724890002397</v>
      </c>
      <c r="K16" s="863">
        <f t="shared" si="3"/>
        <v>1.2700800000000002E-2</v>
      </c>
      <c r="L16" s="178">
        <f t="shared" si="4"/>
        <v>9.5256000000000007</v>
      </c>
      <c r="M16" s="1231">
        <f t="shared" si="5"/>
        <v>66295.413576000006</v>
      </c>
    </row>
    <row r="17" spans="2:13" ht="15" x14ac:dyDescent="0.25">
      <c r="B17" s="4">
        <f>VLOOKUP(C17,[1]Hoja1!$B$2:$C$260,2,FALSE)</f>
        <v>1121009</v>
      </c>
      <c r="C17" s="6" t="s">
        <v>1272</v>
      </c>
      <c r="D17" s="143">
        <v>2.1336000000000001E-2</v>
      </c>
      <c r="E17" s="106">
        <v>6.35</v>
      </c>
      <c r="F17" s="1236">
        <f>VLOOKUP(B17,[2]Hoja1!$C$2:$E$279,3,FALSE)</f>
        <v>8741.6200000000008</v>
      </c>
      <c r="G17" s="96">
        <f t="shared" si="0"/>
        <v>186.51120432000002</v>
      </c>
      <c r="H17" s="1536">
        <v>8324.2000000000007</v>
      </c>
      <c r="I17" s="805">
        <f t="shared" si="1"/>
        <v>177.60513120000002</v>
      </c>
      <c r="J17" s="233">
        <f t="shared" si="2"/>
        <v>5.0145359313807916</v>
      </c>
      <c r="K17" s="863">
        <f t="shared" si="3"/>
        <v>2.1336000000000001E-2</v>
      </c>
      <c r="L17" s="178">
        <f t="shared" si="4"/>
        <v>16.001999999999999</v>
      </c>
      <c r="M17" s="1231">
        <f t="shared" si="5"/>
        <v>139883.40324000001</v>
      </c>
    </row>
    <row r="18" spans="2:13" x14ac:dyDescent="0.25">
      <c r="B18" s="4">
        <f>VLOOKUP(C18,[1]Hoja1!$B$2:$C$260,2,FALSE)</f>
        <v>2906001</v>
      </c>
      <c r="C18" s="6" t="s">
        <v>831</v>
      </c>
      <c r="D18" s="143">
        <v>1.4784000000000002E-2</v>
      </c>
      <c r="E18" s="106">
        <v>4.4000000000000004</v>
      </c>
      <c r="F18" s="1236">
        <f>VLOOKUP(B18,[2]Hoja1!$C$2:$E$279,3,FALSE)</f>
        <v>1956.71</v>
      </c>
      <c r="G18" s="96">
        <f t="shared" si="0"/>
        <v>28.928000640000004</v>
      </c>
      <c r="H18" s="1535">
        <v>12670.44</v>
      </c>
      <c r="I18" s="805">
        <f t="shared" si="1"/>
        <v>187.31978496000002</v>
      </c>
      <c r="J18" s="233">
        <f t="shared" si="2"/>
        <v>-84.556889894904998</v>
      </c>
      <c r="K18" s="863">
        <f t="shared" si="3"/>
        <v>1.4784000000000002E-2</v>
      </c>
      <c r="L18" s="178">
        <f t="shared" si="4"/>
        <v>11.088000000000001</v>
      </c>
      <c r="M18" s="1231">
        <f t="shared" si="5"/>
        <v>21696.000480000002</v>
      </c>
    </row>
    <row r="19" spans="2:13" x14ac:dyDescent="0.25">
      <c r="B19" s="4">
        <f>VLOOKUP(C19,[1]Hoja1!$B$2:$C$260,2,FALSE)</f>
        <v>1220010</v>
      </c>
      <c r="C19" s="6" t="s">
        <v>1144</v>
      </c>
      <c r="D19" s="143">
        <v>2.3519999999999999E-3</v>
      </c>
      <c r="E19" s="106">
        <v>0.7</v>
      </c>
      <c r="F19" s="1236">
        <f>VLOOKUP(B19,[2]Hoja1!$C$2:$E$279,3,FALSE)</f>
        <v>4744.72</v>
      </c>
      <c r="G19" s="96">
        <f t="shared" si="0"/>
        <v>11.15958144</v>
      </c>
      <c r="H19" s="1532">
        <v>11340</v>
      </c>
      <c r="I19" s="805">
        <f t="shared" si="1"/>
        <v>26.671679999999999</v>
      </c>
      <c r="J19" s="233">
        <f t="shared" si="2"/>
        <v>-58.159435626102294</v>
      </c>
      <c r="K19" s="863">
        <f t="shared" si="3"/>
        <v>2.3519999999999999E-3</v>
      </c>
      <c r="L19" s="178">
        <f t="shared" si="4"/>
        <v>1.7639999999999998</v>
      </c>
      <c r="M19" s="1231">
        <f t="shared" si="5"/>
        <v>8369.6860799999995</v>
      </c>
    </row>
    <row r="20" spans="2:13" ht="13.5" customHeight="1" x14ac:dyDescent="0.25">
      <c r="B20" s="4">
        <v>1240007</v>
      </c>
      <c r="C20" s="154" t="s">
        <v>1352</v>
      </c>
      <c r="D20" s="1161">
        <v>1.6800000000000001E-3</v>
      </c>
      <c r="E20" s="154">
        <v>0.5</v>
      </c>
      <c r="F20" s="1236">
        <f>VLOOKUP(B20,[2]Hoja1!$C$2:$E$279,3,FALSE)</f>
        <v>25921.42</v>
      </c>
      <c r="G20" s="96">
        <f t="shared" si="0"/>
        <v>43.547985599999997</v>
      </c>
      <c r="H20" s="1532">
        <v>324156.28000000003</v>
      </c>
      <c r="I20" s="1537">
        <f t="shared" si="1"/>
        <v>544.58255040000006</v>
      </c>
      <c r="J20" s="233">
        <f t="shared" si="2"/>
        <v>-92.003418844762166</v>
      </c>
      <c r="K20" s="863">
        <f t="shared" si="3"/>
        <v>1.6800000000000001E-3</v>
      </c>
      <c r="L20" s="178">
        <f t="shared" si="4"/>
        <v>1.26</v>
      </c>
      <c r="M20" s="1231">
        <f>L20*F20</f>
        <v>32660.989199999996</v>
      </c>
    </row>
    <row r="21" spans="2:13" s="146" customFormat="1" x14ac:dyDescent="0.25">
      <c r="B21" s="1764" t="s">
        <v>37</v>
      </c>
      <c r="C21" s="1764"/>
      <c r="D21" s="1278">
        <f>SUM(D5:D19)</f>
        <v>0.33429648000000006</v>
      </c>
      <c r="E21" s="1279">
        <f>SUM(E5:E20)</f>
        <v>99.992999999999995</v>
      </c>
      <c r="F21" s="1281"/>
      <c r="G21" s="1281">
        <f>SUM(G5:G20)</f>
        <v>2530.7523466176008</v>
      </c>
      <c r="H21" s="1281"/>
      <c r="I21" s="1280">
        <f>SUM(I5:I19)</f>
        <v>2729.2146482832009</v>
      </c>
      <c r="J21" s="1282">
        <f>((G21/I21)*100)-100</f>
        <v>-7.2717732843197922</v>
      </c>
      <c r="K21" s="1327"/>
      <c r="L21" s="1327"/>
      <c r="M21" s="1377">
        <f>SUM(M5:M20)</f>
        <v>1898064.2599631997</v>
      </c>
    </row>
    <row r="22" spans="2:13" x14ac:dyDescent="0.25">
      <c r="J22" s="775"/>
    </row>
    <row r="23" spans="2:13" ht="25.5" x14ac:dyDescent="0.25">
      <c r="B23" s="1765" t="s">
        <v>50</v>
      </c>
      <c r="C23" s="1766"/>
      <c r="D23" s="38">
        <f>+C26+(C26*C32%)</f>
        <v>336</v>
      </c>
      <c r="E23" s="159"/>
      <c r="F23" s="159"/>
      <c r="G23" s="159"/>
      <c r="H23" s="159"/>
      <c r="I23" s="159"/>
      <c r="J23" s="159"/>
    </row>
    <row r="24" spans="2:13" x14ac:dyDescent="0.25">
      <c r="B24" s="1284" t="s">
        <v>38</v>
      </c>
      <c r="C24" s="161" t="s">
        <v>123</v>
      </c>
    </row>
    <row r="25" spans="2:13" x14ac:dyDescent="0.25">
      <c r="B25" s="1285" t="s">
        <v>39</v>
      </c>
      <c r="C25" s="163" t="s">
        <v>783</v>
      </c>
    </row>
    <row r="26" spans="2:13" x14ac:dyDescent="0.25">
      <c r="B26" s="1285" t="s">
        <v>40</v>
      </c>
      <c r="C26" s="163">
        <v>300</v>
      </c>
    </row>
    <row r="27" spans="2:13" x14ac:dyDescent="0.25">
      <c r="B27" s="1285" t="s">
        <v>41</v>
      </c>
      <c r="C27" s="163">
        <v>0</v>
      </c>
    </row>
    <row r="28" spans="2:13" x14ac:dyDescent="0.25">
      <c r="B28" s="1285" t="s">
        <v>42</v>
      </c>
      <c r="C28" s="163">
        <v>6</v>
      </c>
    </row>
    <row r="29" spans="2:13" x14ac:dyDescent="0.25">
      <c r="B29" s="1285" t="s">
        <v>43</v>
      </c>
      <c r="C29" s="163">
        <v>2</v>
      </c>
    </row>
    <row r="30" spans="2:13" x14ac:dyDescent="0.25">
      <c r="B30" s="1285" t="s">
        <v>44</v>
      </c>
      <c r="C30" s="163">
        <v>2</v>
      </c>
    </row>
    <row r="31" spans="2:13" x14ac:dyDescent="0.25">
      <c r="B31" s="1285" t="s">
        <v>45</v>
      </c>
      <c r="C31" s="163">
        <v>2</v>
      </c>
    </row>
    <row r="32" spans="2:13" x14ac:dyDescent="0.25">
      <c r="B32" s="1285" t="s">
        <v>46</v>
      </c>
      <c r="C32" s="163">
        <f>C31+C30+C29+C28</f>
        <v>12</v>
      </c>
    </row>
    <row r="33" spans="2:12" x14ac:dyDescent="0.25">
      <c r="E33" s="120">
        <f>0.075*24</f>
        <v>1.7999999999999998</v>
      </c>
      <c r="F33" s="1160">
        <f>D36/74</f>
        <v>2.4324324324324326E-2</v>
      </c>
    </row>
    <row r="34" spans="2:12" ht="25.5" x14ac:dyDescent="0.25">
      <c r="B34" s="1789" t="s">
        <v>47</v>
      </c>
      <c r="C34" s="1790"/>
      <c r="D34" s="1790"/>
      <c r="E34" s="1790"/>
      <c r="F34" s="1790"/>
      <c r="G34" s="1790"/>
      <c r="H34" s="1791"/>
      <c r="I34" s="789"/>
      <c r="J34" s="857"/>
    </row>
    <row r="35" spans="2:12" ht="25.5" x14ac:dyDescent="0.25">
      <c r="B35" s="1368" t="s">
        <v>0</v>
      </c>
      <c r="C35" s="1368" t="s">
        <v>1</v>
      </c>
      <c r="D35" s="1369" t="s">
        <v>2</v>
      </c>
      <c r="E35" s="1243" t="str">
        <f>+'CIF Y PV'!$F$4</f>
        <v xml:space="preserve">JUN-COP/UMB </v>
      </c>
      <c r="F35" s="1243" t="str">
        <f>+'CIF Y PV'!$G$4</f>
        <v>JUN-COP/APP</v>
      </c>
      <c r="G35" s="1243" t="str">
        <f>+'CIF Y PV'!$H$4</f>
        <v xml:space="preserve">MAY-COP/UMB </v>
      </c>
      <c r="H35" s="1243" t="str">
        <f>+'CIF Y PV'!$I$4</f>
        <v>MAY-COP/APP</v>
      </c>
      <c r="I35" s="1244" t="s">
        <v>3</v>
      </c>
      <c r="J35" s="870"/>
    </row>
    <row r="36" spans="2:12" x14ac:dyDescent="0.25">
      <c r="B36" s="222">
        <f>VLOOKUP(C36,[1]Hoja1!$B$2:$C$260,2,FALSE)</f>
        <v>1370039</v>
      </c>
      <c r="C36" s="1199" t="s">
        <v>1007</v>
      </c>
      <c r="D36" s="1200">
        <v>1.8</v>
      </c>
      <c r="E36" s="225">
        <f>VLOOKUP(B36,[2]Hoja1!$C$2:$E$279,3,FALSE)</f>
        <v>387.4</v>
      </c>
      <c r="F36" s="225">
        <f>E36*D36</f>
        <v>697.31999999999994</v>
      </c>
      <c r="G36" s="225">
        <v>439.68</v>
      </c>
      <c r="H36" s="225">
        <f>G36*D36</f>
        <v>791.42399999999998</v>
      </c>
      <c r="I36" s="270">
        <f>((F36/H36)*100)-100</f>
        <v>-11.89046579330423</v>
      </c>
      <c r="J36" s="389"/>
    </row>
    <row r="37" spans="2:12" x14ac:dyDescent="0.25">
      <c r="B37" s="222">
        <f>VLOOKUP(C37,[1]Hoja1!$B$2:$C$260,2,FALSE)</f>
        <v>1310018</v>
      </c>
      <c r="C37" s="222" t="s">
        <v>890</v>
      </c>
      <c r="D37" s="221">
        <v>7.4999999999999997E-2</v>
      </c>
      <c r="E37" s="225">
        <f>VLOOKUP(B37,[2]Hoja1!$C$2:$E$279,3,FALSE)</f>
        <v>478.26</v>
      </c>
      <c r="F37" s="225">
        <f>E37*D37</f>
        <v>35.869499999999995</v>
      </c>
      <c r="G37" s="871">
        <v>503.51</v>
      </c>
      <c r="H37" s="225">
        <f>G37*D37</f>
        <v>37.763249999999999</v>
      </c>
      <c r="I37" s="270">
        <f>((F37/H37)*100)-100</f>
        <v>-5.0147961311592724</v>
      </c>
      <c r="J37" s="389"/>
    </row>
    <row r="38" spans="2:12" x14ac:dyDescent="0.25">
      <c r="B38" s="222">
        <f>VLOOKUP(C38,[1]Hoja1!$B$2:$C$260,2,FALSE)</f>
        <v>1320005</v>
      </c>
      <c r="C38" s="222" t="s">
        <v>1145</v>
      </c>
      <c r="D38" s="221">
        <v>7.4999999999999997E-2</v>
      </c>
      <c r="E38" s="225">
        <f>VLOOKUP(B38,[2]Hoja1!$C$2:$E$279,3,FALSE)</f>
        <v>740.21</v>
      </c>
      <c r="F38" s="225">
        <f>E38*D38</f>
        <v>55.515750000000004</v>
      </c>
      <c r="G38" s="24">
        <v>828.94</v>
      </c>
      <c r="H38" s="225">
        <f>G38*D38</f>
        <v>62.170500000000004</v>
      </c>
      <c r="I38" s="270">
        <f>((F38/H38)*100)-100</f>
        <v>-10.704031654884545</v>
      </c>
      <c r="J38" s="389"/>
    </row>
    <row r="39" spans="2:12" x14ac:dyDescent="0.25">
      <c r="B39" s="222">
        <f>VLOOKUP(C39,[1]Hoja1!$B$2:$C$260,2,FALSE)</f>
        <v>1330082</v>
      </c>
      <c r="C39" s="222" t="s">
        <v>1094</v>
      </c>
      <c r="D39" s="221">
        <v>1</v>
      </c>
      <c r="E39" s="225">
        <f>VLOOKUP(B39,[2]Hoja1!$C$2:$E$279,3,FALSE)</f>
        <v>135</v>
      </c>
      <c r="F39" s="225">
        <f>E39*D39</f>
        <v>135</v>
      </c>
      <c r="G39" s="225">
        <v>135</v>
      </c>
      <c r="H39" s="225">
        <f>G39*D39</f>
        <v>135</v>
      </c>
      <c r="I39" s="270">
        <f>((F39/H39)*100)-100</f>
        <v>0</v>
      </c>
      <c r="J39" s="389"/>
    </row>
    <row r="40" spans="2:12" x14ac:dyDescent="0.25">
      <c r="B40" s="222">
        <f>VLOOKUP(C40,[1]Hoja1!$B$2:$C$260,2,FALSE)</f>
        <v>1330049</v>
      </c>
      <c r="C40" s="120" t="s">
        <v>902</v>
      </c>
      <c r="D40" s="386">
        <v>1</v>
      </c>
      <c r="E40" s="225">
        <f>VLOOKUP(B40,[2]Hoja1!$C$2:$E$279,3,FALSE)</f>
        <v>88.11</v>
      </c>
      <c r="F40" s="225">
        <f>E40*D40</f>
        <v>88.11</v>
      </c>
      <c r="G40" s="672">
        <v>90.63</v>
      </c>
      <c r="H40" s="225">
        <f>G40*D40</f>
        <v>90.63</v>
      </c>
      <c r="I40" s="389"/>
      <c r="J40" s="389"/>
    </row>
    <row r="41" spans="2:12" x14ac:dyDescent="0.25">
      <c r="B41" s="1370"/>
      <c r="C41" s="1370" t="s">
        <v>37</v>
      </c>
      <c r="D41" s="1371"/>
      <c r="E41" s="1372"/>
      <c r="F41" s="1372">
        <f>SUM(F36:F40)</f>
        <v>1011.81525</v>
      </c>
      <c r="G41" s="1372"/>
      <c r="H41" s="1372">
        <f>SUM(H36:H39)</f>
        <v>1026.3577499999999</v>
      </c>
      <c r="I41" s="1287">
        <f>((F41/H41)*100)-100</f>
        <v>-1.4169036089024445</v>
      </c>
      <c r="J41" s="859"/>
    </row>
    <row r="42" spans="2:12" x14ac:dyDescent="0.25">
      <c r="I42" s="1" t="str">
        <f>+'CIF Y PV'!$G$1</f>
        <v>MAYO</v>
      </c>
      <c r="J42" s="890"/>
      <c r="K42" s="890"/>
      <c r="L42" s="890"/>
    </row>
    <row r="43" spans="2:12" x14ac:dyDescent="0.25">
      <c r="B43" s="1735" t="s">
        <v>899</v>
      </c>
      <c r="C43" s="1735"/>
      <c r="E43" s="884"/>
      <c r="F43" s="884"/>
      <c r="G43" s="884"/>
      <c r="H43" s="884"/>
      <c r="I43" s="887">
        <f>F41+G21</f>
        <v>3542.5675966176009</v>
      </c>
      <c r="J43" s="888"/>
      <c r="K43" s="887"/>
      <c r="L43" s="888"/>
    </row>
    <row r="44" spans="2:12" x14ac:dyDescent="0.25">
      <c r="B44" s="1736" t="s">
        <v>48</v>
      </c>
      <c r="C44" s="1737"/>
      <c r="E44" s="884"/>
      <c r="F44" s="884"/>
      <c r="G44" s="884"/>
      <c r="H44" s="884"/>
      <c r="I44" s="887">
        <f>+('CIF Y PV'!C3/1000)*300</f>
        <v>567</v>
      </c>
      <c r="J44" s="888"/>
      <c r="K44" s="887"/>
      <c r="L44" s="888"/>
    </row>
    <row r="45" spans="2:12" x14ac:dyDescent="0.25">
      <c r="B45" s="1736" t="s">
        <v>398</v>
      </c>
      <c r="C45" s="1737"/>
      <c r="E45" s="884"/>
      <c r="F45" s="884"/>
      <c r="G45" s="884"/>
      <c r="H45" s="884"/>
      <c r="I45" s="887">
        <f>+I43+I44</f>
        <v>4109.5675966176004</v>
      </c>
      <c r="J45" s="888"/>
      <c r="K45" s="887"/>
      <c r="L45" s="888"/>
    </row>
    <row r="46" spans="2:12" x14ac:dyDescent="0.25">
      <c r="B46" s="1735" t="s">
        <v>49</v>
      </c>
      <c r="C46" s="1735"/>
      <c r="E46" s="884"/>
      <c r="F46" s="884"/>
      <c r="G46" s="884"/>
      <c r="H46" s="884"/>
      <c r="I46" s="887">
        <f>'CIF Y PV'!C70</f>
        <v>7848.0000000000009</v>
      </c>
      <c r="K46" s="887"/>
      <c r="L46" s="895"/>
    </row>
    <row r="47" spans="2:12" ht="14.45" customHeight="1" x14ac:dyDescent="0.2">
      <c r="B47" s="1735" t="s">
        <v>805</v>
      </c>
      <c r="C47" s="1735"/>
      <c r="E47" s="884"/>
      <c r="F47" s="884"/>
      <c r="G47" s="884"/>
      <c r="H47" s="884"/>
      <c r="I47" s="928">
        <f>+(I46-I45)/I46</f>
        <v>0.47635479146055049</v>
      </c>
      <c r="J47" s="893"/>
      <c r="K47" s="894"/>
      <c r="L47" s="893">
        <f>1-L46</f>
        <v>1</v>
      </c>
    </row>
    <row r="48" spans="2:12" x14ac:dyDescent="0.25">
      <c r="I48" s="890"/>
      <c r="J48" s="890"/>
      <c r="K48" s="890"/>
      <c r="L48" s="890"/>
    </row>
    <row r="49" spans="9:12" x14ac:dyDescent="0.25">
      <c r="I49" s="890"/>
      <c r="J49" s="890"/>
      <c r="K49" s="890"/>
      <c r="L49" s="890"/>
    </row>
  </sheetData>
  <autoFilter ref="B4:K21" xr:uid="{3D9D749A-2CFB-4653-B278-888C40AB2880}"/>
  <mergeCells count="9">
    <mergeCell ref="B45:C45"/>
    <mergeCell ref="B46:C46"/>
    <mergeCell ref="B47:C47"/>
    <mergeCell ref="B2:I2"/>
    <mergeCell ref="B21:C21"/>
    <mergeCell ref="B23:C23"/>
    <mergeCell ref="B34:H34"/>
    <mergeCell ref="B43:C43"/>
    <mergeCell ref="B44:C4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83B0-FBDA-4DAC-9DA7-479A8726D6AE}">
  <sheetPr codeName="Hoja105"/>
  <dimension ref="A2:M48"/>
  <sheetViews>
    <sheetView topLeftCell="A24" zoomScale="90" zoomScaleNormal="90" workbookViewId="0">
      <selection activeCell="F20" sqref="F20"/>
    </sheetView>
  </sheetViews>
  <sheetFormatPr baseColWidth="10" defaultColWidth="11.5703125" defaultRowHeight="13.5" x14ac:dyDescent="0.25"/>
  <cols>
    <col min="1" max="1" width="13.7109375" style="120" customWidth="1"/>
    <col min="2" max="2" width="11.5703125" style="120"/>
    <col min="3" max="3" width="67.42578125" style="120" bestFit="1" customWidth="1"/>
    <col min="4" max="4" width="11.5703125" style="119" customWidth="1"/>
    <col min="5" max="5" width="11.5703125" style="120" customWidth="1"/>
    <col min="6" max="6" width="15.5703125" style="120" customWidth="1"/>
    <col min="7" max="7" width="11.5703125" style="120" customWidth="1"/>
    <col min="8" max="8" width="20.7109375" style="120" bestFit="1" customWidth="1"/>
    <col min="9" max="10" width="14.28515625" style="120" customWidth="1"/>
    <col min="11" max="11" width="11.5703125" style="120" customWidth="1"/>
    <col min="12" max="12" width="11.5703125" style="120"/>
    <col min="13" max="13" width="18.5703125" style="120" bestFit="1" customWidth="1"/>
    <col min="14" max="16384" width="11.5703125" style="120"/>
  </cols>
  <sheetData>
    <row r="2" spans="2:13" ht="25.5" x14ac:dyDescent="0.25">
      <c r="B2" s="1743" t="s">
        <v>1006</v>
      </c>
      <c r="C2" s="1743"/>
      <c r="D2" s="1743"/>
      <c r="E2" s="1743"/>
      <c r="F2" s="1743"/>
      <c r="G2" s="1743"/>
      <c r="H2" s="1743"/>
      <c r="I2" s="1743"/>
      <c r="J2" s="43"/>
    </row>
    <row r="4" spans="2:13" ht="25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367">
        <f>+D23/1000</f>
        <v>1.1200000000000001</v>
      </c>
      <c r="L4" s="1352">
        <v>252</v>
      </c>
      <c r="M4" s="1352" t="s">
        <v>1128</v>
      </c>
    </row>
    <row r="5" spans="2:13" x14ac:dyDescent="0.25">
      <c r="B5" s="4">
        <f>VLOOKUP(C5,[1]Hoja1!$B$2:$C$260,2,FALSE)</f>
        <v>1122008</v>
      </c>
      <c r="C5" s="6" t="s">
        <v>1028</v>
      </c>
      <c r="D5" s="166">
        <v>0.39999680000000004</v>
      </c>
      <c r="E5" s="167">
        <v>35.713999999999999</v>
      </c>
      <c r="F5" s="1236">
        <f>VLOOKUP(B5,[2]Hoja1!$C$2:$E$279,3,FALSE)</f>
        <v>12059.2</v>
      </c>
      <c r="G5" s="96">
        <f>F5*D5</f>
        <v>4823.6414105600006</v>
      </c>
      <c r="H5" s="927">
        <v>12498.88</v>
      </c>
      <c r="I5" s="805">
        <v>5706.7584000000006</v>
      </c>
      <c r="J5" s="248">
        <f>((F5/H5)*100)-100</f>
        <v>-3.5177551908650884</v>
      </c>
      <c r="K5" s="146">
        <f>$K$4*E5%</f>
        <v>0.39999680000000004</v>
      </c>
      <c r="L5" s="178">
        <f>+$L$4*E5%</f>
        <v>89.999279999999999</v>
      </c>
      <c r="M5" s="1231">
        <f>L5*F5</f>
        <v>1085319.3173760001</v>
      </c>
    </row>
    <row r="6" spans="2:13" x14ac:dyDescent="0.25">
      <c r="B6" s="4">
        <f>VLOOKUP(C6,[1]Hoja1!$B$2:$C$260,2,FALSE)</f>
        <v>1112001</v>
      </c>
      <c r="C6" s="6" t="s">
        <v>797</v>
      </c>
      <c r="D6" s="143">
        <v>0.16888480000000003</v>
      </c>
      <c r="E6" s="106">
        <v>15.079000000000001</v>
      </c>
      <c r="F6" s="1236">
        <f>VLOOKUP(B6,[2]Hoja1!$C$2:$E$279,3,FALSE)</f>
        <v>3663.96</v>
      </c>
      <c r="G6" s="96">
        <f t="shared" ref="G6:G20" si="0">F6*D6</f>
        <v>618.78715180800009</v>
      </c>
      <c r="H6" s="896">
        <v>4222.72</v>
      </c>
      <c r="I6" s="96">
        <v>693.72107414400011</v>
      </c>
      <c r="J6" s="233">
        <f t="shared" ref="J6:J20" si="1">((F6/H6)*100)-100</f>
        <v>-13.232229463473786</v>
      </c>
      <c r="K6" s="146">
        <f t="shared" ref="K6:K20" si="2">$K$4*E6%</f>
        <v>0.16888480000000003</v>
      </c>
      <c r="L6" s="178">
        <f t="shared" ref="L6:L20" si="3">+$L$4*E6%</f>
        <v>37.999079999999999</v>
      </c>
      <c r="M6" s="1231">
        <f t="shared" ref="M6:M19" si="4">L6*F6</f>
        <v>139227.1091568</v>
      </c>
    </row>
    <row r="7" spans="2:13" x14ac:dyDescent="0.25">
      <c r="B7" s="4">
        <f>VLOOKUP(C7,[1]Hoja1!$B$2:$C$260,2,FALSE)</f>
        <v>1131002</v>
      </c>
      <c r="C7" s="6" t="s">
        <v>663</v>
      </c>
      <c r="D7" s="143">
        <v>0.30924320000000005</v>
      </c>
      <c r="E7" s="106">
        <v>27.611000000000001</v>
      </c>
      <c r="F7" s="1236">
        <f>VLOOKUP(B7,[2]Hoja1!$C$2:$E$279,3,FALSE)</f>
        <v>0</v>
      </c>
      <c r="G7" s="96">
        <f t="shared" si="0"/>
        <v>0</v>
      </c>
      <c r="H7" s="896">
        <v>0</v>
      </c>
      <c r="I7" s="96">
        <v>0</v>
      </c>
      <c r="J7" s="233" t="e">
        <f t="shared" si="1"/>
        <v>#DIV/0!</v>
      </c>
      <c r="K7" s="146">
        <f t="shared" si="2"/>
        <v>0.30924320000000005</v>
      </c>
      <c r="L7" s="178">
        <f t="shared" si="3"/>
        <v>69.579720000000009</v>
      </c>
      <c r="M7" s="1231">
        <f t="shared" si="4"/>
        <v>0</v>
      </c>
    </row>
    <row r="8" spans="2:13" x14ac:dyDescent="0.25">
      <c r="B8" s="4">
        <f>VLOOKUP(C8,[1]Hoja1!$B$2:$C$260,2,FALSE)</f>
        <v>1230006</v>
      </c>
      <c r="C8" s="6" t="s">
        <v>1153</v>
      </c>
      <c r="D8" s="143">
        <v>2.1336000000000004E-2</v>
      </c>
      <c r="E8" s="106">
        <v>1.905</v>
      </c>
      <c r="F8" s="1236">
        <f>VLOOKUP(B8,[2]Hoja1!$C$2:$E$279,3,FALSE)</f>
        <v>44693.38</v>
      </c>
      <c r="G8" s="96">
        <f t="shared" si="0"/>
        <v>953.57795568000017</v>
      </c>
      <c r="H8" s="926">
        <v>42594.15</v>
      </c>
      <c r="I8" s="96">
        <v>865.57954392000022</v>
      </c>
      <c r="J8" s="233">
        <f t="shared" si="1"/>
        <v>4.9284467467950179</v>
      </c>
      <c r="K8" s="146">
        <f t="shared" si="2"/>
        <v>2.1336000000000004E-2</v>
      </c>
      <c r="L8" s="178">
        <f t="shared" si="3"/>
        <v>4.8006000000000002</v>
      </c>
      <c r="M8" s="1231">
        <f t="shared" si="4"/>
        <v>214555.04002799999</v>
      </c>
    </row>
    <row r="9" spans="2:13" x14ac:dyDescent="0.25">
      <c r="B9" s="4">
        <f>VLOOKUP(C9,[1]Hoja1!$B$2:$C$260,2,FALSE)</f>
        <v>1210006</v>
      </c>
      <c r="C9" s="6" t="s">
        <v>1130</v>
      </c>
      <c r="D9" s="143">
        <v>1.5108800000000002E-2</v>
      </c>
      <c r="E9" s="106">
        <v>1.349</v>
      </c>
      <c r="F9" s="1236">
        <f>VLOOKUP(B9,[2]Hoja1!$C$2:$E$279,3,FALSE)</f>
        <v>8904.4500000000007</v>
      </c>
      <c r="G9" s="96">
        <f t="shared" si="0"/>
        <v>134.53555416000003</v>
      </c>
      <c r="H9" s="914">
        <v>8910.1</v>
      </c>
      <c r="I9" s="96">
        <v>120.28478291200001</v>
      </c>
      <c r="J9" s="233">
        <f t="shared" si="1"/>
        <v>-6.3411185059649711E-2</v>
      </c>
      <c r="K9" s="863">
        <f t="shared" si="2"/>
        <v>1.5108800000000002E-2</v>
      </c>
      <c r="L9" s="178">
        <f t="shared" si="3"/>
        <v>3.3994800000000001</v>
      </c>
      <c r="M9" s="1231">
        <f t="shared" si="4"/>
        <v>30270.499686000003</v>
      </c>
    </row>
    <row r="10" spans="2:13" x14ac:dyDescent="0.25">
      <c r="B10" s="4">
        <f>VLOOKUP(C10,[1]Hoja1!$B$2:$C$260,2,FALSE)</f>
        <v>1210004</v>
      </c>
      <c r="C10" s="6" t="s">
        <v>1131</v>
      </c>
      <c r="D10" s="143">
        <v>9.2960000000000004E-4</v>
      </c>
      <c r="E10" s="106">
        <v>8.3000000000000004E-2</v>
      </c>
      <c r="F10" s="1236">
        <f>VLOOKUP(B10,[2]Hoja1!$C$2:$E$279,3,FALSE)</f>
        <v>3841</v>
      </c>
      <c r="G10" s="96">
        <f t="shared" si="0"/>
        <v>3.5705936</v>
      </c>
      <c r="H10" s="914">
        <v>3508.01</v>
      </c>
      <c r="I10" s="96">
        <v>3.0751168</v>
      </c>
      <c r="J10" s="233">
        <f t="shared" si="1"/>
        <v>9.4922762477871885</v>
      </c>
      <c r="K10" s="863">
        <f t="shared" si="2"/>
        <v>9.2960000000000004E-4</v>
      </c>
      <c r="L10" s="178">
        <f t="shared" si="3"/>
        <v>0.20916000000000001</v>
      </c>
      <c r="M10" s="1231">
        <f t="shared" si="4"/>
        <v>803.3835600000001</v>
      </c>
    </row>
    <row r="11" spans="2:13" x14ac:dyDescent="0.25">
      <c r="B11" s="4">
        <f>VLOOKUP(C11,[1]Hoja1!$B$2:$C$260,2,FALSE)</f>
        <v>121007</v>
      </c>
      <c r="C11" s="6" t="s">
        <v>821</v>
      </c>
      <c r="D11" s="143">
        <v>4.4464000000000005E-3</v>
      </c>
      <c r="E11" s="106">
        <v>0.39700000000000002</v>
      </c>
      <c r="F11" s="1236">
        <f>VLOOKUP(B11,[2]Hoja1!$C$2:$E$279,3,FALSE)</f>
        <v>16905</v>
      </c>
      <c r="G11" s="96">
        <f t="shared" si="0"/>
        <v>75.166392000000002</v>
      </c>
      <c r="H11" s="880">
        <v>16100</v>
      </c>
      <c r="I11" s="96">
        <v>71.587040000000002</v>
      </c>
      <c r="J11" s="233">
        <f t="shared" si="1"/>
        <v>5</v>
      </c>
      <c r="K11" s="863">
        <f t="shared" si="2"/>
        <v>4.4464000000000005E-3</v>
      </c>
      <c r="L11" s="178">
        <f t="shared" si="3"/>
        <v>1.0004400000000002</v>
      </c>
      <c r="M11" s="1231">
        <f t="shared" si="4"/>
        <v>16912.438200000004</v>
      </c>
    </row>
    <row r="12" spans="2:13" x14ac:dyDescent="0.25">
      <c r="B12" s="4">
        <f>VLOOKUP(C12,[1]Hoja1!$B$2:$C$260,2,FALSE)</f>
        <v>1230012</v>
      </c>
      <c r="C12" s="6" t="s">
        <v>798</v>
      </c>
      <c r="D12" s="143">
        <v>5.5552000000000006E-3</v>
      </c>
      <c r="E12" s="106">
        <v>0.496</v>
      </c>
      <c r="F12" s="1236">
        <f>VLOOKUP(B12,[2]Hoja1!$C$2:$E$279,3,FALSE)</f>
        <v>31314.19</v>
      </c>
      <c r="G12" s="96">
        <f t="shared" si="0"/>
        <v>173.95658828800001</v>
      </c>
      <c r="H12" s="106">
        <v>29941</v>
      </c>
      <c r="I12" s="96">
        <v>203.44492313600003</v>
      </c>
      <c r="J12" s="233">
        <f t="shared" si="1"/>
        <v>4.5863197621989826</v>
      </c>
      <c r="K12" s="863">
        <f t="shared" si="2"/>
        <v>5.5552000000000006E-3</v>
      </c>
      <c r="L12" s="178">
        <f t="shared" si="3"/>
        <v>1.2499199999999999</v>
      </c>
      <c r="M12" s="1231">
        <f t="shared" si="4"/>
        <v>39140.232364799995</v>
      </c>
    </row>
    <row r="13" spans="2:13" x14ac:dyDescent="0.25">
      <c r="B13" s="4">
        <f>VLOOKUP(C13,[1]Hoja1!$B$2:$C$260,2,FALSE)</f>
        <v>1250003</v>
      </c>
      <c r="C13" s="6" t="s">
        <v>914</v>
      </c>
      <c r="D13" s="143">
        <v>3.5840000000000004E-4</v>
      </c>
      <c r="E13" s="106">
        <v>3.2000000000000001E-2</v>
      </c>
      <c r="F13" s="1236">
        <f>VLOOKUP(B13,[2]Hoja1!$C$2:$E$279,3,FALSE)</f>
        <v>50952.79</v>
      </c>
      <c r="G13" s="96">
        <f t="shared" si="0"/>
        <v>18.261479936000001</v>
      </c>
      <c r="H13" s="96">
        <v>47385.41</v>
      </c>
      <c r="I13" s="96">
        <v>17.396040704000001</v>
      </c>
      <c r="J13" s="233">
        <f t="shared" si="1"/>
        <v>7.5284354403602123</v>
      </c>
      <c r="K13" s="863">
        <f t="shared" si="2"/>
        <v>3.5840000000000004E-4</v>
      </c>
      <c r="L13" s="178">
        <f t="shared" si="3"/>
        <v>8.0640000000000003E-2</v>
      </c>
      <c r="M13" s="1231">
        <f t="shared" si="4"/>
        <v>4108.8329856</v>
      </c>
    </row>
    <row r="14" spans="2:13" x14ac:dyDescent="0.25">
      <c r="B14" s="4">
        <f>VLOOKUP(C14,[1]Hoja1!$B$2:$C$260,2,FALSE)</f>
        <v>1250001</v>
      </c>
      <c r="C14" s="6" t="s">
        <v>1160</v>
      </c>
      <c r="D14" s="143">
        <v>1.3440000000000001E-4</v>
      </c>
      <c r="E14" s="106">
        <v>1.2E-2</v>
      </c>
      <c r="F14" s="1236">
        <f>VLOOKUP(B14,[2]Hoja1!$C$2:$E$279,3,FALSE)</f>
        <v>5093.8999999999996</v>
      </c>
      <c r="G14" s="96">
        <f t="shared" si="0"/>
        <v>0.68462016000000003</v>
      </c>
      <c r="H14" s="106">
        <v>4885.95</v>
      </c>
      <c r="I14" s="96">
        <v>0.69659520000000008</v>
      </c>
      <c r="J14" s="233">
        <f t="shared" si="1"/>
        <v>4.256081212456138</v>
      </c>
      <c r="K14" s="863">
        <f t="shared" si="2"/>
        <v>1.3440000000000001E-4</v>
      </c>
      <c r="L14" s="178">
        <f t="shared" si="3"/>
        <v>3.024E-2</v>
      </c>
      <c r="M14" s="1231">
        <f t="shared" si="4"/>
        <v>154.039536</v>
      </c>
    </row>
    <row r="15" spans="2:13" x14ac:dyDescent="0.25">
      <c r="B15" s="4">
        <f>VLOOKUP(C15,[1]Hoja1!$B$2:$C$260,2,FALSE)</f>
        <v>1260005</v>
      </c>
      <c r="C15" s="6" t="s">
        <v>811</v>
      </c>
      <c r="D15" s="143">
        <v>1.6889600000000001E-2</v>
      </c>
      <c r="E15" s="106">
        <v>1.508</v>
      </c>
      <c r="F15" s="1236">
        <f>VLOOKUP(B15,[2]Hoja1!$C$2:$E$279,3,FALSE)</f>
        <v>26429</v>
      </c>
      <c r="G15" s="96">
        <f t="shared" si="0"/>
        <v>446.37523840000006</v>
      </c>
      <c r="H15" s="914">
        <v>25850</v>
      </c>
      <c r="I15" s="96">
        <v>472.06432000000001</v>
      </c>
      <c r="J15" s="233">
        <f t="shared" si="1"/>
        <v>2.2398452611218715</v>
      </c>
      <c r="K15" s="863">
        <f t="shared" si="2"/>
        <v>1.6889600000000001E-2</v>
      </c>
      <c r="L15" s="178">
        <f t="shared" si="3"/>
        <v>3.80016</v>
      </c>
      <c r="M15" s="1231">
        <f t="shared" si="4"/>
        <v>100434.42864</v>
      </c>
    </row>
    <row r="16" spans="2:13" x14ac:dyDescent="0.25">
      <c r="B16" s="4">
        <f>VLOOKUP(C16,[1]Hoja1!$B$2:$C$260,2,FALSE)</f>
        <v>1260010</v>
      </c>
      <c r="C16" s="6" t="s">
        <v>1043</v>
      </c>
      <c r="D16" s="143">
        <v>2.8000000000000004E-2</v>
      </c>
      <c r="E16" s="106">
        <v>2.5</v>
      </c>
      <c r="F16" s="1236">
        <f>VLOOKUP(B16,[2]Hoja1!$C$2:$E$279,3,FALSE)</f>
        <v>6959.71</v>
      </c>
      <c r="G16" s="96">
        <f t="shared" si="0"/>
        <v>194.87188000000003</v>
      </c>
      <c r="H16" s="880">
        <v>8234.27</v>
      </c>
      <c r="I16" s="96">
        <v>263.88628000000006</v>
      </c>
      <c r="J16" s="233">
        <f t="shared" si="1"/>
        <v>-15.478724890002397</v>
      </c>
      <c r="K16" s="863">
        <f t="shared" si="2"/>
        <v>2.8000000000000004E-2</v>
      </c>
      <c r="L16" s="178">
        <f t="shared" si="3"/>
        <v>6.3000000000000007</v>
      </c>
      <c r="M16" s="1231">
        <f t="shared" si="4"/>
        <v>43846.173000000003</v>
      </c>
    </row>
    <row r="17" spans="2:13" ht="15" x14ac:dyDescent="0.25">
      <c r="B17" s="4">
        <f>VLOOKUP(C17,[1]Hoja1!$B$2:$C$260,2,FALSE)</f>
        <v>1121009</v>
      </c>
      <c r="C17" s="6" t="s">
        <v>1272</v>
      </c>
      <c r="D17" s="143">
        <v>0.12355840000000001</v>
      </c>
      <c r="E17" s="106">
        <v>11.032</v>
      </c>
      <c r="F17" s="1236">
        <f>VLOOKUP(B17,[2]Hoja1!$C$2:$E$279,3,FALSE)</f>
        <v>8741.6200000000008</v>
      </c>
      <c r="G17" s="96">
        <f t="shared" si="0"/>
        <v>1080.1005806080002</v>
      </c>
      <c r="H17" s="949">
        <v>8324.2000000000007</v>
      </c>
      <c r="I17" s="96">
        <v>933.32400000000018</v>
      </c>
      <c r="J17" s="233">
        <f t="shared" si="1"/>
        <v>5.0145359313807916</v>
      </c>
      <c r="K17" s="863">
        <f t="shared" si="2"/>
        <v>0.12355840000000001</v>
      </c>
      <c r="L17" s="178">
        <f t="shared" si="3"/>
        <v>27.800640000000001</v>
      </c>
      <c r="M17" s="1231">
        <f t="shared" si="4"/>
        <v>243022.63063680002</v>
      </c>
    </row>
    <row r="18" spans="2:13" x14ac:dyDescent="0.25">
      <c r="B18" s="4">
        <f>VLOOKUP(C18,[1]Hoja1!$B$2:$C$260,2,FALSE)</f>
        <v>2906001</v>
      </c>
      <c r="C18" s="6" t="s">
        <v>831</v>
      </c>
      <c r="D18" s="143">
        <v>2.2220800000000002E-2</v>
      </c>
      <c r="E18" s="106">
        <v>1.984</v>
      </c>
      <c r="F18" s="1236">
        <f>VLOOKUP(B18,[2]Hoja1!$C$2:$E$279,3,FALSE)</f>
        <v>1956.71</v>
      </c>
      <c r="G18" s="96">
        <f t="shared" si="0"/>
        <v>43.479661568000004</v>
      </c>
      <c r="H18" s="96">
        <v>12670.44</v>
      </c>
      <c r="I18" s="96">
        <v>289.57097064000004</v>
      </c>
      <c r="J18" s="233">
        <f t="shared" si="1"/>
        <v>-84.556889894904998</v>
      </c>
      <c r="K18" s="863">
        <f t="shared" si="2"/>
        <v>2.2220800000000002E-2</v>
      </c>
      <c r="L18" s="178">
        <f t="shared" si="3"/>
        <v>4.9996799999999997</v>
      </c>
      <c r="M18" s="1231">
        <f t="shared" si="4"/>
        <v>9782.9238527999987</v>
      </c>
    </row>
    <row r="19" spans="2:13" x14ac:dyDescent="0.25">
      <c r="B19" s="4">
        <f>VLOOKUP(C19,[1]Hoja1!$B$2:$C$260,2,FALSE)</f>
        <v>1220010</v>
      </c>
      <c r="C19" s="6" t="s">
        <v>1144</v>
      </c>
      <c r="D19" s="143">
        <v>3.3376000000000005E-3</v>
      </c>
      <c r="E19" s="106">
        <v>0.29799999999999999</v>
      </c>
      <c r="F19" s="1236">
        <f>VLOOKUP(B19,[2]Hoja1!$C$2:$E$279,3,FALSE)</f>
        <v>4744.72</v>
      </c>
      <c r="G19" s="96">
        <f t="shared" si="0"/>
        <v>15.835977472000003</v>
      </c>
      <c r="H19" s="914">
        <v>11340</v>
      </c>
      <c r="I19" s="96">
        <v>29.400000000000006</v>
      </c>
      <c r="J19" s="233">
        <f t="shared" si="1"/>
        <v>-58.159435626102294</v>
      </c>
      <c r="K19" s="863">
        <f t="shared" si="2"/>
        <v>3.3376000000000005E-3</v>
      </c>
      <c r="L19" s="178">
        <f t="shared" si="3"/>
        <v>0.75095999999999996</v>
      </c>
      <c r="M19" s="1231">
        <f t="shared" si="4"/>
        <v>3563.0949311999998</v>
      </c>
    </row>
    <row r="20" spans="2:13" ht="13.5" customHeight="1" x14ac:dyDescent="0.25">
      <c r="B20" s="4">
        <v>1240007</v>
      </c>
      <c r="C20" s="154" t="s">
        <v>1352</v>
      </c>
      <c r="D20" s="1161">
        <v>1.1200000000000001E-5</v>
      </c>
      <c r="E20" s="154">
        <v>1E-3</v>
      </c>
      <c r="F20" s="1236">
        <f>VLOOKUP(B20,[2]Hoja1!$C$2:$E$279,3,FALSE)</f>
        <v>25921.42</v>
      </c>
      <c r="G20" s="96">
        <f t="shared" si="0"/>
        <v>0.29031990400000002</v>
      </c>
      <c r="H20" s="914">
        <v>324156.28000000003</v>
      </c>
      <c r="I20" s="96">
        <v>3.6305484320000003</v>
      </c>
      <c r="J20" s="233">
        <f t="shared" si="1"/>
        <v>-92.003418844762166</v>
      </c>
      <c r="K20" s="863">
        <f t="shared" si="2"/>
        <v>1.1200000000000001E-5</v>
      </c>
      <c r="L20" s="178">
        <f t="shared" si="3"/>
        <v>2.5200000000000001E-3</v>
      </c>
      <c r="M20" s="1231">
        <f>L20*F20</f>
        <v>65.321978399999992</v>
      </c>
    </row>
    <row r="21" spans="2:13" s="146" customFormat="1" ht="15" x14ac:dyDescent="0.25">
      <c r="B21" s="1783" t="s">
        <v>37</v>
      </c>
      <c r="C21" s="1783"/>
      <c r="D21" s="1360">
        <f>SUM(D5:D19)</f>
        <v>1.1200000000000001</v>
      </c>
      <c r="E21" s="1361">
        <f>SUM(E5:E19)</f>
        <v>99.999999999999986</v>
      </c>
      <c r="F21" s="1361"/>
      <c r="G21" s="1361">
        <f>SUM(G5:G20)</f>
        <v>8583.1354041440009</v>
      </c>
      <c r="H21" s="1361"/>
      <c r="I21" s="1362">
        <f>SUM(I5:I19)</f>
        <v>9670.7890874560017</v>
      </c>
      <c r="J21" s="1342">
        <f>((G21/I21)*100)-100</f>
        <v>-11.246793549895514</v>
      </c>
      <c r="K21" s="1343"/>
      <c r="L21" s="1343"/>
      <c r="M21" s="1379">
        <f>SUM(M5:M20)</f>
        <v>1931205.4659324</v>
      </c>
    </row>
    <row r="22" spans="2:13" x14ac:dyDescent="0.25">
      <c r="J22" s="775"/>
    </row>
    <row r="23" spans="2:13" ht="25.5" x14ac:dyDescent="0.25">
      <c r="B23" s="1765" t="s">
        <v>50</v>
      </c>
      <c r="C23" s="1766"/>
      <c r="D23" s="38">
        <f>+C26+(C26*C32%)</f>
        <v>1120</v>
      </c>
      <c r="E23" s="159"/>
      <c r="F23" s="159"/>
      <c r="G23" s="159"/>
      <c r="H23" s="159"/>
      <c r="I23" s="159"/>
      <c r="J23" s="159"/>
    </row>
    <row r="24" spans="2:13" x14ac:dyDescent="0.25">
      <c r="B24" s="1284" t="s">
        <v>38</v>
      </c>
      <c r="C24" s="161" t="s">
        <v>123</v>
      </c>
    </row>
    <row r="25" spans="2:13" x14ac:dyDescent="0.25">
      <c r="B25" s="1285" t="s">
        <v>39</v>
      </c>
      <c r="C25" s="163" t="s">
        <v>783</v>
      </c>
    </row>
    <row r="26" spans="2:13" x14ac:dyDescent="0.25">
      <c r="B26" s="1285" t="s">
        <v>40</v>
      </c>
      <c r="C26" s="163">
        <v>1000</v>
      </c>
    </row>
    <row r="27" spans="2:13" x14ac:dyDescent="0.25">
      <c r="B27" s="1285" t="s">
        <v>41</v>
      </c>
      <c r="C27" s="163">
        <v>0</v>
      </c>
    </row>
    <row r="28" spans="2:13" x14ac:dyDescent="0.25">
      <c r="B28" s="1285" t="s">
        <v>42</v>
      </c>
      <c r="C28" s="163">
        <v>6</v>
      </c>
    </row>
    <row r="29" spans="2:13" x14ac:dyDescent="0.25">
      <c r="B29" s="1285" t="s">
        <v>43</v>
      </c>
      <c r="C29" s="163">
        <v>2</v>
      </c>
    </row>
    <row r="30" spans="2:13" x14ac:dyDescent="0.25">
      <c r="B30" s="1285" t="s">
        <v>44</v>
      </c>
      <c r="C30" s="163">
        <v>2</v>
      </c>
    </row>
    <row r="31" spans="2:13" x14ac:dyDescent="0.25">
      <c r="B31" s="1285" t="s">
        <v>45</v>
      </c>
      <c r="C31" s="163">
        <v>2</v>
      </c>
    </row>
    <row r="32" spans="2:13" x14ac:dyDescent="0.25">
      <c r="B32" s="1285" t="s">
        <v>46</v>
      </c>
      <c r="C32" s="163">
        <f>C31+C30+C29+C28</f>
        <v>12</v>
      </c>
    </row>
    <row r="33" spans="1:12" x14ac:dyDescent="0.25">
      <c r="E33" s="120">
        <f>0.0755*74</f>
        <v>5.5869999999999997</v>
      </c>
      <c r="F33" s="1160">
        <f>D36/74</f>
        <v>7.7027027027027031E-2</v>
      </c>
    </row>
    <row r="34" spans="1:12" ht="25.5" x14ac:dyDescent="0.25">
      <c r="B34" s="1789" t="s">
        <v>47</v>
      </c>
      <c r="C34" s="1790"/>
      <c r="D34" s="1790"/>
      <c r="E34" s="1790"/>
      <c r="F34" s="1790"/>
      <c r="G34" s="1790"/>
      <c r="H34" s="1791"/>
      <c r="I34" s="1640"/>
    </row>
    <row r="35" spans="1:12" ht="25.5" x14ac:dyDescent="0.25">
      <c r="B35" s="1368" t="s">
        <v>0</v>
      </c>
      <c r="C35" s="1368" t="s">
        <v>1</v>
      </c>
      <c r="D35" s="1369" t="s">
        <v>2</v>
      </c>
      <c r="E35" s="1243" t="str">
        <f>+'CIF Y PV'!$F$4</f>
        <v xml:space="preserve">JUN-COP/UMB </v>
      </c>
      <c r="F35" s="1243" t="str">
        <f>+'CIF Y PV'!$G$4</f>
        <v>JUN-COP/APP</v>
      </c>
      <c r="G35" s="1243" t="str">
        <f>+'CIF Y PV'!$H$4</f>
        <v xml:space="preserve">MAY-COP/UMB </v>
      </c>
      <c r="H35" s="1243" t="str">
        <f>+'CIF Y PV'!$I$4</f>
        <v>MAY-COP/APP</v>
      </c>
      <c r="I35" s="1638" t="s">
        <v>3</v>
      </c>
      <c r="J35" s="890"/>
    </row>
    <row r="36" spans="1:12" x14ac:dyDescent="0.25">
      <c r="B36" s="222">
        <f>VLOOKUP(C36,[1]Hoja1!$B$2:$C$260,2,FALSE)</f>
        <v>1370039</v>
      </c>
      <c r="C36" s="1199" t="s">
        <v>1007</v>
      </c>
      <c r="D36" s="1200">
        <v>5.7</v>
      </c>
      <c r="E36" s="225">
        <f>VLOOKUP(B36,[2]Hoja1!$C$2:$E$279,3,FALSE)</f>
        <v>387.4</v>
      </c>
      <c r="F36" s="225">
        <f>E36*D36</f>
        <v>2208.1799999999998</v>
      </c>
      <c r="G36" s="225">
        <v>439.68</v>
      </c>
      <c r="H36" s="225">
        <f>G36*D36</f>
        <v>2506.1759999999999</v>
      </c>
      <c r="I36" s="1639">
        <f>((F36/H36)*100)-100</f>
        <v>-11.89046579330423</v>
      </c>
      <c r="J36" s="888"/>
    </row>
    <row r="37" spans="1:12" x14ac:dyDescent="0.25">
      <c r="B37" s="222">
        <f>VLOOKUP(C37,[1]Hoja1!$B$2:$C$260,2,FALSE)</f>
        <v>1310018</v>
      </c>
      <c r="C37" s="222" t="s">
        <v>890</v>
      </c>
      <c r="D37" s="221">
        <v>0.15</v>
      </c>
      <c r="E37" s="225">
        <f>VLOOKUP(B37,[2]Hoja1!$C$2:$E$279,3,FALSE)</f>
        <v>478.26</v>
      </c>
      <c r="F37" s="225">
        <f>E37*D37</f>
        <v>71.73899999999999</v>
      </c>
      <c r="G37" s="871">
        <v>503.51</v>
      </c>
      <c r="H37" s="225">
        <f>G37*D37</f>
        <v>75.526499999999999</v>
      </c>
      <c r="I37" s="1639">
        <f>((F37/H37)*100)-100</f>
        <v>-5.0147961311592724</v>
      </c>
      <c r="J37" s="888"/>
    </row>
    <row r="38" spans="1:12" x14ac:dyDescent="0.25">
      <c r="B38" s="222">
        <f>VLOOKUP(C38,[1]Hoja1!$B$2:$C$260,2,FALSE)</f>
        <v>1320004</v>
      </c>
      <c r="C38" s="222" t="s">
        <v>1141</v>
      </c>
      <c r="D38" s="221">
        <v>0.15</v>
      </c>
      <c r="E38" s="225">
        <f>VLOOKUP(B38,[2]Hoja1!$C$2:$E$279,3,FALSE)</f>
        <v>1481.51</v>
      </c>
      <c r="F38" s="225">
        <f>E38*D38</f>
        <v>222.22649999999999</v>
      </c>
      <c r="G38" s="24">
        <v>1575.9</v>
      </c>
      <c r="H38" s="225">
        <f>G38*D38</f>
        <v>236.38499999999999</v>
      </c>
      <c r="I38" s="1639">
        <f>((F38/H38)*100)-100</f>
        <v>-5.9895932483025547</v>
      </c>
      <c r="J38" s="888"/>
    </row>
    <row r="39" spans="1:12" x14ac:dyDescent="0.25">
      <c r="B39" s="222">
        <f>VLOOKUP(C39,[1]Hoja1!$B$2:$C$260,2,FALSE)</f>
        <v>1330084</v>
      </c>
      <c r="C39" s="222" t="s">
        <v>1162</v>
      </c>
      <c r="D39" s="221">
        <v>1</v>
      </c>
      <c r="E39" s="225">
        <f>VLOOKUP(B39,[2]Hoja1!$C$2:$E$279,3,FALSE)</f>
        <v>249.5</v>
      </c>
      <c r="F39" s="225">
        <f>E39*D39</f>
        <v>249.5</v>
      </c>
      <c r="G39" s="225">
        <v>249.5</v>
      </c>
      <c r="H39" s="225">
        <f>G39*D39</f>
        <v>249.5</v>
      </c>
      <c r="I39" s="1639">
        <f>((F39/H39)*100)-100</f>
        <v>0</v>
      </c>
      <c r="J39" s="895"/>
    </row>
    <row r="40" spans="1:12" x14ac:dyDescent="0.25">
      <c r="B40" s="1370"/>
      <c r="C40" s="1370" t="s">
        <v>37</v>
      </c>
      <c r="D40" s="1371"/>
      <c r="E40" s="1372"/>
      <c r="F40" s="1372">
        <f>SUM(F36:F39)</f>
        <v>2751.6454999999996</v>
      </c>
      <c r="G40" s="1372"/>
      <c r="H40" s="1372">
        <f>SUM(H36:H39)</f>
        <v>3067.5874999999996</v>
      </c>
      <c r="I40" s="1287">
        <f>((F40/H40)*100)-100</f>
        <v>-10.299363913824791</v>
      </c>
      <c r="J40" s="242">
        <f>F40*221</f>
        <v>608113.65549999988</v>
      </c>
    </row>
    <row r="41" spans="1:12" x14ac:dyDescent="0.25">
      <c r="I41" s="1" t="str">
        <f>+'CIF Y PV'!$G$1</f>
        <v>MAYO</v>
      </c>
      <c r="J41" s="890"/>
      <c r="K41" s="890"/>
      <c r="L41" s="890"/>
    </row>
    <row r="42" spans="1:12" x14ac:dyDescent="0.25">
      <c r="A42" s="1804" t="s">
        <v>1121</v>
      </c>
      <c r="B42" s="1735" t="s">
        <v>178</v>
      </c>
      <c r="C42" s="1735"/>
      <c r="E42" s="884"/>
      <c r="F42" s="884"/>
      <c r="G42" s="884"/>
      <c r="H42" s="884"/>
      <c r="I42" s="1375">
        <f>F40+G21</f>
        <v>11334.780904144001</v>
      </c>
      <c r="J42" s="888"/>
      <c r="K42" s="1637"/>
      <c r="L42" s="888"/>
    </row>
    <row r="43" spans="1:12" x14ac:dyDescent="0.25">
      <c r="A43" s="1804"/>
      <c r="B43" s="1736" t="s">
        <v>1093</v>
      </c>
      <c r="C43" s="1737"/>
      <c r="E43" s="884"/>
      <c r="F43" s="884"/>
      <c r="G43" s="884"/>
      <c r="H43" s="884"/>
      <c r="I43" s="1375">
        <f>+('CIF Y PV'!C3/1000)*1000</f>
        <v>1890</v>
      </c>
      <c r="J43" s="888"/>
      <c r="K43" s="1637"/>
      <c r="L43" s="888"/>
    </row>
    <row r="44" spans="1:12" x14ac:dyDescent="0.25">
      <c r="A44" s="1804"/>
      <c r="B44" s="1736" t="s">
        <v>179</v>
      </c>
      <c r="C44" s="1737"/>
      <c r="E44" s="884"/>
      <c r="F44" s="884"/>
      <c r="G44" s="884"/>
      <c r="H44" s="884"/>
      <c r="I44" s="1375">
        <f>+I42+I43</f>
        <v>13224.780904144001</v>
      </c>
      <c r="J44" s="888"/>
      <c r="K44" s="1637"/>
      <c r="L44" s="888"/>
    </row>
    <row r="45" spans="1:12" x14ac:dyDescent="0.25">
      <c r="A45" s="1804"/>
      <c r="B45" s="1735" t="s">
        <v>49</v>
      </c>
      <c r="C45" s="1735"/>
      <c r="E45" s="884"/>
      <c r="F45" s="884"/>
      <c r="G45" s="884"/>
      <c r="H45" s="884"/>
      <c r="I45" s="1375">
        <f>'CIF Y PV'!C17</f>
        <v>23980</v>
      </c>
      <c r="K45" s="1637"/>
      <c r="L45" s="895"/>
    </row>
    <row r="46" spans="1:12" ht="14.45" customHeight="1" x14ac:dyDescent="0.2">
      <c r="A46" s="1804"/>
      <c r="B46" s="1735" t="s">
        <v>805</v>
      </c>
      <c r="C46" s="1735"/>
      <c r="E46" s="884"/>
      <c r="F46" s="884"/>
      <c r="G46" s="884"/>
      <c r="H46" s="884"/>
      <c r="I46" s="928">
        <f>+(I45-I44)/I45</f>
        <v>0.44850788556530435</v>
      </c>
      <c r="J46" s="893"/>
      <c r="K46" s="894"/>
      <c r="L46" s="893">
        <f>1-L45</f>
        <v>1</v>
      </c>
    </row>
    <row r="47" spans="1:12" x14ac:dyDescent="0.25">
      <c r="I47" s="890"/>
      <c r="J47" s="890"/>
      <c r="K47" s="890"/>
      <c r="L47" s="890"/>
    </row>
    <row r="48" spans="1:12" x14ac:dyDescent="0.25">
      <c r="I48" s="890"/>
      <c r="J48" s="890"/>
      <c r="K48" s="890"/>
      <c r="L48" s="890"/>
    </row>
  </sheetData>
  <autoFilter ref="B4:K21" xr:uid="{3D9D749A-2CFB-4653-B278-888C40AB2880}"/>
  <mergeCells count="10">
    <mergeCell ref="A42:A46"/>
    <mergeCell ref="B44:C44"/>
    <mergeCell ref="B45:C45"/>
    <mergeCell ref="B46:C46"/>
    <mergeCell ref="B2:I2"/>
    <mergeCell ref="B21:C21"/>
    <mergeCell ref="B23:C23"/>
    <mergeCell ref="B34:H34"/>
    <mergeCell ref="B42:C42"/>
    <mergeCell ref="B43:C4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2884-AF3C-4EDA-BF74-ACC568B54594}">
  <sheetPr codeName="Hoja106">
    <tabColor rgb="FF00B050"/>
  </sheetPr>
  <dimension ref="B2:M48"/>
  <sheetViews>
    <sheetView topLeftCell="A30" zoomScale="90" zoomScaleNormal="90" workbookViewId="0">
      <selection activeCell="F20" sqref="F20"/>
    </sheetView>
  </sheetViews>
  <sheetFormatPr baseColWidth="10" defaultColWidth="11.5703125" defaultRowHeight="13.5" x14ac:dyDescent="0.25"/>
  <cols>
    <col min="1" max="1" width="5.5703125" style="120" customWidth="1"/>
    <col min="2" max="2" width="11.5703125" style="120"/>
    <col min="3" max="3" width="50" style="120" customWidth="1"/>
    <col min="4" max="4" width="11.5703125" style="119" customWidth="1"/>
    <col min="5" max="5" width="11.5703125" style="120" customWidth="1"/>
    <col min="6" max="6" width="14.28515625" style="120" customWidth="1"/>
    <col min="7" max="7" width="11.5703125" style="120" customWidth="1"/>
    <col min="8" max="8" width="16.140625" style="120" customWidth="1"/>
    <col min="9" max="10" width="14.28515625" style="120" customWidth="1"/>
    <col min="11" max="11" width="11.5703125" style="120" customWidth="1"/>
    <col min="12" max="12" width="11.5703125" style="120"/>
    <col min="13" max="13" width="16.5703125" style="120" bestFit="1" customWidth="1"/>
    <col min="14" max="16384" width="11.5703125" style="120"/>
  </cols>
  <sheetData>
    <row r="2" spans="2:13" ht="25.5" x14ac:dyDescent="0.25">
      <c r="B2" s="1743" t="s">
        <v>1013</v>
      </c>
      <c r="C2" s="1743"/>
      <c r="D2" s="1743"/>
      <c r="E2" s="1743"/>
      <c r="F2" s="1743"/>
      <c r="G2" s="1743"/>
      <c r="H2" s="1743"/>
      <c r="I2" s="1743"/>
      <c r="J2" s="43"/>
    </row>
    <row r="4" spans="2:13" ht="25.5" x14ac:dyDescent="0.25">
      <c r="B4" s="128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367">
        <f>+D23/1000</f>
        <v>0.53760000000000008</v>
      </c>
      <c r="L4" s="1352">
        <v>252</v>
      </c>
      <c r="M4" s="1352" t="s">
        <v>1128</v>
      </c>
    </row>
    <row r="5" spans="2:13" x14ac:dyDescent="0.25">
      <c r="B5" s="4">
        <f>VLOOKUP(C5,[1]Hoja1!$B$2:$C$260,2,FALSE)</f>
        <v>1122008</v>
      </c>
      <c r="C5" s="6" t="s">
        <v>1028</v>
      </c>
      <c r="D5" s="166">
        <v>0.19199846400000004</v>
      </c>
      <c r="E5" s="167">
        <v>35.713999999999999</v>
      </c>
      <c r="F5" s="1236">
        <f>VLOOKUP(B5,[2]Hoja1!$C$2:$E$279,3,FALSE)</f>
        <v>12059.2</v>
      </c>
      <c r="G5" s="96">
        <f>F5*D5</f>
        <v>2315.3478770688007</v>
      </c>
      <c r="H5" s="927">
        <v>12498.88</v>
      </c>
      <c r="I5" s="805">
        <f>H5*D5</f>
        <v>2399.7657617203204</v>
      </c>
      <c r="J5" s="248">
        <f>((F5/H5)*100)-100</f>
        <v>-3.5177551908650884</v>
      </c>
      <c r="K5" s="146">
        <f>$K$4*E5%</f>
        <v>0.19199846400000004</v>
      </c>
      <c r="L5" s="178">
        <f>+$L$4*E5%</f>
        <v>89.999279999999999</v>
      </c>
      <c r="M5" s="1217">
        <f>L5*F5</f>
        <v>1085319.3173760001</v>
      </c>
    </row>
    <row r="6" spans="2:13" x14ac:dyDescent="0.25">
      <c r="B6" s="4">
        <f>VLOOKUP(C6,[1]Hoja1!$B$2:$C$260,2,FALSE)</f>
        <v>1112001</v>
      </c>
      <c r="C6" s="6" t="s">
        <v>797</v>
      </c>
      <c r="D6" s="143">
        <v>8.1064704000000015E-2</v>
      </c>
      <c r="E6" s="106">
        <v>15.079000000000001</v>
      </c>
      <c r="F6" s="1236">
        <f>VLOOKUP(B6,[2]Hoja1!$C$2:$E$279,3,FALSE)</f>
        <v>3663.96</v>
      </c>
      <c r="G6" s="96">
        <f t="shared" ref="G6:G20" si="0">F6*D6</f>
        <v>297.01783286784007</v>
      </c>
      <c r="H6" s="896">
        <v>4222.72</v>
      </c>
      <c r="I6" s="805">
        <f t="shared" ref="I6:I20" si="1">H6*D6</f>
        <v>342.3135468748801</v>
      </c>
      <c r="J6" s="233">
        <f t="shared" ref="J6:J20" si="2">((F6/H6)*100)-100</f>
        <v>-13.232229463473786</v>
      </c>
      <c r="K6" s="146">
        <f t="shared" ref="K6:K20" si="3">$K$4*E6%</f>
        <v>8.1064704000000015E-2</v>
      </c>
      <c r="L6" s="178">
        <f t="shared" ref="L6:L20" si="4">+$L$4*E6%</f>
        <v>37.999079999999999</v>
      </c>
      <c r="M6" s="1217">
        <f t="shared" ref="M6:M20" si="5">L6*F6</f>
        <v>139227.1091568</v>
      </c>
    </row>
    <row r="7" spans="2:13" x14ac:dyDescent="0.25">
      <c r="B7" s="4">
        <f>VLOOKUP(C7,[1]Hoja1!$B$2:$C$260,2,FALSE)</f>
        <v>1131002</v>
      </c>
      <c r="C7" s="6" t="s">
        <v>663</v>
      </c>
      <c r="D7" s="143">
        <v>0.14843673600000004</v>
      </c>
      <c r="E7" s="106">
        <v>27.611000000000001</v>
      </c>
      <c r="F7" s="1236">
        <f>VLOOKUP(B7,[2]Hoja1!$C$2:$E$279,3,FALSE)</f>
        <v>0</v>
      </c>
      <c r="G7" s="96">
        <f t="shared" si="0"/>
        <v>0</v>
      </c>
      <c r="H7" s="896">
        <v>0</v>
      </c>
      <c r="I7" s="805">
        <f t="shared" si="1"/>
        <v>0</v>
      </c>
      <c r="J7" s="233" t="e">
        <f t="shared" si="2"/>
        <v>#DIV/0!</v>
      </c>
      <c r="K7" s="146">
        <f t="shared" si="3"/>
        <v>0.14843673600000004</v>
      </c>
      <c r="L7" s="178">
        <f t="shared" si="4"/>
        <v>69.579720000000009</v>
      </c>
      <c r="M7" s="1217">
        <f t="shared" si="5"/>
        <v>0</v>
      </c>
    </row>
    <row r="8" spans="2:13" x14ac:dyDescent="0.25">
      <c r="B8" s="4">
        <f>VLOOKUP(C8,[1]Hoja1!$B$2:$C$260,2,FALSE)</f>
        <v>1230006</v>
      </c>
      <c r="C8" s="6" t="s">
        <v>1153</v>
      </c>
      <c r="D8" s="143">
        <v>1.0241280000000002E-2</v>
      </c>
      <c r="E8" s="106">
        <v>1.905</v>
      </c>
      <c r="F8" s="1236">
        <f>VLOOKUP(B8,[2]Hoja1!$C$2:$E$279,3,FALSE)</f>
        <v>44693.38</v>
      </c>
      <c r="G8" s="96">
        <f t="shared" si="0"/>
        <v>457.71741872640007</v>
      </c>
      <c r="H8" s="926">
        <v>42594.15</v>
      </c>
      <c r="I8" s="805">
        <f t="shared" si="1"/>
        <v>436.2186165120001</v>
      </c>
      <c r="J8" s="233">
        <f t="shared" si="2"/>
        <v>4.9284467467950179</v>
      </c>
      <c r="K8" s="146">
        <f t="shared" si="3"/>
        <v>1.0241280000000002E-2</v>
      </c>
      <c r="L8" s="178">
        <f t="shared" si="4"/>
        <v>4.8006000000000002</v>
      </c>
      <c r="M8" s="1217">
        <f t="shared" si="5"/>
        <v>214555.04002799999</v>
      </c>
    </row>
    <row r="9" spans="2:13" x14ac:dyDescent="0.25">
      <c r="B9" s="4">
        <f>VLOOKUP(C9,[1]Hoja1!$B$2:$C$260,2,FALSE)</f>
        <v>1210006</v>
      </c>
      <c r="C9" s="6" t="s">
        <v>1130</v>
      </c>
      <c r="D9" s="143">
        <v>7.2522240000000016E-3</v>
      </c>
      <c r="E9" s="106">
        <v>1.349</v>
      </c>
      <c r="F9" s="1236">
        <f>VLOOKUP(B9,[2]Hoja1!$C$2:$E$279,3,FALSE)</f>
        <v>8904.4500000000007</v>
      </c>
      <c r="G9" s="96">
        <f t="shared" si="0"/>
        <v>64.577065996800016</v>
      </c>
      <c r="H9" s="914">
        <v>8910.1</v>
      </c>
      <c r="I9" s="805">
        <f t="shared" si="1"/>
        <v>64.61804106240001</v>
      </c>
      <c r="J9" s="233">
        <f t="shared" si="2"/>
        <v>-6.3411185059649711E-2</v>
      </c>
      <c r="K9" s="863">
        <f t="shared" si="3"/>
        <v>7.2522240000000016E-3</v>
      </c>
      <c r="L9" s="178">
        <f t="shared" si="4"/>
        <v>3.3994800000000001</v>
      </c>
      <c r="M9" s="1217">
        <f t="shared" si="5"/>
        <v>30270.499686000003</v>
      </c>
    </row>
    <row r="10" spans="2:13" x14ac:dyDescent="0.25">
      <c r="B10" s="4">
        <f>VLOOKUP(C10,[1]Hoja1!$B$2:$C$260,2,FALSE)</f>
        <v>1210004</v>
      </c>
      <c r="C10" s="6" t="s">
        <v>1131</v>
      </c>
      <c r="D10" s="143">
        <v>4.4620800000000008E-4</v>
      </c>
      <c r="E10" s="106">
        <v>8.3000000000000004E-2</v>
      </c>
      <c r="F10" s="1236">
        <f>VLOOKUP(B10,[2]Hoja1!$C$2:$E$279,3,FALSE)</f>
        <v>3841</v>
      </c>
      <c r="G10" s="96">
        <f t="shared" si="0"/>
        <v>1.7138849280000004</v>
      </c>
      <c r="H10" s="914">
        <v>3508.01</v>
      </c>
      <c r="I10" s="805">
        <f t="shared" si="1"/>
        <v>1.5653021260800004</v>
      </c>
      <c r="J10" s="233">
        <f t="shared" si="2"/>
        <v>9.4922762477871885</v>
      </c>
      <c r="K10" s="863">
        <f t="shared" si="3"/>
        <v>4.4620800000000008E-4</v>
      </c>
      <c r="L10" s="178">
        <f t="shared" si="4"/>
        <v>0.20916000000000001</v>
      </c>
      <c r="M10" s="1217">
        <f t="shared" si="5"/>
        <v>803.3835600000001</v>
      </c>
    </row>
    <row r="11" spans="2:13" x14ac:dyDescent="0.25">
      <c r="B11" s="4">
        <f>VLOOKUP(C11,[1]Hoja1!$B$2:$C$260,2,FALSE)</f>
        <v>121007</v>
      </c>
      <c r="C11" s="6" t="s">
        <v>821</v>
      </c>
      <c r="D11" s="143">
        <v>2.1342720000000004E-3</v>
      </c>
      <c r="E11" s="106">
        <v>0.39700000000000002</v>
      </c>
      <c r="F11" s="1236">
        <f>VLOOKUP(B11,[2]Hoja1!$C$2:$E$279,3,FALSE)</f>
        <v>16905</v>
      </c>
      <c r="G11" s="96">
        <f t="shared" si="0"/>
        <v>36.079868160000004</v>
      </c>
      <c r="H11" s="880">
        <v>16100</v>
      </c>
      <c r="I11" s="805">
        <f t="shared" si="1"/>
        <v>34.361779200000008</v>
      </c>
      <c r="J11" s="233">
        <f t="shared" si="2"/>
        <v>5</v>
      </c>
      <c r="K11" s="863">
        <f t="shared" si="3"/>
        <v>2.1342720000000004E-3</v>
      </c>
      <c r="L11" s="178">
        <f t="shared" si="4"/>
        <v>1.0004400000000002</v>
      </c>
      <c r="M11" s="1217">
        <f t="shared" si="5"/>
        <v>16912.438200000004</v>
      </c>
    </row>
    <row r="12" spans="2:13" x14ac:dyDescent="0.25">
      <c r="B12" s="4">
        <f>VLOOKUP(C12,[1]Hoja1!$B$2:$C$260,2,FALSE)</f>
        <v>1230012</v>
      </c>
      <c r="C12" s="6" t="s">
        <v>798</v>
      </c>
      <c r="D12" s="143">
        <v>2.6664960000000004E-3</v>
      </c>
      <c r="E12" s="106">
        <v>0.496</v>
      </c>
      <c r="F12" s="1236">
        <f>VLOOKUP(B12,[2]Hoja1!$C$2:$E$279,3,FALSE)</f>
        <v>31314.19</v>
      </c>
      <c r="G12" s="96">
        <f t="shared" si="0"/>
        <v>83.499162378240015</v>
      </c>
      <c r="H12" s="106">
        <v>29941</v>
      </c>
      <c r="I12" s="805">
        <f t="shared" si="1"/>
        <v>79.83755673600001</v>
      </c>
      <c r="J12" s="233">
        <f t="shared" si="2"/>
        <v>4.5863197621989826</v>
      </c>
      <c r="K12" s="863">
        <f t="shared" si="3"/>
        <v>2.6664960000000004E-3</v>
      </c>
      <c r="L12" s="178">
        <f t="shared" si="4"/>
        <v>1.2499199999999999</v>
      </c>
      <c r="M12" s="1217">
        <f t="shared" si="5"/>
        <v>39140.232364799995</v>
      </c>
    </row>
    <row r="13" spans="2:13" x14ac:dyDescent="0.25">
      <c r="B13" s="4">
        <f>VLOOKUP(C13,[1]Hoja1!$B$2:$C$260,2,FALSE)</f>
        <v>1250003</v>
      </c>
      <c r="C13" s="6" t="s">
        <v>914</v>
      </c>
      <c r="D13" s="143">
        <v>1.7203200000000005E-4</v>
      </c>
      <c r="E13" s="106">
        <v>3.2000000000000001E-2</v>
      </c>
      <c r="F13" s="1236">
        <f>VLOOKUP(B13,[2]Hoja1!$C$2:$E$279,3,FALSE)</f>
        <v>50952.79</v>
      </c>
      <c r="G13" s="96">
        <f t="shared" si="0"/>
        <v>8.7655103692800029</v>
      </c>
      <c r="H13" s="96">
        <v>47385.41</v>
      </c>
      <c r="I13" s="805">
        <f t="shared" si="1"/>
        <v>8.1518068531200036</v>
      </c>
      <c r="J13" s="233">
        <f t="shared" si="2"/>
        <v>7.5284354403602123</v>
      </c>
      <c r="K13" s="863">
        <f t="shared" si="3"/>
        <v>1.7203200000000005E-4</v>
      </c>
      <c r="L13" s="178">
        <f t="shared" si="4"/>
        <v>8.0640000000000003E-2</v>
      </c>
      <c r="M13" s="1217">
        <f t="shared" si="5"/>
        <v>4108.8329856</v>
      </c>
    </row>
    <row r="14" spans="2:13" x14ac:dyDescent="0.25">
      <c r="B14" s="4">
        <f>VLOOKUP(C14,[1]Hoja1!$B$2:$C$260,2,FALSE)</f>
        <v>1250001</v>
      </c>
      <c r="C14" s="6" t="s">
        <v>1160</v>
      </c>
      <c r="D14" s="143">
        <v>6.4512000000000008E-5</v>
      </c>
      <c r="E14" s="106">
        <v>1.2E-2</v>
      </c>
      <c r="F14" s="1236">
        <f>VLOOKUP(B14,[2]Hoja1!$C$2:$E$279,3,FALSE)</f>
        <v>5093.8999999999996</v>
      </c>
      <c r="G14" s="96">
        <f t="shared" si="0"/>
        <v>0.32861767680000004</v>
      </c>
      <c r="H14" s="106">
        <v>4885.95</v>
      </c>
      <c r="I14" s="805">
        <f t="shared" si="1"/>
        <v>0.31520240640000002</v>
      </c>
      <c r="J14" s="233">
        <f t="shared" si="2"/>
        <v>4.256081212456138</v>
      </c>
      <c r="K14" s="863">
        <f t="shared" si="3"/>
        <v>6.4512000000000008E-5</v>
      </c>
      <c r="L14" s="178">
        <f t="shared" si="4"/>
        <v>3.024E-2</v>
      </c>
      <c r="M14" s="1217">
        <f t="shared" si="5"/>
        <v>154.039536</v>
      </c>
    </row>
    <row r="15" spans="2:13" x14ac:dyDescent="0.25">
      <c r="B15" s="4">
        <f>VLOOKUP(C15,[1]Hoja1!$B$2:$C$260,2,FALSE)</f>
        <v>1260005</v>
      </c>
      <c r="C15" s="6" t="s">
        <v>811</v>
      </c>
      <c r="D15" s="143">
        <v>8.1070080000000006E-3</v>
      </c>
      <c r="E15" s="106">
        <v>1.508</v>
      </c>
      <c r="F15" s="1236">
        <f>VLOOKUP(B15,[2]Hoja1!$C$2:$E$279,3,FALSE)</f>
        <v>26429</v>
      </c>
      <c r="G15" s="96">
        <f t="shared" si="0"/>
        <v>214.26011443200002</v>
      </c>
      <c r="H15" s="914">
        <v>25850</v>
      </c>
      <c r="I15" s="805">
        <f t="shared" si="1"/>
        <v>209.56615680000002</v>
      </c>
      <c r="J15" s="233">
        <f t="shared" si="2"/>
        <v>2.2398452611218715</v>
      </c>
      <c r="K15" s="863">
        <f t="shared" si="3"/>
        <v>8.1070080000000006E-3</v>
      </c>
      <c r="L15" s="178">
        <f t="shared" si="4"/>
        <v>3.80016</v>
      </c>
      <c r="M15" s="1217">
        <f t="shared" si="5"/>
        <v>100434.42864</v>
      </c>
    </row>
    <row r="16" spans="2:13" x14ac:dyDescent="0.25">
      <c r="B16" s="4">
        <f>VLOOKUP(C16,[1]Hoja1!$B$2:$C$260,2,FALSE)</f>
        <v>1260010</v>
      </c>
      <c r="C16" s="6" t="s">
        <v>1043</v>
      </c>
      <c r="D16" s="143">
        <v>1.3440000000000002E-2</v>
      </c>
      <c r="E16" s="106">
        <v>2.5</v>
      </c>
      <c r="F16" s="1236">
        <f>VLOOKUP(B16,[2]Hoja1!$C$2:$E$279,3,FALSE)</f>
        <v>6959.71</v>
      </c>
      <c r="G16" s="96">
        <f t="shared" si="0"/>
        <v>93.538502400000013</v>
      </c>
      <c r="H16" s="880">
        <v>8234.27</v>
      </c>
      <c r="I16" s="805">
        <f t="shared" si="1"/>
        <v>110.66858880000002</v>
      </c>
      <c r="J16" s="233">
        <f t="shared" si="2"/>
        <v>-15.478724890002397</v>
      </c>
      <c r="K16" s="863">
        <f t="shared" si="3"/>
        <v>1.3440000000000002E-2</v>
      </c>
      <c r="L16" s="178">
        <f t="shared" si="4"/>
        <v>6.3000000000000007</v>
      </c>
      <c r="M16" s="1217">
        <f t="shared" si="5"/>
        <v>43846.173000000003</v>
      </c>
    </row>
    <row r="17" spans="2:13" ht="15" x14ac:dyDescent="0.25">
      <c r="B17" s="4">
        <f>VLOOKUP(C17,[1]Hoja1!$B$2:$C$260,2,FALSE)</f>
        <v>1121009</v>
      </c>
      <c r="C17" s="6" t="s">
        <v>1272</v>
      </c>
      <c r="D17" s="143">
        <v>5.9308032000000011E-2</v>
      </c>
      <c r="E17" s="106">
        <v>11.032</v>
      </c>
      <c r="F17" s="1236">
        <f>VLOOKUP(B17,[2]Hoja1!$C$2:$E$279,3,FALSE)</f>
        <v>8741.6200000000008</v>
      </c>
      <c r="G17" s="96">
        <f t="shared" si="0"/>
        <v>518.44827869184019</v>
      </c>
      <c r="H17" s="949">
        <v>8324.2000000000007</v>
      </c>
      <c r="I17" s="805">
        <f t="shared" si="1"/>
        <v>493.69191997440015</v>
      </c>
      <c r="J17" s="233">
        <f t="shared" si="2"/>
        <v>5.0145359313807916</v>
      </c>
      <c r="K17" s="863">
        <f t="shared" si="3"/>
        <v>5.9308032000000011E-2</v>
      </c>
      <c r="L17" s="178">
        <f t="shared" si="4"/>
        <v>27.800640000000001</v>
      </c>
      <c r="M17" s="1217">
        <f t="shared" si="5"/>
        <v>243022.63063680002</v>
      </c>
    </row>
    <row r="18" spans="2:13" x14ac:dyDescent="0.25">
      <c r="B18" s="4">
        <f>VLOOKUP(C18,[1]Hoja1!$B$2:$C$260,2,FALSE)</f>
        <v>2906001</v>
      </c>
      <c r="C18" s="6" t="s">
        <v>831</v>
      </c>
      <c r="D18" s="143">
        <v>1.0665984000000002E-2</v>
      </c>
      <c r="E18" s="106">
        <v>1.984</v>
      </c>
      <c r="F18" s="1236">
        <f>VLOOKUP(B18,[2]Hoja1!$C$2:$E$279,3,FALSE)</f>
        <v>1956.71</v>
      </c>
      <c r="G18" s="96">
        <f t="shared" si="0"/>
        <v>20.870237552640003</v>
      </c>
      <c r="H18" s="96">
        <v>12670.44</v>
      </c>
      <c r="I18" s="805">
        <f t="shared" si="1"/>
        <v>135.14271031296002</v>
      </c>
      <c r="J18" s="233">
        <f t="shared" si="2"/>
        <v>-84.556889894904998</v>
      </c>
      <c r="K18" s="863">
        <f t="shared" si="3"/>
        <v>1.0665984000000002E-2</v>
      </c>
      <c r="L18" s="178">
        <f t="shared" si="4"/>
        <v>4.9996799999999997</v>
      </c>
      <c r="M18" s="1217">
        <f t="shared" si="5"/>
        <v>9782.9238527999987</v>
      </c>
    </row>
    <row r="19" spans="2:13" x14ac:dyDescent="0.25">
      <c r="B19" s="4">
        <f>VLOOKUP(C19,[1]Hoja1!$B$2:$C$260,2,FALSE)</f>
        <v>1220010</v>
      </c>
      <c r="C19" s="6" t="s">
        <v>1144</v>
      </c>
      <c r="D19" s="143">
        <v>1.6020480000000002E-3</v>
      </c>
      <c r="E19" s="106">
        <v>0.29799999999999999</v>
      </c>
      <c r="F19" s="1236">
        <f>VLOOKUP(B19,[2]Hoja1!$C$2:$E$279,3,FALSE)</f>
        <v>4744.72</v>
      </c>
      <c r="G19" s="96">
        <f t="shared" si="0"/>
        <v>7.6012691865600015</v>
      </c>
      <c r="H19" s="914">
        <v>11340</v>
      </c>
      <c r="I19" s="805">
        <f t="shared" si="1"/>
        <v>18.167224320000003</v>
      </c>
      <c r="J19" s="233">
        <f t="shared" si="2"/>
        <v>-58.159435626102294</v>
      </c>
      <c r="K19" s="863">
        <f t="shared" si="3"/>
        <v>1.6020480000000002E-3</v>
      </c>
      <c r="L19" s="178">
        <f t="shared" si="4"/>
        <v>0.75095999999999996</v>
      </c>
      <c r="M19" s="1217">
        <f t="shared" si="5"/>
        <v>3563.0949311999998</v>
      </c>
    </row>
    <row r="20" spans="2:13" x14ac:dyDescent="0.25">
      <c r="B20" s="4">
        <v>1240007</v>
      </c>
      <c r="C20" s="154" t="s">
        <v>1352</v>
      </c>
      <c r="D20" s="1162">
        <v>5.3760000000000016E-6</v>
      </c>
      <c r="E20" s="154">
        <v>1E-3</v>
      </c>
      <c r="F20" s="1236">
        <f>VLOOKUP(B20,[2]Hoja1!$C$2:$E$279,3,FALSE)</f>
        <v>25921.42</v>
      </c>
      <c r="G20" s="96">
        <f t="shared" si="0"/>
        <v>0.13935355392000004</v>
      </c>
      <c r="H20" s="914">
        <v>324156.28000000003</v>
      </c>
      <c r="I20" s="805">
        <f t="shared" si="1"/>
        <v>1.7426641612800007</v>
      </c>
      <c r="J20" s="233">
        <f t="shared" si="2"/>
        <v>-92.003418844762166</v>
      </c>
      <c r="K20" s="863">
        <f t="shared" si="3"/>
        <v>5.3760000000000016E-6</v>
      </c>
      <c r="L20" s="178">
        <f t="shared" si="4"/>
        <v>2.5200000000000001E-3</v>
      </c>
      <c r="M20" s="1217">
        <f t="shared" si="5"/>
        <v>65.321978399999992</v>
      </c>
    </row>
    <row r="21" spans="2:13" s="146" customFormat="1" ht="14.25" x14ac:dyDescent="0.25">
      <c r="B21" s="1764" t="s">
        <v>37</v>
      </c>
      <c r="C21" s="1764"/>
      <c r="D21" s="1278">
        <f>SUM(D5:D19)</f>
        <v>0.53760000000000019</v>
      </c>
      <c r="E21" s="1281">
        <f>SUM(E5:E19)</f>
        <v>99.999999999999986</v>
      </c>
      <c r="F21" s="1281"/>
      <c r="G21" s="1281">
        <f>SUM(G5:G20)</f>
        <v>4119.904993989122</v>
      </c>
      <c r="H21" s="1281"/>
      <c r="I21" s="1280">
        <f>SUM(I5:I19)</f>
        <v>4334.3842136985613</v>
      </c>
      <c r="J21" s="1282">
        <f>((G21/I21)*100)-100</f>
        <v>-4.9483204334214435</v>
      </c>
      <c r="K21" s="1283"/>
      <c r="L21" s="1283"/>
      <c r="M21" s="1378">
        <f>SUM(M5:M20)</f>
        <v>1931205.4659324</v>
      </c>
    </row>
    <row r="22" spans="2:13" x14ac:dyDescent="0.25">
      <c r="J22" s="775"/>
    </row>
    <row r="23" spans="2:13" ht="25.5" x14ac:dyDescent="0.25">
      <c r="B23" s="1765" t="s">
        <v>50</v>
      </c>
      <c r="C23" s="1766"/>
      <c r="D23" s="38">
        <f>+C26+(C26*C32%)</f>
        <v>537.6</v>
      </c>
      <c r="E23" s="159"/>
      <c r="F23" s="159"/>
      <c r="G23" s="159"/>
      <c r="H23" s="159"/>
      <c r="I23" s="159"/>
      <c r="J23" s="159"/>
    </row>
    <row r="24" spans="2:13" x14ac:dyDescent="0.25">
      <c r="B24" s="1284" t="s">
        <v>38</v>
      </c>
      <c r="C24" s="161" t="s">
        <v>123</v>
      </c>
    </row>
    <row r="25" spans="2:13" x14ac:dyDescent="0.25">
      <c r="B25" s="1285" t="s">
        <v>39</v>
      </c>
      <c r="C25" s="163" t="s">
        <v>783</v>
      </c>
    </row>
    <row r="26" spans="2:13" x14ac:dyDescent="0.25">
      <c r="B26" s="1285" t="s">
        <v>40</v>
      </c>
      <c r="C26" s="163">
        <v>480</v>
      </c>
    </row>
    <row r="27" spans="2:13" x14ac:dyDescent="0.25">
      <c r="B27" s="1285" t="s">
        <v>41</v>
      </c>
      <c r="C27" s="163">
        <v>0</v>
      </c>
    </row>
    <row r="28" spans="2:13" x14ac:dyDescent="0.25">
      <c r="B28" s="1285" t="s">
        <v>42</v>
      </c>
      <c r="C28" s="163">
        <v>6</v>
      </c>
    </row>
    <row r="29" spans="2:13" x14ac:dyDescent="0.25">
      <c r="B29" s="1285" t="s">
        <v>43</v>
      </c>
      <c r="C29" s="163">
        <v>2</v>
      </c>
    </row>
    <row r="30" spans="2:13" x14ac:dyDescent="0.25">
      <c r="B30" s="1285" t="s">
        <v>44</v>
      </c>
      <c r="C30" s="163">
        <v>2</v>
      </c>
    </row>
    <row r="31" spans="2:13" x14ac:dyDescent="0.25">
      <c r="B31" s="1285" t="s">
        <v>45</v>
      </c>
      <c r="C31" s="163">
        <v>2</v>
      </c>
    </row>
    <row r="32" spans="2:13" x14ac:dyDescent="0.25">
      <c r="B32" s="1285" t="s">
        <v>46</v>
      </c>
      <c r="C32" s="163">
        <f>C31+C30+C29+C28</f>
        <v>12</v>
      </c>
      <c r="E32" s="120">
        <v>0.14499999999999999</v>
      </c>
      <c r="F32" s="120">
        <f>E32*12</f>
        <v>1.7399999999999998</v>
      </c>
    </row>
    <row r="33" spans="2:12" x14ac:dyDescent="0.25">
      <c r="E33" s="281">
        <f>0.145*12</f>
        <v>1.7399999999999998</v>
      </c>
    </row>
    <row r="34" spans="2:12" ht="25.5" x14ac:dyDescent="0.25">
      <c r="B34" s="1789" t="s">
        <v>47</v>
      </c>
      <c r="C34" s="1790"/>
      <c r="D34" s="1790"/>
      <c r="E34" s="1790"/>
      <c r="F34" s="1790"/>
      <c r="G34" s="1790"/>
      <c r="H34" s="1791"/>
      <c r="I34" s="789"/>
      <c r="J34" s="857"/>
    </row>
    <row r="35" spans="2:12" ht="25.5" x14ac:dyDescent="0.25">
      <c r="B35" s="1368" t="s">
        <v>0</v>
      </c>
      <c r="C35" s="1368" t="s">
        <v>1</v>
      </c>
      <c r="D35" s="1369" t="s">
        <v>2</v>
      </c>
      <c r="E35" s="1243" t="str">
        <f>+'CIF Y PV'!$F$4</f>
        <v xml:space="preserve">JUN-COP/UMB </v>
      </c>
      <c r="F35" s="1243" t="str">
        <f>+'CIF Y PV'!$G$4</f>
        <v>JUN-COP/APP</v>
      </c>
      <c r="G35" s="1243" t="str">
        <f>+'CIF Y PV'!$H$4</f>
        <v xml:space="preserve">MAY-COP/UMB </v>
      </c>
      <c r="H35" s="1243" t="str">
        <f>+'CIF Y PV'!$I$4</f>
        <v>MAY-COP/APP</v>
      </c>
      <c r="I35" s="1244" t="s">
        <v>3</v>
      </c>
      <c r="J35" s="870"/>
    </row>
    <row r="36" spans="2:12" x14ac:dyDescent="0.25">
      <c r="B36" s="222">
        <f>VLOOKUP(C36,[1]Hoja1!$B$2:$C$260,2,FALSE)</f>
        <v>1370009</v>
      </c>
      <c r="C36" s="1165" t="s">
        <v>1154</v>
      </c>
      <c r="D36" s="221">
        <v>1.794</v>
      </c>
      <c r="E36" s="225">
        <f>VLOOKUP(B36,[2]Hoja1!$C$2:$E$279,3,FALSE)</f>
        <v>487.07</v>
      </c>
      <c r="F36" s="496">
        <f>E36*D36</f>
        <v>873.80358000000001</v>
      </c>
      <c r="G36" s="225">
        <v>504.87</v>
      </c>
      <c r="H36" s="225">
        <f>G36*D36</f>
        <v>905.73678000000007</v>
      </c>
      <c r="I36" s="270">
        <f>((F36/H36)*100)-100</f>
        <v>-3.5256600709093533</v>
      </c>
      <c r="J36" s="389"/>
    </row>
    <row r="37" spans="2:12" x14ac:dyDescent="0.25">
      <c r="B37" s="222">
        <f>VLOOKUP(C37,[1]Hoja1!$B$2:$C$260,2,FALSE)</f>
        <v>1310018</v>
      </c>
      <c r="C37" s="222" t="s">
        <v>890</v>
      </c>
      <c r="D37" s="221">
        <v>7.4999999999999997E-2</v>
      </c>
      <c r="E37" s="225">
        <f>VLOOKUP(B37,[2]Hoja1!$C$2:$E$279,3,FALSE)</f>
        <v>478.26</v>
      </c>
      <c r="F37" s="496">
        <f>E37*D37</f>
        <v>35.869499999999995</v>
      </c>
      <c r="G37" s="871">
        <v>503.51</v>
      </c>
      <c r="H37" s="225">
        <f>G37*D37</f>
        <v>37.763249999999999</v>
      </c>
      <c r="I37" s="270">
        <f>((F37/H37)*100)-100</f>
        <v>-5.0147961311592724</v>
      </c>
      <c r="J37" s="389"/>
    </row>
    <row r="38" spans="2:12" ht="14.25" x14ac:dyDescent="0.25">
      <c r="B38" s="222">
        <f>VLOOKUP(C38,[1]Hoja1!$B$2:$C$260,2,FALSE)</f>
        <v>1320005</v>
      </c>
      <c r="C38" s="1168" t="s">
        <v>1145</v>
      </c>
      <c r="D38" s="221">
        <v>7.4999999999999997E-2</v>
      </c>
      <c r="E38" s="225">
        <f>VLOOKUP(B38,[2]Hoja1!$C$2:$E$279,3,FALSE)</f>
        <v>740.21</v>
      </c>
      <c r="F38" s="496">
        <f>E38*D38</f>
        <v>55.515750000000004</v>
      </c>
      <c r="G38" s="24">
        <v>828.94</v>
      </c>
      <c r="H38" s="225">
        <f>G38*D38</f>
        <v>62.170500000000004</v>
      </c>
      <c r="I38" s="270">
        <f>((F38/H38)*100)-100</f>
        <v>-10.704031654884545</v>
      </c>
      <c r="J38" s="389"/>
    </row>
    <row r="39" spans="2:12" x14ac:dyDescent="0.25">
      <c r="B39" s="222">
        <f>VLOOKUP(C39,[1]Hoja1!$B$2:$C$260,2,FALSE)</f>
        <v>1330022</v>
      </c>
      <c r="C39" s="222" t="s">
        <v>943</v>
      </c>
      <c r="D39" s="221">
        <v>1</v>
      </c>
      <c r="E39" s="225">
        <f>VLOOKUP(B39,[2]Hoja1!$C$2:$E$279,3,FALSE)</f>
        <v>40.869999999999997</v>
      </c>
      <c r="F39" s="496">
        <f>E39*D39</f>
        <v>40.869999999999997</v>
      </c>
      <c r="G39" s="225">
        <v>40.200000000000003</v>
      </c>
      <c r="H39" s="225">
        <f>G39*D39</f>
        <v>40.200000000000003</v>
      </c>
      <c r="I39" s="270">
        <f>((F39/H39)*100)-100</f>
        <v>1.6666666666666572</v>
      </c>
      <c r="J39" s="389"/>
    </row>
    <row r="40" spans="2:12" x14ac:dyDescent="0.25">
      <c r="B40" s="1370"/>
      <c r="C40" s="1370" t="s">
        <v>37</v>
      </c>
      <c r="D40" s="1371"/>
      <c r="E40" s="1372"/>
      <c r="F40" s="1380">
        <f>SUM(F36:F39)</f>
        <v>1006.0588300000001</v>
      </c>
      <c r="G40" s="1372"/>
      <c r="H40" s="1372">
        <f>SUM(H36:H39)</f>
        <v>1045.8705300000001</v>
      </c>
      <c r="I40" s="1287">
        <f>((F40/H40)*100)-100</f>
        <v>-3.8065610281609281</v>
      </c>
      <c r="J40" s="859"/>
    </row>
    <row r="41" spans="2:12" x14ac:dyDescent="0.25">
      <c r="I41" s="1" t="str">
        <f>+'CIF Y PV'!$G$1</f>
        <v>MAYO</v>
      </c>
      <c r="J41" s="890"/>
      <c r="K41" s="890"/>
      <c r="L41" s="890"/>
    </row>
    <row r="42" spans="2:12" x14ac:dyDescent="0.25">
      <c r="B42" s="1735" t="s">
        <v>948</v>
      </c>
      <c r="C42" s="1735"/>
      <c r="E42" s="884"/>
      <c r="F42" s="884"/>
      <c r="G42" s="884"/>
      <c r="H42" s="884"/>
      <c r="I42" s="1375">
        <f>F40+G21</f>
        <v>5125.9638239891219</v>
      </c>
      <c r="J42" s="888"/>
      <c r="K42" s="887"/>
      <c r="L42" s="888"/>
    </row>
    <row r="43" spans="2:12" x14ac:dyDescent="0.25">
      <c r="B43" s="1736" t="s">
        <v>48</v>
      </c>
      <c r="C43" s="1737"/>
      <c r="E43" s="884"/>
      <c r="F43" s="884"/>
      <c r="G43" s="884"/>
      <c r="H43" s="884"/>
      <c r="I43" s="1375">
        <f>+('CIF Y PV'!C3/1000)*480</f>
        <v>907.19999999999993</v>
      </c>
      <c r="J43" s="888"/>
      <c r="K43" s="887"/>
      <c r="L43" s="888"/>
    </row>
    <row r="44" spans="2:12" x14ac:dyDescent="0.25">
      <c r="B44" s="1736" t="s">
        <v>949</v>
      </c>
      <c r="C44" s="1737"/>
      <c r="E44" s="884"/>
      <c r="F44" s="884"/>
      <c r="G44" s="884"/>
      <c r="H44" s="884"/>
      <c r="I44" s="1375">
        <f>+I42+I43</f>
        <v>6033.1638239891217</v>
      </c>
      <c r="J44" s="888"/>
      <c r="K44" s="887"/>
      <c r="L44" s="888"/>
    </row>
    <row r="45" spans="2:12" x14ac:dyDescent="0.25">
      <c r="B45" s="1735" t="s">
        <v>49</v>
      </c>
      <c r="C45" s="1735"/>
      <c r="E45" s="884"/>
      <c r="F45" s="884"/>
      <c r="G45" s="884"/>
      <c r="H45" s="884"/>
      <c r="I45" s="1376">
        <f>'CIF Y PV'!C18</f>
        <v>10506</v>
      </c>
      <c r="K45" s="887"/>
      <c r="L45" s="895"/>
    </row>
    <row r="46" spans="2:12" ht="14.45" customHeight="1" x14ac:dyDescent="0.2">
      <c r="B46" s="1735" t="s">
        <v>805</v>
      </c>
      <c r="C46" s="1735"/>
      <c r="E46" s="884"/>
      <c r="F46" s="884"/>
      <c r="G46" s="884"/>
      <c r="H46" s="884"/>
      <c r="I46" s="928">
        <f>+(I45-I44)/I45</f>
        <v>0.42574111707699203</v>
      </c>
      <c r="J46" s="893"/>
      <c r="K46" s="894"/>
      <c r="L46" s="893">
        <f>1-L45</f>
        <v>1</v>
      </c>
    </row>
    <row r="47" spans="2:12" x14ac:dyDescent="0.25">
      <c r="I47" s="890"/>
      <c r="J47" s="890"/>
      <c r="K47" s="890"/>
      <c r="L47" s="890"/>
    </row>
    <row r="48" spans="2:12" x14ac:dyDescent="0.25">
      <c r="I48" s="890"/>
      <c r="J48" s="890"/>
      <c r="K48" s="890"/>
      <c r="L48" s="890"/>
    </row>
  </sheetData>
  <autoFilter ref="B4:K21" xr:uid="{3D9D749A-2CFB-4653-B278-888C40AB2880}"/>
  <mergeCells count="9">
    <mergeCell ref="B44:C44"/>
    <mergeCell ref="B45:C45"/>
    <mergeCell ref="B46:C46"/>
    <mergeCell ref="B2:I2"/>
    <mergeCell ref="B21:C21"/>
    <mergeCell ref="B23:C23"/>
    <mergeCell ref="B34:H34"/>
    <mergeCell ref="B42:C42"/>
    <mergeCell ref="B43:C4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5948-0F49-4FF3-B4E9-EB96882BEA48}">
  <sheetPr codeName="Hoja107"/>
  <dimension ref="B2:M48"/>
  <sheetViews>
    <sheetView topLeftCell="A24" zoomScale="90" zoomScaleNormal="90" workbookViewId="0">
      <selection activeCell="F20" sqref="F20"/>
    </sheetView>
  </sheetViews>
  <sheetFormatPr baseColWidth="10" defaultColWidth="11.5703125" defaultRowHeight="13.5" x14ac:dyDescent="0.25"/>
  <cols>
    <col min="1" max="1" width="10.7109375" style="120" customWidth="1"/>
    <col min="2" max="2" width="11.5703125" style="120"/>
    <col min="3" max="3" width="49.42578125" style="120" customWidth="1"/>
    <col min="4" max="4" width="11.5703125" style="119" customWidth="1"/>
    <col min="5" max="5" width="11.5703125" style="120" customWidth="1"/>
    <col min="6" max="6" width="15.28515625" style="120" customWidth="1"/>
    <col min="7" max="7" width="11.5703125" style="120" customWidth="1"/>
    <col min="8" max="8" width="20.7109375" style="120" bestFit="1" customWidth="1"/>
    <col min="9" max="10" width="14.28515625" style="120" customWidth="1"/>
    <col min="11" max="11" width="11.5703125" style="120" customWidth="1"/>
    <col min="12" max="12" width="11.5703125" style="120"/>
    <col min="13" max="13" width="16.5703125" style="120" bestFit="1" customWidth="1"/>
    <col min="14" max="16384" width="11.5703125" style="120"/>
  </cols>
  <sheetData>
    <row r="2" spans="2:13" ht="25.5" x14ac:dyDescent="0.25">
      <c r="B2" s="1743" t="s">
        <v>1014</v>
      </c>
      <c r="C2" s="1743"/>
      <c r="D2" s="1743"/>
      <c r="E2" s="1743"/>
      <c r="F2" s="1743"/>
      <c r="G2" s="1743"/>
      <c r="H2" s="1743"/>
      <c r="I2" s="1743"/>
      <c r="J2" s="43"/>
    </row>
    <row r="4" spans="2:13" ht="25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367">
        <f>+D23/1000</f>
        <v>1.3440000000000001</v>
      </c>
      <c r="L4" s="1310">
        <v>252</v>
      </c>
      <c r="M4" s="1352" t="s">
        <v>1128</v>
      </c>
    </row>
    <row r="5" spans="2:13" x14ac:dyDescent="0.25">
      <c r="B5" s="4">
        <f>VLOOKUP(C5,[1]Hoja1!$B$2:$C$260,2,FALSE)</f>
        <v>1122008</v>
      </c>
      <c r="C5" s="6" t="s">
        <v>1028</v>
      </c>
      <c r="D5" s="166">
        <v>0.47999616000000006</v>
      </c>
      <c r="E5" s="167">
        <v>35.713999999999999</v>
      </c>
      <c r="F5" s="1236">
        <f>VLOOKUP(B5,[2]Hoja1!$C$2:$E$279,3,FALSE)</f>
        <v>12059.2</v>
      </c>
      <c r="G5" s="96">
        <f>F5*D5</f>
        <v>5788.3696926720013</v>
      </c>
      <c r="H5" s="927">
        <v>12498.88</v>
      </c>
      <c r="I5" s="805">
        <f>H5*D5</f>
        <v>5999.4144043008</v>
      </c>
      <c r="J5" s="248">
        <f>((F5/H5)*100)-100</f>
        <v>-3.5177551908650884</v>
      </c>
      <c r="K5" s="146">
        <f>$K$4*E5%</f>
        <v>0.47999616000000006</v>
      </c>
      <c r="L5" s="178">
        <f>+$L$4*E5%</f>
        <v>89.999279999999999</v>
      </c>
      <c r="M5" s="1217">
        <f>L5*F5</f>
        <v>1085319.3173760001</v>
      </c>
    </row>
    <row r="6" spans="2:13" x14ac:dyDescent="0.25">
      <c r="B6" s="4">
        <f>VLOOKUP(C6,[1]Hoja1!$B$2:$C$260,2,FALSE)</f>
        <v>1112001</v>
      </c>
      <c r="C6" s="6" t="s">
        <v>797</v>
      </c>
      <c r="D6" s="143">
        <v>0.20266176000000002</v>
      </c>
      <c r="E6" s="106">
        <v>15.079000000000001</v>
      </c>
      <c r="F6" s="1236">
        <f>VLOOKUP(B6,[2]Hoja1!$C$2:$E$279,3,FALSE)</f>
        <v>3663.96</v>
      </c>
      <c r="G6" s="96">
        <f t="shared" ref="G6:G20" si="0">F6*D6</f>
        <v>742.54458216960006</v>
      </c>
      <c r="H6" s="896">
        <v>4222.72</v>
      </c>
      <c r="I6" s="805">
        <f t="shared" ref="I6:I20" si="1">H6*D6</f>
        <v>855.78386718720014</v>
      </c>
      <c r="J6" s="233">
        <f t="shared" ref="J6:J19" si="2">((F6/H6)*100)-100</f>
        <v>-13.232229463473786</v>
      </c>
      <c r="K6" s="146">
        <f t="shared" ref="K6:K20" si="3">$K$4*E6%</f>
        <v>0.20266176000000002</v>
      </c>
      <c r="L6" s="178">
        <f t="shared" ref="L6:L20" si="4">+$L$4*E6%</f>
        <v>37.999079999999999</v>
      </c>
      <c r="M6" s="1217">
        <f t="shared" ref="M6:M20" si="5">L6*F6</f>
        <v>139227.1091568</v>
      </c>
    </row>
    <row r="7" spans="2:13" x14ac:dyDescent="0.25">
      <c r="B7" s="4">
        <f>VLOOKUP(C7,[1]Hoja1!$B$2:$C$260,2,FALSE)</f>
        <v>1131002</v>
      </c>
      <c r="C7" s="6" t="s">
        <v>663</v>
      </c>
      <c r="D7" s="143">
        <v>0.37109184000000006</v>
      </c>
      <c r="E7" s="106">
        <v>27.611000000000001</v>
      </c>
      <c r="F7" s="1236">
        <f>VLOOKUP(B7,[2]Hoja1!$C$2:$E$279,3,FALSE)</f>
        <v>0</v>
      </c>
      <c r="G7" s="96">
        <f t="shared" si="0"/>
        <v>0</v>
      </c>
      <c r="H7" s="896">
        <v>0</v>
      </c>
      <c r="I7" s="805">
        <f t="shared" si="1"/>
        <v>0</v>
      </c>
      <c r="J7" s="233" t="e">
        <f t="shared" si="2"/>
        <v>#DIV/0!</v>
      </c>
      <c r="K7" s="146">
        <f t="shared" si="3"/>
        <v>0.37109184000000006</v>
      </c>
      <c r="L7" s="178">
        <f t="shared" si="4"/>
        <v>69.579720000000009</v>
      </c>
      <c r="M7" s="1217">
        <f t="shared" si="5"/>
        <v>0</v>
      </c>
    </row>
    <row r="8" spans="2:13" x14ac:dyDescent="0.25">
      <c r="B8" s="4">
        <f>VLOOKUP(C8,[1]Hoja1!$B$2:$C$260,2,FALSE)</f>
        <v>1230006</v>
      </c>
      <c r="C8" s="6" t="s">
        <v>1153</v>
      </c>
      <c r="D8" s="143">
        <v>2.5603200000000003E-2</v>
      </c>
      <c r="E8" s="106">
        <v>1.905</v>
      </c>
      <c r="F8" s="1236">
        <f>VLOOKUP(B8,[2]Hoja1!$C$2:$E$279,3,FALSE)</f>
        <v>44693.38</v>
      </c>
      <c r="G8" s="96">
        <f t="shared" si="0"/>
        <v>1144.2935468160001</v>
      </c>
      <c r="H8" s="926">
        <v>42594.15</v>
      </c>
      <c r="I8" s="805">
        <f t="shared" si="1"/>
        <v>1090.5465412800002</v>
      </c>
      <c r="J8" s="233">
        <f t="shared" si="2"/>
        <v>4.9284467467950179</v>
      </c>
      <c r="K8" s="146">
        <f t="shared" si="3"/>
        <v>2.5603200000000003E-2</v>
      </c>
      <c r="L8" s="178">
        <f t="shared" si="4"/>
        <v>4.8006000000000002</v>
      </c>
      <c r="M8" s="1217">
        <f t="shared" si="5"/>
        <v>214555.04002799999</v>
      </c>
    </row>
    <row r="9" spans="2:13" x14ac:dyDescent="0.25">
      <c r="B9" s="4">
        <f>VLOOKUP(C9,[1]Hoja1!$B$2:$C$260,2,FALSE)</f>
        <v>1210006</v>
      </c>
      <c r="C9" s="6" t="s">
        <v>1130</v>
      </c>
      <c r="D9" s="143">
        <v>1.813056E-2</v>
      </c>
      <c r="E9" s="106">
        <v>1.349</v>
      </c>
      <c r="F9" s="1236">
        <f>VLOOKUP(B9,[2]Hoja1!$C$2:$E$279,3,FALSE)</f>
        <v>8904.4500000000007</v>
      </c>
      <c r="G9" s="96">
        <f t="shared" si="0"/>
        <v>161.442664992</v>
      </c>
      <c r="H9" s="914">
        <v>8910.1</v>
      </c>
      <c r="I9" s="805">
        <f t="shared" si="1"/>
        <v>161.54510265600001</v>
      </c>
      <c r="J9" s="233">
        <f t="shared" si="2"/>
        <v>-6.3411185059649711E-2</v>
      </c>
      <c r="K9" s="863">
        <f t="shared" si="3"/>
        <v>1.813056E-2</v>
      </c>
      <c r="L9" s="178">
        <f t="shared" si="4"/>
        <v>3.3994800000000001</v>
      </c>
      <c r="M9" s="1217">
        <f t="shared" si="5"/>
        <v>30270.499686000003</v>
      </c>
    </row>
    <row r="10" spans="2:13" x14ac:dyDescent="0.25">
      <c r="B10" s="4">
        <f>VLOOKUP(C10,[1]Hoja1!$B$2:$C$260,2,FALSE)</f>
        <v>1210004</v>
      </c>
      <c r="C10" s="6" t="s">
        <v>1131</v>
      </c>
      <c r="D10" s="143">
        <v>1.1155200000000001E-3</v>
      </c>
      <c r="E10" s="106">
        <v>8.3000000000000004E-2</v>
      </c>
      <c r="F10" s="1236">
        <f>VLOOKUP(B10,[2]Hoja1!$C$2:$E$279,3,FALSE)</f>
        <v>3841</v>
      </c>
      <c r="G10" s="96">
        <f t="shared" si="0"/>
        <v>4.2847123200000006</v>
      </c>
      <c r="H10" s="914">
        <v>3508.01</v>
      </c>
      <c r="I10" s="805">
        <f t="shared" si="1"/>
        <v>3.9132553152000003</v>
      </c>
      <c r="J10" s="233">
        <f t="shared" si="2"/>
        <v>9.4922762477871885</v>
      </c>
      <c r="K10" s="863">
        <f t="shared" si="3"/>
        <v>1.1155200000000001E-3</v>
      </c>
      <c r="L10" s="178">
        <f t="shared" si="4"/>
        <v>0.20916000000000001</v>
      </c>
      <c r="M10" s="1217">
        <f t="shared" si="5"/>
        <v>803.3835600000001</v>
      </c>
    </row>
    <row r="11" spans="2:13" x14ac:dyDescent="0.25">
      <c r="B11" s="4">
        <f>VLOOKUP(C11,[1]Hoja1!$B$2:$C$260,2,FALSE)</f>
        <v>121007</v>
      </c>
      <c r="C11" s="6" t="s">
        <v>821</v>
      </c>
      <c r="D11" s="143">
        <v>5.3356800000000006E-3</v>
      </c>
      <c r="E11" s="106">
        <v>0.39700000000000002</v>
      </c>
      <c r="F11" s="1236">
        <f>VLOOKUP(B11,[2]Hoja1!$C$2:$E$279,3,FALSE)</f>
        <v>16905</v>
      </c>
      <c r="G11" s="96">
        <f t="shared" si="0"/>
        <v>90.199670400000016</v>
      </c>
      <c r="H11" s="880">
        <v>16100</v>
      </c>
      <c r="I11" s="805">
        <f t="shared" si="1"/>
        <v>85.904448000000016</v>
      </c>
      <c r="J11" s="233">
        <f t="shared" si="2"/>
        <v>5</v>
      </c>
      <c r="K11" s="863">
        <f t="shared" si="3"/>
        <v>5.3356800000000006E-3</v>
      </c>
      <c r="L11" s="178">
        <f t="shared" si="4"/>
        <v>1.0004400000000002</v>
      </c>
      <c r="M11" s="1217">
        <f t="shared" si="5"/>
        <v>16912.438200000004</v>
      </c>
    </row>
    <row r="12" spans="2:13" x14ac:dyDescent="0.25">
      <c r="B12" s="4">
        <f>VLOOKUP(C12,[1]Hoja1!$B$2:$C$260,2,FALSE)</f>
        <v>1230012</v>
      </c>
      <c r="C12" s="6" t="s">
        <v>798</v>
      </c>
      <c r="D12" s="143">
        <v>6.6662400000000004E-3</v>
      </c>
      <c r="E12" s="106">
        <v>0.496</v>
      </c>
      <c r="F12" s="1236">
        <f>VLOOKUP(B12,[2]Hoja1!$C$2:$E$279,3,FALSE)</f>
        <v>31314.19</v>
      </c>
      <c r="G12" s="96">
        <f t="shared" si="0"/>
        <v>208.7479059456</v>
      </c>
      <c r="H12" s="106">
        <v>29941</v>
      </c>
      <c r="I12" s="805">
        <f t="shared" si="1"/>
        <v>199.59389184</v>
      </c>
      <c r="J12" s="233">
        <f t="shared" si="2"/>
        <v>4.5863197621989826</v>
      </c>
      <c r="K12" s="863">
        <f t="shared" si="3"/>
        <v>6.6662400000000004E-3</v>
      </c>
      <c r="L12" s="178">
        <f t="shared" si="4"/>
        <v>1.2499199999999999</v>
      </c>
      <c r="M12" s="1217">
        <f t="shared" si="5"/>
        <v>39140.232364799995</v>
      </c>
    </row>
    <row r="13" spans="2:13" x14ac:dyDescent="0.25">
      <c r="B13" s="4">
        <f>VLOOKUP(C13,[1]Hoja1!$B$2:$C$260,2,FALSE)</f>
        <v>1250003</v>
      </c>
      <c r="C13" s="6" t="s">
        <v>914</v>
      </c>
      <c r="D13" s="143">
        <v>4.3008000000000006E-4</v>
      </c>
      <c r="E13" s="106">
        <v>3.2000000000000001E-2</v>
      </c>
      <c r="F13" s="1236">
        <f>VLOOKUP(B13,[2]Hoja1!$C$2:$E$279,3,FALSE)</f>
        <v>50952.79</v>
      </c>
      <c r="G13" s="96">
        <f t="shared" si="0"/>
        <v>21.913775923200003</v>
      </c>
      <c r="H13" s="96">
        <v>47385.41</v>
      </c>
      <c r="I13" s="805">
        <f t="shared" si="1"/>
        <v>20.379517132800004</v>
      </c>
      <c r="J13" s="233">
        <f t="shared" si="2"/>
        <v>7.5284354403602123</v>
      </c>
      <c r="K13" s="863">
        <f t="shared" si="3"/>
        <v>4.3008000000000006E-4</v>
      </c>
      <c r="L13" s="178">
        <f t="shared" si="4"/>
        <v>8.0640000000000003E-2</v>
      </c>
      <c r="M13" s="1217">
        <f t="shared" si="5"/>
        <v>4108.8329856</v>
      </c>
    </row>
    <row r="14" spans="2:13" x14ac:dyDescent="0.25">
      <c r="B14" s="4">
        <f>VLOOKUP(C14,[1]Hoja1!$B$2:$C$260,2,FALSE)</f>
        <v>1250001</v>
      </c>
      <c r="C14" s="6" t="s">
        <v>1160</v>
      </c>
      <c r="D14" s="143">
        <v>1.6128E-4</v>
      </c>
      <c r="E14" s="106">
        <v>1.2E-2</v>
      </c>
      <c r="F14" s="1236">
        <f>VLOOKUP(B14,[2]Hoja1!$C$2:$E$279,3,FALSE)</f>
        <v>5093.8999999999996</v>
      </c>
      <c r="G14" s="96">
        <f t="shared" si="0"/>
        <v>0.82154419199999995</v>
      </c>
      <c r="H14" s="106">
        <v>4885.95</v>
      </c>
      <c r="I14" s="805">
        <f t="shared" si="1"/>
        <v>0.78800601599999998</v>
      </c>
      <c r="J14" s="233">
        <f t="shared" si="2"/>
        <v>4.256081212456138</v>
      </c>
      <c r="K14" s="863">
        <f t="shared" si="3"/>
        <v>1.6128E-4</v>
      </c>
      <c r="L14" s="178">
        <f t="shared" si="4"/>
        <v>3.024E-2</v>
      </c>
      <c r="M14" s="1217">
        <f t="shared" si="5"/>
        <v>154.039536</v>
      </c>
    </row>
    <row r="15" spans="2:13" x14ac:dyDescent="0.25">
      <c r="B15" s="4">
        <f>VLOOKUP(C15,[1]Hoja1!$B$2:$C$260,2,FALSE)</f>
        <v>1260005</v>
      </c>
      <c r="C15" s="6" t="s">
        <v>811</v>
      </c>
      <c r="D15" s="143">
        <v>2.0267520000000001E-2</v>
      </c>
      <c r="E15" s="106">
        <v>1.508</v>
      </c>
      <c r="F15" s="1236">
        <f>VLOOKUP(B15,[2]Hoja1!$C$2:$E$279,3,FALSE)</f>
        <v>26429</v>
      </c>
      <c r="G15" s="96">
        <f t="shared" si="0"/>
        <v>535.65028608</v>
      </c>
      <c r="H15" s="914">
        <v>25850</v>
      </c>
      <c r="I15" s="805">
        <f t="shared" si="1"/>
        <v>523.915392</v>
      </c>
      <c r="J15" s="233">
        <f t="shared" si="2"/>
        <v>2.2398452611218715</v>
      </c>
      <c r="K15" s="863">
        <f t="shared" si="3"/>
        <v>2.0267520000000001E-2</v>
      </c>
      <c r="L15" s="178">
        <f t="shared" si="4"/>
        <v>3.80016</v>
      </c>
      <c r="M15" s="1217">
        <f t="shared" si="5"/>
        <v>100434.42864</v>
      </c>
    </row>
    <row r="16" spans="2:13" x14ac:dyDescent="0.25">
      <c r="B16" s="4">
        <f>VLOOKUP(C16,[1]Hoja1!$B$2:$C$260,2,FALSE)</f>
        <v>1260010</v>
      </c>
      <c r="C16" s="6" t="s">
        <v>1043</v>
      </c>
      <c r="D16" s="143">
        <v>3.3600000000000005E-2</v>
      </c>
      <c r="E16" s="106">
        <v>2.5</v>
      </c>
      <c r="F16" s="1236">
        <f>VLOOKUP(B16,[2]Hoja1!$C$2:$E$279,3,FALSE)</f>
        <v>6959.71</v>
      </c>
      <c r="G16" s="96">
        <f t="shared" si="0"/>
        <v>233.84625600000004</v>
      </c>
      <c r="H16" s="880">
        <v>8234.27</v>
      </c>
      <c r="I16" s="805">
        <f t="shared" si="1"/>
        <v>276.67147200000005</v>
      </c>
      <c r="J16" s="233">
        <f t="shared" si="2"/>
        <v>-15.478724890002397</v>
      </c>
      <c r="K16" s="863">
        <f t="shared" si="3"/>
        <v>3.3600000000000005E-2</v>
      </c>
      <c r="L16" s="178">
        <f t="shared" si="4"/>
        <v>6.3000000000000007</v>
      </c>
      <c r="M16" s="1217">
        <f t="shared" si="5"/>
        <v>43846.173000000003</v>
      </c>
    </row>
    <row r="17" spans="2:13" ht="15" x14ac:dyDescent="0.25">
      <c r="B17" s="4">
        <f>VLOOKUP(C17,[1]Hoja1!$B$2:$C$260,2,FALSE)</f>
        <v>1121009</v>
      </c>
      <c r="C17" s="6" t="s">
        <v>1272</v>
      </c>
      <c r="D17" s="143">
        <v>0.14827008</v>
      </c>
      <c r="E17" s="106">
        <v>11.032</v>
      </c>
      <c r="F17" s="1236">
        <f>VLOOKUP(B17,[2]Hoja1!$C$2:$E$279,3,FALSE)</f>
        <v>8741.6200000000008</v>
      </c>
      <c r="G17" s="96">
        <f t="shared" si="0"/>
        <v>1296.1206967296</v>
      </c>
      <c r="H17" s="949">
        <v>8324.2000000000007</v>
      </c>
      <c r="I17" s="805">
        <f t="shared" si="1"/>
        <v>1234.2297999360001</v>
      </c>
      <c r="J17" s="233">
        <f t="shared" si="2"/>
        <v>5.0145359313807916</v>
      </c>
      <c r="K17" s="863">
        <f t="shared" si="3"/>
        <v>0.14827008</v>
      </c>
      <c r="L17" s="178">
        <f t="shared" si="4"/>
        <v>27.800640000000001</v>
      </c>
      <c r="M17" s="1217">
        <f t="shared" si="5"/>
        <v>243022.63063680002</v>
      </c>
    </row>
    <row r="18" spans="2:13" x14ac:dyDescent="0.25">
      <c r="B18" s="4">
        <f>VLOOKUP(C18,[1]Hoja1!$B$2:$C$260,2,FALSE)</f>
        <v>2906001</v>
      </c>
      <c r="C18" s="6" t="s">
        <v>831</v>
      </c>
      <c r="D18" s="143">
        <v>2.6664960000000001E-2</v>
      </c>
      <c r="E18" s="106">
        <v>1.984</v>
      </c>
      <c r="F18" s="1236">
        <f>VLOOKUP(B18,[2]Hoja1!$C$2:$E$279,3,FALSE)</f>
        <v>1956.71</v>
      </c>
      <c r="G18" s="96">
        <f t="shared" si="0"/>
        <v>52.175593881600001</v>
      </c>
      <c r="H18" s="96">
        <v>12670.44</v>
      </c>
      <c r="I18" s="805">
        <f t="shared" si="1"/>
        <v>337.85677578240001</v>
      </c>
      <c r="J18" s="233">
        <f t="shared" si="2"/>
        <v>-84.556889894904998</v>
      </c>
      <c r="K18" s="863">
        <f t="shared" si="3"/>
        <v>2.6664960000000001E-2</v>
      </c>
      <c r="L18" s="178">
        <f t="shared" si="4"/>
        <v>4.9996799999999997</v>
      </c>
      <c r="M18" s="1217">
        <f t="shared" si="5"/>
        <v>9782.9238527999987</v>
      </c>
    </row>
    <row r="19" spans="2:13" x14ac:dyDescent="0.25">
      <c r="B19" s="4">
        <f>VLOOKUP(C19,[1]Hoja1!$B$2:$C$260,2,FALSE)</f>
        <v>1220010</v>
      </c>
      <c r="C19" s="6" t="s">
        <v>1144</v>
      </c>
      <c r="D19" s="143">
        <v>4.00512E-3</v>
      </c>
      <c r="E19" s="106">
        <v>0.29799999999999999</v>
      </c>
      <c r="F19" s="1236">
        <f>VLOOKUP(B19,[2]Hoja1!$C$2:$E$279,3,FALSE)</f>
        <v>4744.72</v>
      </c>
      <c r="G19" s="96">
        <f t="shared" si="0"/>
        <v>19.003172966400001</v>
      </c>
      <c r="H19" s="914">
        <v>11340</v>
      </c>
      <c r="I19" s="805">
        <f t="shared" si="1"/>
        <v>45.418060799999999</v>
      </c>
      <c r="J19" s="233">
        <f t="shared" si="2"/>
        <v>-58.159435626102294</v>
      </c>
      <c r="K19" s="863">
        <f t="shared" si="3"/>
        <v>4.00512E-3</v>
      </c>
      <c r="L19" s="178">
        <f t="shared" si="4"/>
        <v>0.75095999999999996</v>
      </c>
      <c r="M19" s="1217">
        <f t="shared" si="5"/>
        <v>3563.0949311999998</v>
      </c>
    </row>
    <row r="20" spans="2:13" x14ac:dyDescent="0.25">
      <c r="B20" s="4">
        <v>1240007</v>
      </c>
      <c r="C20" s="154" t="s">
        <v>1352</v>
      </c>
      <c r="D20" s="1162">
        <v>1.3440000000000002E-5</v>
      </c>
      <c r="E20" s="154">
        <v>1E-3</v>
      </c>
      <c r="F20" s="1236">
        <f>VLOOKUP(B20,[2]Hoja1!$C$2:$E$279,3,FALSE)</f>
        <v>25921.42</v>
      </c>
      <c r="G20" s="96">
        <f t="shared" si="0"/>
        <v>0.34838388480000004</v>
      </c>
      <c r="H20" s="914">
        <v>324156.28000000003</v>
      </c>
      <c r="I20" s="805">
        <f t="shared" si="1"/>
        <v>4.3566604032000011</v>
      </c>
      <c r="J20" s="233">
        <f>((F20/H20)*100)-100</f>
        <v>-92.003418844762166</v>
      </c>
      <c r="K20" s="863">
        <f t="shared" si="3"/>
        <v>1.3440000000000002E-5</v>
      </c>
      <c r="L20" s="178">
        <f t="shared" si="4"/>
        <v>2.5200000000000001E-3</v>
      </c>
      <c r="M20" s="1217">
        <f t="shared" si="5"/>
        <v>65.321978399999992</v>
      </c>
    </row>
    <row r="21" spans="2:13" s="146" customFormat="1" ht="14.25" x14ac:dyDescent="0.25">
      <c r="B21" s="1780" t="s">
        <v>37</v>
      </c>
      <c r="C21" s="1780"/>
      <c r="D21" s="1329">
        <f>SUM(D5:D19)</f>
        <v>1.3439999999999999</v>
      </c>
      <c r="E21" s="1330">
        <f>SUM(E5:E19)</f>
        <v>99.999999999999986</v>
      </c>
      <c r="F21" s="1330"/>
      <c r="G21" s="1330">
        <f>SUM(G5:G20)</f>
        <v>10299.762484972804</v>
      </c>
      <c r="H21" s="1330"/>
      <c r="I21" s="1354">
        <f>SUM(I5:I19)</f>
        <v>10835.960534246404</v>
      </c>
      <c r="J21" s="1331">
        <f>((G21/I21)*100)-100</f>
        <v>-4.9483204334214577</v>
      </c>
      <c r="K21" s="1332"/>
      <c r="L21" s="1332"/>
      <c r="M21" s="1378">
        <f>SUM(M5:M20)</f>
        <v>1931205.4659324</v>
      </c>
    </row>
    <row r="22" spans="2:13" x14ac:dyDescent="0.25">
      <c r="J22" s="775"/>
    </row>
    <row r="23" spans="2:13" ht="25.5" x14ac:dyDescent="0.25">
      <c r="B23" s="1765" t="s">
        <v>50</v>
      </c>
      <c r="C23" s="1766"/>
      <c r="D23" s="38">
        <f>+C26+(C26*C32%)</f>
        <v>1344</v>
      </c>
      <c r="E23" s="159"/>
      <c r="F23" s="159"/>
      <c r="G23" s="159"/>
      <c r="H23" s="159"/>
      <c r="I23" s="159"/>
      <c r="J23" s="159"/>
    </row>
    <row r="24" spans="2:13" x14ac:dyDescent="0.25">
      <c r="B24" s="1284" t="s">
        <v>38</v>
      </c>
      <c r="C24" s="161" t="s">
        <v>123</v>
      </c>
    </row>
    <row r="25" spans="2:13" x14ac:dyDescent="0.25">
      <c r="B25" s="1285" t="s">
        <v>39</v>
      </c>
      <c r="C25" s="163" t="s">
        <v>783</v>
      </c>
    </row>
    <row r="26" spans="2:13" x14ac:dyDescent="0.25">
      <c r="B26" s="1285" t="s">
        <v>40</v>
      </c>
      <c r="C26" s="163">
        <v>1200</v>
      </c>
    </row>
    <row r="27" spans="2:13" x14ac:dyDescent="0.25">
      <c r="B27" s="1285" t="s">
        <v>41</v>
      </c>
      <c r="C27" s="163">
        <v>0</v>
      </c>
    </row>
    <row r="28" spans="2:13" x14ac:dyDescent="0.25">
      <c r="B28" s="1285" t="s">
        <v>42</v>
      </c>
      <c r="C28" s="163">
        <v>6</v>
      </c>
    </row>
    <row r="29" spans="2:13" x14ac:dyDescent="0.25">
      <c r="B29" s="1285" t="s">
        <v>43</v>
      </c>
      <c r="C29" s="163">
        <v>2</v>
      </c>
    </row>
    <row r="30" spans="2:13" x14ac:dyDescent="0.25">
      <c r="B30" s="1285" t="s">
        <v>44</v>
      </c>
      <c r="C30" s="163">
        <v>2</v>
      </c>
    </row>
    <row r="31" spans="2:13" x14ac:dyDescent="0.25">
      <c r="B31" s="1285" t="s">
        <v>45</v>
      </c>
      <c r="C31" s="163">
        <v>2</v>
      </c>
    </row>
    <row r="32" spans="2:13" x14ac:dyDescent="0.25">
      <c r="B32" s="1285" t="s">
        <v>46</v>
      </c>
      <c r="C32" s="163">
        <f>C31+C30+C29+C28</f>
        <v>12</v>
      </c>
      <c r="F32" s="120">
        <f>0.195*15</f>
        <v>2.9250000000000003</v>
      </c>
    </row>
    <row r="34" spans="2:12" ht="25.5" x14ac:dyDescent="0.25">
      <c r="B34" s="1789" t="s">
        <v>47</v>
      </c>
      <c r="C34" s="1790"/>
      <c r="D34" s="1790"/>
      <c r="E34" s="1790"/>
      <c r="F34" s="1790"/>
      <c r="G34" s="1790"/>
      <c r="H34" s="1791"/>
      <c r="I34" s="789"/>
      <c r="J34" s="857"/>
    </row>
    <row r="35" spans="2:12" ht="25.5" x14ac:dyDescent="0.25">
      <c r="B35" s="1368" t="s">
        <v>0</v>
      </c>
      <c r="C35" s="1368" t="s">
        <v>1</v>
      </c>
      <c r="D35" s="1369" t="s">
        <v>2</v>
      </c>
      <c r="E35" s="1243" t="str">
        <f>+'CIF Y PV'!$F$4</f>
        <v xml:space="preserve">JUN-COP/UMB </v>
      </c>
      <c r="F35" s="1243" t="str">
        <f>+'CIF Y PV'!$G$4</f>
        <v>JUN-COP/APP</v>
      </c>
      <c r="G35" s="1243" t="str">
        <f>+'CIF Y PV'!$H$4</f>
        <v xml:space="preserve">MAY-COP/UMB </v>
      </c>
      <c r="H35" s="1243" t="str">
        <f>+'CIF Y PV'!$I$4</f>
        <v>MAY-COP/APP</v>
      </c>
      <c r="I35" s="1244" t="s">
        <v>3</v>
      </c>
      <c r="J35" s="870"/>
      <c r="K35" s="887"/>
    </row>
    <row r="36" spans="2:12" x14ac:dyDescent="0.25">
      <c r="B36" s="222">
        <f>VLOOKUP(C36,[1]Hoja1!$B$2:$C$260,2,FALSE)</f>
        <v>1370009</v>
      </c>
      <c r="C36" s="222" t="s">
        <v>1154</v>
      </c>
      <c r="D36" s="221">
        <v>2.9249999999999998</v>
      </c>
      <c r="E36" s="225">
        <f>VLOOKUP(B36,[2]Hoja1!$C$2:$E$279,3,FALSE)</f>
        <v>487.07</v>
      </c>
      <c r="F36" s="225">
        <f>E36*D36</f>
        <v>1424.6797499999998</v>
      </c>
      <c r="G36" s="225">
        <v>504.87</v>
      </c>
      <c r="H36" s="225">
        <f>G36*D36</f>
        <v>1476.7447499999998</v>
      </c>
      <c r="I36" s="270">
        <f>((F36/H36)*100)-100</f>
        <v>-3.5256600709093391</v>
      </c>
      <c r="J36" s="389"/>
      <c r="K36" s="887"/>
    </row>
    <row r="37" spans="2:12" x14ac:dyDescent="0.25">
      <c r="B37" s="222">
        <f>VLOOKUP(C37,[1]Hoja1!$B$2:$C$260,2,FALSE)</f>
        <v>1310018</v>
      </c>
      <c r="C37" s="222" t="s">
        <v>890</v>
      </c>
      <c r="D37" s="221">
        <v>0.15</v>
      </c>
      <c r="E37" s="225">
        <f>VLOOKUP(B37,[2]Hoja1!$C$2:$E$279,3,FALSE)</f>
        <v>478.26</v>
      </c>
      <c r="F37" s="225">
        <f>E37*D37</f>
        <v>71.73899999999999</v>
      </c>
      <c r="G37" s="871">
        <v>503.51</v>
      </c>
      <c r="H37" s="225">
        <f>G37*D37</f>
        <v>75.526499999999999</v>
      </c>
      <c r="I37" s="270">
        <f>((F37/H37)*100)-100</f>
        <v>-5.0147961311592724</v>
      </c>
      <c r="J37" s="389"/>
      <c r="K37" s="887"/>
    </row>
    <row r="38" spans="2:12" x14ac:dyDescent="0.25">
      <c r="B38" s="222">
        <f>VLOOKUP(C38,[1]Hoja1!$B$2:$C$260,2,FALSE)</f>
        <v>1320004</v>
      </c>
      <c r="C38" s="222" t="s">
        <v>1141</v>
      </c>
      <c r="D38" s="221">
        <v>0.15</v>
      </c>
      <c r="E38" s="225">
        <f>VLOOKUP(B38,[2]Hoja1!$C$2:$E$279,3,FALSE)</f>
        <v>1481.51</v>
      </c>
      <c r="F38" s="225">
        <f>E38*D38</f>
        <v>222.22649999999999</v>
      </c>
      <c r="G38" s="24">
        <v>1575.9</v>
      </c>
      <c r="H38" s="225">
        <f>G38*D38</f>
        <v>236.38499999999999</v>
      </c>
      <c r="I38" s="270">
        <f>((F38/H38)*100)-100</f>
        <v>-5.9895932483025547</v>
      </c>
      <c r="J38" s="389"/>
      <c r="K38" s="887"/>
    </row>
    <row r="39" spans="2:12" x14ac:dyDescent="0.25">
      <c r="B39" s="222">
        <f>VLOOKUP(C39,[1]Hoja1!$B$2:$C$260,2,FALSE)</f>
        <v>1330022</v>
      </c>
      <c r="C39" s="222" t="s">
        <v>943</v>
      </c>
      <c r="D39" s="221">
        <v>1</v>
      </c>
      <c r="E39" s="225">
        <f>VLOOKUP(B39,[2]Hoja1!$C$2:$E$279,3,FALSE)</f>
        <v>40.869999999999997</v>
      </c>
      <c r="F39" s="225">
        <f>E39*D39</f>
        <v>40.869999999999997</v>
      </c>
      <c r="G39" s="225">
        <v>40.200000000000003</v>
      </c>
      <c r="H39" s="225">
        <f>G39*D39</f>
        <v>40.200000000000003</v>
      </c>
      <c r="I39" s="270">
        <f>((F39/H39)*100)-100</f>
        <v>1.6666666666666572</v>
      </c>
      <c r="J39" s="389"/>
      <c r="K39" s="894"/>
    </row>
    <row r="40" spans="2:12" x14ac:dyDescent="0.25">
      <c r="B40" s="1370"/>
      <c r="C40" s="1370" t="s">
        <v>37</v>
      </c>
      <c r="D40" s="1371"/>
      <c r="E40" s="1372"/>
      <c r="F40" s="1372">
        <f>SUM(F36:F39)</f>
        <v>1759.5152499999997</v>
      </c>
      <c r="G40" s="1372"/>
      <c r="H40" s="1372">
        <f>SUM(H36:H39)</f>
        <v>1828.8562499999998</v>
      </c>
      <c r="I40" s="1287">
        <f>((F40/H40)*100)-100</f>
        <v>-3.7914953676649077</v>
      </c>
      <c r="J40" s="859"/>
    </row>
    <row r="41" spans="2:12" x14ac:dyDescent="0.25">
      <c r="I41" s="1" t="str">
        <f>+'CIF Y PV'!$G$1</f>
        <v>MAYO</v>
      </c>
      <c r="J41" s="890"/>
      <c r="K41" s="890"/>
      <c r="L41" s="890"/>
    </row>
    <row r="42" spans="2:12" x14ac:dyDescent="0.25">
      <c r="B42" s="1735" t="s">
        <v>948</v>
      </c>
      <c r="C42" s="1735"/>
      <c r="E42" s="884"/>
      <c r="F42" s="884"/>
      <c r="G42" s="884"/>
      <c r="H42" s="884"/>
      <c r="I42" s="1375">
        <f>F40+G21</f>
        <v>12059.277734972804</v>
      </c>
      <c r="J42" s="888"/>
      <c r="L42" s="888"/>
    </row>
    <row r="43" spans="2:12" x14ac:dyDescent="0.25">
      <c r="B43" s="1736" t="s">
        <v>48</v>
      </c>
      <c r="C43" s="1737"/>
      <c r="E43" s="884"/>
      <c r="F43" s="884"/>
      <c r="G43" s="884"/>
      <c r="H43" s="884"/>
      <c r="I43" s="1375">
        <f>+('CIF Y PV'!C3/1000)*1200</f>
        <v>2268</v>
      </c>
      <c r="J43" s="888"/>
      <c r="L43" s="888"/>
    </row>
    <row r="44" spans="2:12" x14ac:dyDescent="0.25">
      <c r="B44" s="1736" t="s">
        <v>949</v>
      </c>
      <c r="C44" s="1737"/>
      <c r="E44" s="884"/>
      <c r="F44" s="884"/>
      <c r="G44" s="884"/>
      <c r="H44" s="884"/>
      <c r="I44" s="1375">
        <f>+I42+I43</f>
        <v>14327.277734972804</v>
      </c>
      <c r="J44" s="888"/>
      <c r="L44" s="888"/>
    </row>
    <row r="45" spans="2:12" x14ac:dyDescent="0.25">
      <c r="B45" s="1735" t="s">
        <v>49</v>
      </c>
      <c r="C45" s="1735"/>
      <c r="E45" s="884"/>
      <c r="F45" s="884"/>
      <c r="G45" s="884"/>
      <c r="H45" s="884"/>
      <c r="I45" s="1376">
        <f>'CIF Y PV'!C19</f>
        <v>25749.070000000003</v>
      </c>
      <c r="L45" s="895"/>
    </row>
    <row r="46" spans="2:12" ht="14.45" customHeight="1" x14ac:dyDescent="0.2">
      <c r="B46" s="1735" t="s">
        <v>805</v>
      </c>
      <c r="C46" s="1735"/>
      <c r="E46" s="884"/>
      <c r="F46" s="884"/>
      <c r="G46" s="884"/>
      <c r="H46" s="884"/>
      <c r="I46" s="928">
        <f>+(I45-I44)/I45</f>
        <v>0.44358076874338365</v>
      </c>
      <c r="J46" s="893"/>
      <c r="L46" s="893">
        <f>1-L45</f>
        <v>1</v>
      </c>
    </row>
    <row r="47" spans="2:12" x14ac:dyDescent="0.25">
      <c r="I47" s="890"/>
      <c r="J47" s="890"/>
      <c r="K47" s="890"/>
      <c r="L47" s="890"/>
    </row>
    <row r="48" spans="2:12" x14ac:dyDescent="0.25">
      <c r="I48" s="890"/>
      <c r="J48" s="890"/>
      <c r="K48" s="890"/>
      <c r="L48" s="890"/>
    </row>
  </sheetData>
  <autoFilter ref="B4:K21" xr:uid="{3D9D749A-2CFB-4653-B278-888C40AB2880}"/>
  <mergeCells count="9">
    <mergeCell ref="B44:C44"/>
    <mergeCell ref="B45:C45"/>
    <mergeCell ref="B46:C46"/>
    <mergeCell ref="B2:I2"/>
    <mergeCell ref="B21:C21"/>
    <mergeCell ref="B23:C23"/>
    <mergeCell ref="B34:H34"/>
    <mergeCell ref="B42:C42"/>
    <mergeCell ref="B43:C4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B536-4CDB-43FF-9779-E71F8A300667}">
  <sheetPr codeName="Hoja108"/>
  <dimension ref="B2:M51"/>
  <sheetViews>
    <sheetView topLeftCell="A28" zoomScaleNormal="100" workbookViewId="0">
      <selection activeCell="G39" sqref="G39:G42"/>
    </sheetView>
  </sheetViews>
  <sheetFormatPr baseColWidth="10" defaultColWidth="11.5703125" defaultRowHeight="13.5" x14ac:dyDescent="0.25"/>
  <cols>
    <col min="1" max="1" width="10.7109375" style="120" customWidth="1"/>
    <col min="2" max="2" width="11.5703125" style="120"/>
    <col min="3" max="3" width="61.5703125" style="120" customWidth="1"/>
    <col min="4" max="4" width="11.5703125" style="119" customWidth="1"/>
    <col min="5" max="5" width="11.5703125" style="120" customWidth="1"/>
    <col min="6" max="6" width="12.85546875" style="120" customWidth="1"/>
    <col min="7" max="7" width="11.5703125" style="120" customWidth="1"/>
    <col min="8" max="8" width="20.7109375" style="120" bestFit="1" customWidth="1"/>
    <col min="9" max="10" width="14.28515625" style="120" customWidth="1"/>
    <col min="11" max="11" width="11.5703125" style="120" customWidth="1"/>
    <col min="12" max="12" width="11.5703125" style="120"/>
    <col min="13" max="13" width="14.42578125" style="120" bestFit="1" customWidth="1"/>
    <col min="14" max="16384" width="11.5703125" style="120"/>
  </cols>
  <sheetData>
    <row r="2" spans="2:13" ht="25.5" x14ac:dyDescent="0.25">
      <c r="B2" s="1743" t="s">
        <v>1108</v>
      </c>
      <c r="C2" s="1743"/>
      <c r="D2" s="1743"/>
      <c r="E2" s="1743"/>
      <c r="F2" s="1743"/>
      <c r="G2" s="1743"/>
      <c r="H2" s="1743"/>
      <c r="I2" s="1743"/>
      <c r="J2" s="43"/>
    </row>
    <row r="4" spans="2:13" ht="25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367">
        <f>+D26/1000</f>
        <v>1.3440000000000001</v>
      </c>
      <c r="L4" s="1310">
        <v>252</v>
      </c>
      <c r="M4" s="1352" t="s">
        <v>1128</v>
      </c>
    </row>
    <row r="5" spans="2:13" x14ac:dyDescent="0.25">
      <c r="B5" s="4">
        <v>1122006</v>
      </c>
      <c r="C5" s="6" t="s">
        <v>972</v>
      </c>
      <c r="D5" s="166">
        <v>0.85525440000000019</v>
      </c>
      <c r="E5" s="167">
        <v>63.49</v>
      </c>
      <c r="F5" s="927">
        <v>14750.92</v>
      </c>
      <c r="G5" s="96">
        <f>F5*D5</f>
        <v>12615.789234048003</v>
      </c>
      <c r="H5" s="927">
        <v>14750.92</v>
      </c>
      <c r="I5" s="805">
        <f>H5*D5</f>
        <v>12615.789234048003</v>
      </c>
      <c r="J5" s="248">
        <f>((F5/H5)*100)-100</f>
        <v>0</v>
      </c>
      <c r="K5" s="146">
        <f>$K$4*E5%</f>
        <v>0.85330560000000011</v>
      </c>
      <c r="L5" s="178">
        <f>+$L$4*E5%</f>
        <v>159.9948</v>
      </c>
      <c r="M5" s="1231">
        <f>L5*F5</f>
        <v>2360070.4952159999</v>
      </c>
    </row>
    <row r="6" spans="2:13" x14ac:dyDescent="0.25">
      <c r="B6" s="4">
        <v>1131002</v>
      </c>
      <c r="C6" s="6" t="s">
        <v>663</v>
      </c>
      <c r="D6" s="143">
        <v>0.22915200000000002</v>
      </c>
      <c r="E6" s="106">
        <v>16.75</v>
      </c>
      <c r="F6" s="927">
        <v>0</v>
      </c>
      <c r="G6" s="96">
        <f t="shared" ref="G6:G23" si="0">F6*D6</f>
        <v>0</v>
      </c>
      <c r="H6" s="896">
        <v>0</v>
      </c>
      <c r="I6" s="805">
        <f t="shared" ref="I6:I23" si="1">H6*D6</f>
        <v>0</v>
      </c>
      <c r="J6" s="248" t="e">
        <f t="shared" ref="J6:J23" si="2">((F6/H6)*100)-100</f>
        <v>#DIV/0!</v>
      </c>
      <c r="K6" s="146">
        <f t="shared" ref="K6:K23" si="3">$K$4*E6%</f>
        <v>0.22512000000000001</v>
      </c>
      <c r="L6" s="178">
        <f t="shared" ref="L6:L23" si="4">+$L$4*E6%</f>
        <v>42.21</v>
      </c>
      <c r="M6" s="1231">
        <f t="shared" ref="M6:M23" si="5">L6*F6</f>
        <v>0</v>
      </c>
    </row>
    <row r="7" spans="2:13" x14ac:dyDescent="0.25">
      <c r="B7" s="4">
        <v>1121009</v>
      </c>
      <c r="C7" s="6" t="s">
        <v>1071</v>
      </c>
      <c r="D7" s="143">
        <v>0.13439999999999988</v>
      </c>
      <c r="E7" s="106">
        <v>9.92</v>
      </c>
      <c r="F7" s="927">
        <v>8302.33</v>
      </c>
      <c r="G7" s="96">
        <f t="shared" si="0"/>
        <v>1115.833151999999</v>
      </c>
      <c r="H7" s="896">
        <v>8302.33</v>
      </c>
      <c r="I7" s="805">
        <f t="shared" si="1"/>
        <v>1115.833151999999</v>
      </c>
      <c r="J7" s="248">
        <f t="shared" si="2"/>
        <v>0</v>
      </c>
      <c r="K7" s="146">
        <f t="shared" si="3"/>
        <v>0.13332479999999999</v>
      </c>
      <c r="L7" s="178">
        <f t="shared" si="4"/>
        <v>24.9984</v>
      </c>
      <c r="M7" s="1231">
        <f t="shared" si="5"/>
        <v>207544.96627199999</v>
      </c>
    </row>
    <row r="8" spans="2:13" x14ac:dyDescent="0.25">
      <c r="B8" s="4">
        <v>1122007</v>
      </c>
      <c r="C8" s="6" t="s">
        <v>1067</v>
      </c>
      <c r="D8" s="143">
        <v>5.6246399999999981E-2</v>
      </c>
      <c r="E8" s="106">
        <v>4.37</v>
      </c>
      <c r="F8" s="927">
        <v>13558.05</v>
      </c>
      <c r="G8" s="96">
        <f t="shared" si="0"/>
        <v>762.59150351999972</v>
      </c>
      <c r="H8" s="926">
        <v>13558.05</v>
      </c>
      <c r="I8" s="805">
        <f t="shared" si="1"/>
        <v>762.59150351999972</v>
      </c>
      <c r="J8" s="248">
        <f t="shared" si="2"/>
        <v>0</v>
      </c>
      <c r="K8" s="146">
        <f t="shared" si="3"/>
        <v>5.8732800000000009E-2</v>
      </c>
      <c r="L8" s="178">
        <f t="shared" si="4"/>
        <v>11.012400000000001</v>
      </c>
      <c r="M8" s="1231">
        <f t="shared" si="5"/>
        <v>149306.66982000001</v>
      </c>
    </row>
    <row r="9" spans="2:13" x14ac:dyDescent="0.25">
      <c r="B9" s="4">
        <v>1210006</v>
      </c>
      <c r="C9" s="6" t="s">
        <v>1130</v>
      </c>
      <c r="D9" s="143">
        <v>2.2847999999999969E-2</v>
      </c>
      <c r="E9" s="106">
        <v>1.75</v>
      </c>
      <c r="F9" s="927">
        <v>8280</v>
      </c>
      <c r="G9" s="96">
        <f t="shared" si="0"/>
        <v>189.18143999999975</v>
      </c>
      <c r="H9" s="914">
        <v>8280</v>
      </c>
      <c r="I9" s="805">
        <f t="shared" si="1"/>
        <v>189.18143999999975</v>
      </c>
      <c r="J9" s="248">
        <f t="shared" si="2"/>
        <v>0</v>
      </c>
      <c r="K9" s="863">
        <f t="shared" si="3"/>
        <v>2.3520000000000003E-2</v>
      </c>
      <c r="L9" s="178">
        <f t="shared" si="4"/>
        <v>4.41</v>
      </c>
      <c r="M9" s="1231">
        <f t="shared" si="5"/>
        <v>36514.800000000003</v>
      </c>
    </row>
    <row r="10" spans="2:13" x14ac:dyDescent="0.25">
      <c r="B10" s="4">
        <v>1220014</v>
      </c>
      <c r="C10" s="6" t="s">
        <v>1146</v>
      </c>
      <c r="D10" s="143">
        <v>1.3439999999999994E-2</v>
      </c>
      <c r="E10" s="106">
        <v>0.99</v>
      </c>
      <c r="F10" s="927">
        <v>13300</v>
      </c>
      <c r="G10" s="96">
        <f t="shared" si="0"/>
        <v>178.75199999999992</v>
      </c>
      <c r="H10" s="914">
        <v>13300</v>
      </c>
      <c r="I10" s="805">
        <f t="shared" si="1"/>
        <v>178.75199999999992</v>
      </c>
      <c r="J10" s="248">
        <f t="shared" si="2"/>
        <v>0</v>
      </c>
      <c r="K10" s="863">
        <f t="shared" si="3"/>
        <v>1.3305599999999999E-2</v>
      </c>
      <c r="L10" s="178">
        <f t="shared" si="4"/>
        <v>2.4947999999999997</v>
      </c>
      <c r="M10" s="1231">
        <f t="shared" si="5"/>
        <v>33180.839999999997</v>
      </c>
    </row>
    <row r="11" spans="2:13" x14ac:dyDescent="0.25">
      <c r="B11" s="4">
        <v>1240002</v>
      </c>
      <c r="C11" s="6" t="s">
        <v>1140</v>
      </c>
      <c r="D11" s="143">
        <v>6.7199999999999916E-3</v>
      </c>
      <c r="E11" s="106">
        <v>0.49999999999999928</v>
      </c>
      <c r="F11" s="927">
        <v>73174.14</v>
      </c>
      <c r="G11" s="96">
        <f t="shared" si="0"/>
        <v>491.73022079999936</v>
      </c>
      <c r="H11" s="880">
        <v>73174.14</v>
      </c>
      <c r="I11" s="805">
        <f t="shared" si="1"/>
        <v>491.73022079999936</v>
      </c>
      <c r="J11" s="248">
        <f t="shared" si="2"/>
        <v>0</v>
      </c>
      <c r="K11" s="863">
        <f t="shared" si="3"/>
        <v>6.7199999999999916E-3</v>
      </c>
      <c r="L11" s="178">
        <f t="shared" si="4"/>
        <v>1.2599999999999982</v>
      </c>
      <c r="M11" s="1231">
        <f t="shared" si="5"/>
        <v>92199.416399999871</v>
      </c>
    </row>
    <row r="12" spans="2:13" x14ac:dyDescent="0.25">
      <c r="B12" s="4">
        <v>1210003</v>
      </c>
      <c r="C12" s="6" t="s">
        <v>1143</v>
      </c>
      <c r="D12" s="143">
        <v>6.7200000000000003E-3</v>
      </c>
      <c r="E12" s="106">
        <v>0.5</v>
      </c>
      <c r="F12" s="927">
        <v>12901.4</v>
      </c>
      <c r="G12" s="96">
        <f t="shared" si="0"/>
        <v>86.697407999999996</v>
      </c>
      <c r="H12" s="1203">
        <v>12901.4</v>
      </c>
      <c r="I12" s="805"/>
      <c r="J12" s="248"/>
      <c r="K12" s="863">
        <f t="shared" si="3"/>
        <v>6.7200000000000003E-3</v>
      </c>
      <c r="L12" s="178">
        <f t="shared" si="4"/>
        <v>1.26</v>
      </c>
      <c r="M12" s="1231">
        <f t="shared" si="5"/>
        <v>16255.763999999999</v>
      </c>
    </row>
    <row r="13" spans="2:13" x14ac:dyDescent="0.25">
      <c r="B13" s="4">
        <v>121007</v>
      </c>
      <c r="C13" s="6" t="s">
        <v>821</v>
      </c>
      <c r="D13" s="143">
        <v>5.3759999999999954E-3</v>
      </c>
      <c r="E13" s="106">
        <v>0.39999999999999969</v>
      </c>
      <c r="F13" s="927">
        <v>16100</v>
      </c>
      <c r="G13" s="96">
        <f t="shared" si="0"/>
        <v>86.553599999999932</v>
      </c>
      <c r="H13" s="106">
        <v>16100</v>
      </c>
      <c r="I13" s="805">
        <f t="shared" si="1"/>
        <v>86.553599999999932</v>
      </c>
      <c r="J13" s="248">
        <f t="shared" si="2"/>
        <v>0</v>
      </c>
      <c r="K13" s="863">
        <f t="shared" si="3"/>
        <v>5.3759999999999954E-3</v>
      </c>
      <c r="L13" s="178">
        <f t="shared" si="4"/>
        <v>1.0079999999999991</v>
      </c>
      <c r="M13" s="1231">
        <f t="shared" si="5"/>
        <v>16228.799999999987</v>
      </c>
    </row>
    <row r="14" spans="2:13" x14ac:dyDescent="0.25">
      <c r="B14" s="4">
        <v>1220007</v>
      </c>
      <c r="C14" s="6" t="s">
        <v>1046</v>
      </c>
      <c r="D14" s="143">
        <v>3.3600000000000001E-3</v>
      </c>
      <c r="E14" s="106">
        <v>0.26</v>
      </c>
      <c r="F14" s="927">
        <v>54398.21</v>
      </c>
      <c r="G14" s="96">
        <f t="shared" si="0"/>
        <v>182.77798559999999</v>
      </c>
      <c r="H14" s="96">
        <v>54398.21</v>
      </c>
      <c r="I14" s="805">
        <f t="shared" si="1"/>
        <v>182.77798559999999</v>
      </c>
      <c r="J14" s="248">
        <f t="shared" si="2"/>
        <v>0</v>
      </c>
      <c r="K14" s="897">
        <f t="shared" si="3"/>
        <v>3.4943999999999999E-3</v>
      </c>
      <c r="L14" s="178">
        <f t="shared" si="4"/>
        <v>0.6552</v>
      </c>
      <c r="M14" s="1231">
        <f t="shared" si="5"/>
        <v>35641.707192000002</v>
      </c>
    </row>
    <row r="15" spans="2:13" x14ac:dyDescent="0.25">
      <c r="B15" s="4">
        <v>1220005</v>
      </c>
      <c r="C15" s="6" t="s">
        <v>1135</v>
      </c>
      <c r="D15" s="143">
        <v>2.6880000000000007E-3</v>
      </c>
      <c r="E15" s="106">
        <v>0.20000000000000007</v>
      </c>
      <c r="F15" s="927">
        <v>17429.12</v>
      </c>
      <c r="G15" s="96">
        <f t="shared" si="0"/>
        <v>46.849474560000012</v>
      </c>
      <c r="H15" s="106">
        <v>17429.12</v>
      </c>
      <c r="I15" s="805">
        <f t="shared" si="1"/>
        <v>46.849474560000012</v>
      </c>
      <c r="J15" s="248">
        <f t="shared" si="2"/>
        <v>0</v>
      </c>
      <c r="K15" s="897">
        <f t="shared" si="3"/>
        <v>2.6880000000000007E-3</v>
      </c>
      <c r="L15" s="178">
        <f t="shared" si="4"/>
        <v>0.50400000000000011</v>
      </c>
      <c r="M15" s="1231">
        <f t="shared" si="5"/>
        <v>8784.2764800000023</v>
      </c>
    </row>
    <row r="16" spans="2:13" x14ac:dyDescent="0.25">
      <c r="B16" s="4">
        <v>1230020</v>
      </c>
      <c r="C16" s="6" t="s">
        <v>1025</v>
      </c>
      <c r="D16" s="143">
        <v>2.6880000000000007E-3</v>
      </c>
      <c r="E16" s="106">
        <v>0.20000000000000007</v>
      </c>
      <c r="F16" s="927">
        <v>40080.629999999997</v>
      </c>
      <c r="G16" s="96">
        <f t="shared" si="0"/>
        <v>107.73673344000002</v>
      </c>
      <c r="H16" s="914">
        <v>40080.629999999997</v>
      </c>
      <c r="I16" s="805">
        <f t="shared" si="1"/>
        <v>107.73673344000002</v>
      </c>
      <c r="J16" s="248">
        <f t="shared" si="2"/>
        <v>0</v>
      </c>
      <c r="K16" s="897">
        <f t="shared" si="3"/>
        <v>2.6880000000000007E-3</v>
      </c>
      <c r="L16" s="178">
        <f t="shared" si="4"/>
        <v>0.50400000000000011</v>
      </c>
      <c r="M16" s="1231">
        <f t="shared" si="5"/>
        <v>20200.637520000004</v>
      </c>
    </row>
    <row r="17" spans="2:13" x14ac:dyDescent="0.25">
      <c r="B17" s="4">
        <v>1220009</v>
      </c>
      <c r="C17" s="6" t="s">
        <v>1133</v>
      </c>
      <c r="D17" s="143">
        <v>2.6880000000000007E-3</v>
      </c>
      <c r="E17" s="106">
        <v>0.20000000000000007</v>
      </c>
      <c r="F17" s="927">
        <v>20273.96</v>
      </c>
      <c r="G17" s="96">
        <f t="shared" si="0"/>
        <v>54.49640448000001</v>
      </c>
      <c r="H17" s="880">
        <v>20273.96</v>
      </c>
      <c r="I17" s="805">
        <f t="shared" si="1"/>
        <v>54.49640448000001</v>
      </c>
      <c r="J17" s="248">
        <f t="shared" si="2"/>
        <v>0</v>
      </c>
      <c r="K17" s="897">
        <f t="shared" si="3"/>
        <v>2.6880000000000007E-3</v>
      </c>
      <c r="L17" s="178">
        <f t="shared" si="4"/>
        <v>0.50400000000000011</v>
      </c>
      <c r="M17" s="1231">
        <f t="shared" si="5"/>
        <v>10218.075840000001</v>
      </c>
    </row>
    <row r="18" spans="2:13" ht="15" x14ac:dyDescent="0.25">
      <c r="B18" s="4">
        <v>1230022</v>
      </c>
      <c r="C18" s="6" t="s">
        <v>1017</v>
      </c>
      <c r="D18" s="143">
        <v>2.6880000000000007E-3</v>
      </c>
      <c r="E18" s="106">
        <v>0.20000000000000007</v>
      </c>
      <c r="F18" s="927">
        <v>0</v>
      </c>
      <c r="G18" s="96">
        <f t="shared" si="0"/>
        <v>0</v>
      </c>
      <c r="H18" s="949">
        <v>0</v>
      </c>
      <c r="I18" s="805">
        <f t="shared" si="1"/>
        <v>0</v>
      </c>
      <c r="J18" s="248"/>
      <c r="K18" s="897">
        <f t="shared" si="3"/>
        <v>2.6880000000000007E-3</v>
      </c>
      <c r="L18" s="178">
        <f t="shared" si="4"/>
        <v>0.50400000000000011</v>
      </c>
      <c r="M18" s="1231">
        <f t="shared" si="5"/>
        <v>0</v>
      </c>
    </row>
    <row r="19" spans="2:13" x14ac:dyDescent="0.25">
      <c r="B19" s="4">
        <v>1210004</v>
      </c>
      <c r="C19" s="6" t="s">
        <v>1131</v>
      </c>
      <c r="D19" s="143">
        <v>2.2848E-3</v>
      </c>
      <c r="E19" s="106">
        <v>0.08</v>
      </c>
      <c r="F19" s="927">
        <v>3504.97</v>
      </c>
      <c r="G19" s="96">
        <f t="shared" si="0"/>
        <v>8.008155455999999</v>
      </c>
      <c r="H19" s="96">
        <v>3504.97</v>
      </c>
      <c r="I19" s="805">
        <f t="shared" si="1"/>
        <v>8.008155455999999</v>
      </c>
      <c r="J19" s="248">
        <f t="shared" si="2"/>
        <v>0</v>
      </c>
      <c r="K19" s="897">
        <f t="shared" si="3"/>
        <v>1.0752000000000001E-3</v>
      </c>
      <c r="L19" s="178">
        <f t="shared" si="4"/>
        <v>0.2016</v>
      </c>
      <c r="M19" s="1231">
        <f t="shared" si="5"/>
        <v>706.60195199999998</v>
      </c>
    </row>
    <row r="20" spans="2:13" x14ac:dyDescent="0.25">
      <c r="B20" s="4">
        <v>1220001</v>
      </c>
      <c r="C20" s="6" t="s">
        <v>1156</v>
      </c>
      <c r="D20" s="143">
        <v>1.3439999999999988E-3</v>
      </c>
      <c r="E20" s="106">
        <v>9.9999999999999922E-2</v>
      </c>
      <c r="F20" s="927">
        <v>81506.37</v>
      </c>
      <c r="G20" s="96">
        <f t="shared" si="0"/>
        <v>109.5445612799999</v>
      </c>
      <c r="H20" s="178">
        <v>81506.37</v>
      </c>
      <c r="I20" s="805">
        <f t="shared" si="1"/>
        <v>109.5445612799999</v>
      </c>
      <c r="J20" s="248">
        <f t="shared" si="2"/>
        <v>0</v>
      </c>
      <c r="K20" s="897">
        <f t="shared" si="3"/>
        <v>1.3439999999999988E-3</v>
      </c>
      <c r="L20" s="178">
        <f t="shared" si="4"/>
        <v>0.25199999999999978</v>
      </c>
      <c r="M20" s="1231">
        <f t="shared" si="5"/>
        <v>20539.605239999983</v>
      </c>
    </row>
    <row r="21" spans="2:13" x14ac:dyDescent="0.25">
      <c r="B21" s="4">
        <v>1250003</v>
      </c>
      <c r="C21" s="6" t="s">
        <v>914</v>
      </c>
      <c r="D21" s="143">
        <v>9.4079999999999977E-4</v>
      </c>
      <c r="E21" s="106">
        <v>0.08</v>
      </c>
      <c r="F21" s="927">
        <v>48785.4</v>
      </c>
      <c r="G21" s="96">
        <f t="shared" si="0"/>
        <v>45.897304319999989</v>
      </c>
      <c r="H21" s="178">
        <v>48785.4</v>
      </c>
      <c r="I21" s="805">
        <f t="shared" si="1"/>
        <v>45.897304319999989</v>
      </c>
      <c r="J21" s="248">
        <f t="shared" si="2"/>
        <v>0</v>
      </c>
      <c r="K21" s="897">
        <f t="shared" si="3"/>
        <v>1.0752000000000001E-3</v>
      </c>
      <c r="L21" s="178">
        <f t="shared" si="4"/>
        <v>0.2016</v>
      </c>
      <c r="M21" s="1231">
        <f t="shared" si="5"/>
        <v>9835.1366400000006</v>
      </c>
    </row>
    <row r="22" spans="2:13" x14ac:dyDescent="0.25">
      <c r="B22" s="4">
        <v>0</v>
      </c>
      <c r="C22" s="6" t="s">
        <v>1047</v>
      </c>
      <c r="D22" s="143">
        <v>1.3440000000000001E-3</v>
      </c>
      <c r="E22" s="106">
        <v>0.1</v>
      </c>
      <c r="F22" s="927"/>
      <c r="G22" s="96">
        <f t="shared" si="0"/>
        <v>0</v>
      </c>
      <c r="H22" s="178"/>
      <c r="I22" s="805">
        <f t="shared" si="1"/>
        <v>0</v>
      </c>
      <c r="J22" s="248"/>
      <c r="K22" s="897">
        <f t="shared" si="3"/>
        <v>1.3440000000000001E-3</v>
      </c>
      <c r="L22" s="178">
        <f t="shared" si="4"/>
        <v>0.252</v>
      </c>
      <c r="M22" s="1231">
        <f t="shared" si="5"/>
        <v>0</v>
      </c>
    </row>
    <row r="23" spans="2:13" x14ac:dyDescent="0.25">
      <c r="B23" s="4">
        <v>1270004</v>
      </c>
      <c r="C23" s="30" t="s">
        <v>1032</v>
      </c>
      <c r="D23" s="143">
        <v>5.3760000000000006E-4</v>
      </c>
      <c r="E23" s="106">
        <v>0.04</v>
      </c>
      <c r="F23" s="927">
        <v>55082.92</v>
      </c>
      <c r="G23" s="96">
        <f t="shared" si="0"/>
        <v>29.612577792000003</v>
      </c>
      <c r="H23" s="914">
        <v>55082.92</v>
      </c>
      <c r="I23" s="805">
        <f t="shared" si="1"/>
        <v>29.612577792000003</v>
      </c>
      <c r="J23" s="248">
        <f t="shared" si="2"/>
        <v>0</v>
      </c>
      <c r="K23" s="897">
        <f t="shared" si="3"/>
        <v>5.3760000000000006E-4</v>
      </c>
      <c r="L23" s="178">
        <f t="shared" si="4"/>
        <v>0.1008</v>
      </c>
      <c r="M23" s="1231">
        <f t="shared" si="5"/>
        <v>5552.3583360000002</v>
      </c>
    </row>
    <row r="24" spans="2:13" s="146" customFormat="1" x14ac:dyDescent="0.25">
      <c r="B24" s="1764" t="s">
        <v>37</v>
      </c>
      <c r="C24" s="1764"/>
      <c r="D24" s="1278">
        <f>SUM(D5:D23)</f>
        <v>1.3507200000000001</v>
      </c>
      <c r="E24" s="1280">
        <f>SUM(E5:E23)</f>
        <v>100.13000000000002</v>
      </c>
      <c r="F24" s="1281"/>
      <c r="G24" s="1281">
        <f>SUM(G5:G23)</f>
        <v>16112.051755296003</v>
      </c>
      <c r="H24" s="1281"/>
      <c r="I24" s="1280">
        <f>SUM(I5:I23)</f>
        <v>16025.354347296003</v>
      </c>
      <c r="J24" s="1282">
        <f>((G24/I24)*100)-100</f>
        <v>0.54100150374914335</v>
      </c>
      <c r="K24" s="1283"/>
      <c r="L24" s="1283"/>
      <c r="M24" s="1327">
        <f>SUM(M5:M23)</f>
        <v>3022780.1509079994</v>
      </c>
    </row>
    <row r="25" spans="2:13" x14ac:dyDescent="0.25">
      <c r="J25" s="775"/>
    </row>
    <row r="26" spans="2:13" ht="25.5" x14ac:dyDescent="0.25">
      <c r="B26" s="1765" t="s">
        <v>50</v>
      </c>
      <c r="C26" s="1766"/>
      <c r="D26" s="38">
        <f>+C29+(C29*C35%)</f>
        <v>1344</v>
      </c>
      <c r="E26" s="159"/>
      <c r="F26" s="159"/>
      <c r="G26" s="159"/>
      <c r="H26" s="159"/>
      <c r="I26" s="159"/>
      <c r="J26" s="159"/>
    </row>
    <row r="27" spans="2:13" x14ac:dyDescent="0.25">
      <c r="B27" s="1284" t="s">
        <v>38</v>
      </c>
      <c r="C27" s="161" t="s">
        <v>123</v>
      </c>
    </row>
    <row r="28" spans="2:13" x14ac:dyDescent="0.25">
      <c r="B28" s="1285" t="s">
        <v>39</v>
      </c>
      <c r="C28" s="163" t="s">
        <v>1015</v>
      </c>
    </row>
    <row r="29" spans="2:13" x14ac:dyDescent="0.25">
      <c r="B29" s="1285" t="s">
        <v>40</v>
      </c>
      <c r="C29" s="163">
        <v>1200</v>
      </c>
    </row>
    <row r="30" spans="2:13" x14ac:dyDescent="0.25">
      <c r="B30" s="1285" t="s">
        <v>41</v>
      </c>
      <c r="C30" s="163">
        <v>0</v>
      </c>
    </row>
    <row r="31" spans="2:13" x14ac:dyDescent="0.25">
      <c r="B31" s="1285" t="s">
        <v>42</v>
      </c>
      <c r="C31" s="163">
        <v>6</v>
      </c>
    </row>
    <row r="32" spans="2:13" x14ac:dyDescent="0.25">
      <c r="B32" s="1285" t="s">
        <v>43</v>
      </c>
      <c r="C32" s="163">
        <v>2</v>
      </c>
    </row>
    <row r="33" spans="2:12" x14ac:dyDescent="0.25">
      <c r="B33" s="1285" t="s">
        <v>44</v>
      </c>
      <c r="C33" s="163">
        <v>2</v>
      </c>
    </row>
    <row r="34" spans="2:12" x14ac:dyDescent="0.25">
      <c r="B34" s="1285" t="s">
        <v>45</v>
      </c>
      <c r="C34" s="163">
        <v>2</v>
      </c>
    </row>
    <row r="35" spans="2:12" x14ac:dyDescent="0.25">
      <c r="B35" s="1285" t="s">
        <v>46</v>
      </c>
      <c r="C35" s="163">
        <f>C34+C33+C32+C31</f>
        <v>12</v>
      </c>
      <c r="F35" s="120">
        <f>0.195*15</f>
        <v>2.9250000000000003</v>
      </c>
    </row>
    <row r="37" spans="2:12" ht="25.5" x14ac:dyDescent="0.25">
      <c r="B37" s="1789" t="s">
        <v>47</v>
      </c>
      <c r="C37" s="1790"/>
      <c r="D37" s="1790"/>
      <c r="E37" s="1790"/>
      <c r="F37" s="1790"/>
      <c r="G37" s="1790"/>
      <c r="H37" s="1791"/>
      <c r="I37" s="789"/>
      <c r="J37" s="857"/>
    </row>
    <row r="38" spans="2:12" ht="25.5" x14ac:dyDescent="0.25">
      <c r="B38" s="1368" t="s">
        <v>0</v>
      </c>
      <c r="C38" s="1368" t="s">
        <v>1</v>
      </c>
      <c r="D38" s="1369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244" t="s">
        <v>3</v>
      </c>
      <c r="J38" s="870"/>
    </row>
    <row r="39" spans="2:12" x14ac:dyDescent="0.25">
      <c r="B39" s="222">
        <v>1370036</v>
      </c>
      <c r="C39" s="222" t="s">
        <v>1069</v>
      </c>
      <c r="D39" s="221">
        <v>2.9249999999999998</v>
      </c>
      <c r="E39" s="225">
        <v>210.65</v>
      </c>
      <c r="F39" s="225">
        <f>E39*D39</f>
        <v>616.15125</v>
      </c>
      <c r="G39" s="225">
        <v>210.65</v>
      </c>
      <c r="H39" s="225">
        <f>G39*D39</f>
        <v>616.15125</v>
      </c>
      <c r="I39" s="270">
        <f>((F39/H39)*100)-100</f>
        <v>0</v>
      </c>
      <c r="J39" s="389"/>
    </row>
    <row r="40" spans="2:12" x14ac:dyDescent="0.25">
      <c r="B40" s="222">
        <v>1310018</v>
      </c>
      <c r="C40" s="222" t="s">
        <v>890</v>
      </c>
      <c r="D40" s="221">
        <v>0.15</v>
      </c>
      <c r="E40" s="225">
        <v>517.34</v>
      </c>
      <c r="F40" s="225">
        <f>E40*D40</f>
        <v>77.600999999999999</v>
      </c>
      <c r="G40" s="871">
        <v>517.34</v>
      </c>
      <c r="H40" s="225">
        <f>G40*D40</f>
        <v>77.600999999999999</v>
      </c>
      <c r="I40" s="270">
        <f>((F40/H40)*100)-100</f>
        <v>0</v>
      </c>
      <c r="J40" s="389"/>
    </row>
    <row r="41" spans="2:12" x14ac:dyDescent="0.25">
      <c r="B41" s="222">
        <v>1320004</v>
      </c>
      <c r="C41" s="222" t="s">
        <v>1141</v>
      </c>
      <c r="D41" s="221">
        <v>0.15</v>
      </c>
      <c r="E41" s="225">
        <v>1621.32</v>
      </c>
      <c r="F41" s="225">
        <f>E41*D41</f>
        <v>243.19799999999998</v>
      </c>
      <c r="G41" s="24">
        <v>1621.32</v>
      </c>
      <c r="H41" s="225">
        <f>G41*D41</f>
        <v>243.19799999999998</v>
      </c>
      <c r="I41" s="270">
        <f>((F41/H41)*100)-100</f>
        <v>0</v>
      </c>
      <c r="J41" s="389"/>
    </row>
    <row r="42" spans="2:12" x14ac:dyDescent="0.25">
      <c r="B42" s="222">
        <v>1330022</v>
      </c>
      <c r="C42" s="222" t="s">
        <v>943</v>
      </c>
      <c r="D42" s="221">
        <v>1</v>
      </c>
      <c r="E42" s="225">
        <v>38.86</v>
      </c>
      <c r="F42" s="225">
        <f>E42*D42</f>
        <v>38.86</v>
      </c>
      <c r="G42" s="24">
        <v>38.86</v>
      </c>
      <c r="H42" s="225">
        <f>G42*D42</f>
        <v>38.86</v>
      </c>
      <c r="I42" s="270">
        <f>((F42/H42)*100)-100</f>
        <v>0</v>
      </c>
      <c r="J42" s="389"/>
    </row>
    <row r="43" spans="2:12" x14ac:dyDescent="0.25">
      <c r="B43" s="1370"/>
      <c r="C43" s="1370" t="s">
        <v>37</v>
      </c>
      <c r="D43" s="1371"/>
      <c r="E43" s="1372"/>
      <c r="F43" s="1372">
        <f>SUM(F39:F42)</f>
        <v>975.81025</v>
      </c>
      <c r="G43" s="1372"/>
      <c r="H43" s="1372">
        <f>SUM(H39:H42)</f>
        <v>975.81025</v>
      </c>
      <c r="I43" s="1287">
        <f>((F43/H43)*100)-100</f>
        <v>0</v>
      </c>
      <c r="J43" s="859"/>
    </row>
    <row r="44" spans="2:12" x14ac:dyDescent="0.25">
      <c r="I44" s="1" t="str">
        <f>+'CIF Y PV'!$G$1</f>
        <v>MAYO</v>
      </c>
      <c r="J44" s="890"/>
      <c r="K44" s="890"/>
      <c r="L44" s="890"/>
    </row>
    <row r="45" spans="2:12" x14ac:dyDescent="0.25">
      <c r="B45" s="1735" t="s">
        <v>948</v>
      </c>
      <c r="C45" s="1735"/>
      <c r="E45" s="884"/>
      <c r="F45" s="884"/>
      <c r="G45" s="884"/>
      <c r="H45" s="884"/>
      <c r="I45" s="1375">
        <f>F43+G24</f>
        <v>17087.862005296003</v>
      </c>
      <c r="J45" s="888"/>
      <c r="K45" s="887"/>
      <c r="L45" s="888"/>
    </row>
    <row r="46" spans="2:12" x14ac:dyDescent="0.25">
      <c r="B46" s="1736" t="s">
        <v>48</v>
      </c>
      <c r="C46" s="1737"/>
      <c r="E46" s="884"/>
      <c r="F46" s="884"/>
      <c r="G46" s="884"/>
      <c r="H46" s="884"/>
      <c r="I46" s="1375">
        <f>+('CIF Y PV'!C3/1000)*1200</f>
        <v>2268</v>
      </c>
      <c r="J46" s="888"/>
      <c r="K46" s="887"/>
      <c r="L46" s="888"/>
    </row>
    <row r="47" spans="2:12" x14ac:dyDescent="0.25">
      <c r="B47" s="1736" t="s">
        <v>949</v>
      </c>
      <c r="C47" s="1737"/>
      <c r="E47" s="884"/>
      <c r="F47" s="884"/>
      <c r="G47" s="884"/>
      <c r="H47" s="884"/>
      <c r="I47" s="1375">
        <f>+I45+I46</f>
        <v>19355.862005296003</v>
      </c>
      <c r="J47" s="888"/>
      <c r="K47" s="887"/>
      <c r="L47" s="888"/>
    </row>
    <row r="48" spans="2:12" x14ac:dyDescent="0.25">
      <c r="B48" s="1735" t="s">
        <v>49</v>
      </c>
      <c r="C48" s="1735"/>
      <c r="E48" s="884"/>
      <c r="F48" s="884"/>
      <c r="G48" s="884"/>
      <c r="H48" s="884"/>
      <c r="I48" s="1376" t="e">
        <f>'CIF Y PV'!#REF!</f>
        <v>#REF!</v>
      </c>
      <c r="K48" s="887"/>
      <c r="L48" s="895"/>
    </row>
    <row r="49" spans="2:12" ht="14.45" customHeight="1" x14ac:dyDescent="0.2">
      <c r="B49" s="1735" t="s">
        <v>805</v>
      </c>
      <c r="C49" s="1735"/>
      <c r="E49" s="884"/>
      <c r="F49" s="884"/>
      <c r="G49" s="884"/>
      <c r="H49" s="884"/>
      <c r="I49" s="928" t="e">
        <f>+(I48-I47)/I48</f>
        <v>#REF!</v>
      </c>
      <c r="J49" s="893"/>
      <c r="K49" s="894"/>
      <c r="L49" s="893">
        <f>1-L48</f>
        <v>1</v>
      </c>
    </row>
    <row r="50" spans="2:12" x14ac:dyDescent="0.25">
      <c r="I50" s="890"/>
      <c r="J50" s="890"/>
      <c r="K50" s="890"/>
      <c r="L50" s="890"/>
    </row>
    <row r="51" spans="2:12" x14ac:dyDescent="0.25">
      <c r="I51" s="890"/>
      <c r="J51" s="890"/>
      <c r="K51" s="890"/>
      <c r="L51" s="890"/>
    </row>
  </sheetData>
  <autoFilter ref="B4:K24" xr:uid="{3D9D749A-2CFB-4653-B278-888C40AB2880}"/>
  <mergeCells count="9">
    <mergeCell ref="B47:C47"/>
    <mergeCell ref="B48:C48"/>
    <mergeCell ref="B49:C49"/>
    <mergeCell ref="B2:I2"/>
    <mergeCell ref="B24:C24"/>
    <mergeCell ref="B26:C26"/>
    <mergeCell ref="B37:H37"/>
    <mergeCell ref="B45:C45"/>
    <mergeCell ref="B46:C4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778D-F2DD-48EC-90E9-9D72B0AC348F}">
  <sheetPr codeName="Hoja109">
    <tabColor rgb="FFFF0000"/>
  </sheetPr>
  <dimension ref="A2:L54"/>
  <sheetViews>
    <sheetView view="pageBreakPreview" topLeftCell="A31" zoomScale="90" zoomScaleNormal="100" zoomScaleSheetLayoutView="90" workbookViewId="0">
      <selection activeCell="F24" sqref="F24"/>
    </sheetView>
  </sheetViews>
  <sheetFormatPr baseColWidth="10" defaultColWidth="11.5703125" defaultRowHeight="13.5" x14ac:dyDescent="0.25"/>
  <cols>
    <col min="1" max="1" width="13.7109375" style="1" customWidth="1"/>
    <col min="2" max="2" width="11.5703125" style="1" customWidth="1"/>
    <col min="3" max="3" width="67.42578125" style="1" bestFit="1" customWidth="1"/>
    <col min="4" max="4" width="12.28515625" style="1" customWidth="1"/>
    <col min="5" max="5" width="11.5703125" style="1" customWidth="1"/>
    <col min="6" max="6" width="12.85546875" style="107" customWidth="1"/>
    <col min="7" max="7" width="14.28515625" style="1" customWidth="1"/>
    <col min="8" max="8" width="12.5703125" style="1" customWidth="1"/>
    <col min="9" max="9" width="14.42578125" style="1" customWidth="1"/>
    <col min="10" max="10" width="11.5703125" style="38" customWidth="1"/>
    <col min="11" max="16384" width="11.5703125" style="1"/>
  </cols>
  <sheetData>
    <row r="2" spans="1:12" s="42" customFormat="1" ht="26.25" customHeight="1" x14ac:dyDescent="0.25">
      <c r="B2" s="1743" t="s">
        <v>1114</v>
      </c>
      <c r="C2" s="1743"/>
      <c r="D2" s="1743"/>
      <c r="E2" s="1743"/>
      <c r="F2" s="1743"/>
      <c r="G2" s="1743"/>
      <c r="H2" s="1743"/>
      <c r="I2" s="1743"/>
      <c r="J2" s="730"/>
      <c r="K2" s="89"/>
      <c r="L2" s="89"/>
    </row>
    <row r="4" spans="1:12" s="42" customFormat="1" ht="25.5" x14ac:dyDescent="0.25">
      <c r="B4" s="1242" t="s">
        <v>0</v>
      </c>
      <c r="C4" s="1242" t="s">
        <v>1</v>
      </c>
      <c r="D4" s="1242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4" t="s">
        <v>3</v>
      </c>
      <c r="K4" s="1338">
        <f>+D27/1000</f>
        <v>0.13200000000000001</v>
      </c>
    </row>
    <row r="5" spans="1:12" s="42" customFormat="1" ht="16.5" x14ac:dyDescent="0.25">
      <c r="A5" s="1"/>
      <c r="B5" s="4">
        <f>VLOOKUP(C5,[1]Hoja1!$B$2:$C$260,2,FALSE)</f>
        <v>1122002</v>
      </c>
      <c r="C5" s="70" t="s">
        <v>242</v>
      </c>
      <c r="D5" s="869">
        <v>2.7891599999999999E-2</v>
      </c>
      <c r="E5" s="495">
        <v>21.13</v>
      </c>
      <c r="F5" s="879">
        <f>VLOOKUP(B5,[2]Hoja1!$C$2:$E$279,3,FALSE)</f>
        <v>12500</v>
      </c>
      <c r="G5" s="72">
        <f>F5*D5</f>
        <v>348.64499999999998</v>
      </c>
      <c r="H5" s="879">
        <v>15000</v>
      </c>
      <c r="I5" s="73">
        <f>H5*D5</f>
        <v>418.37399999999997</v>
      </c>
      <c r="J5" s="566">
        <f>((F5/H5)*100)-100</f>
        <v>-16.666666666666657</v>
      </c>
      <c r="K5" s="282">
        <f>$K$4*E5%</f>
        <v>2.7891599999999999E-2</v>
      </c>
    </row>
    <row r="6" spans="1:12" s="42" customFormat="1" ht="16.5" x14ac:dyDescent="0.25">
      <c r="A6" s="1"/>
      <c r="B6" s="4">
        <f>VLOOKUP(C6,[1]Hoja1!$B$2:$C$260,2,FALSE)</f>
        <v>1122001</v>
      </c>
      <c r="C6" s="70" t="s">
        <v>1030</v>
      </c>
      <c r="D6" s="543">
        <v>4.5368399999999996E-2</v>
      </c>
      <c r="E6" s="72">
        <v>34.369999999999997</v>
      </c>
      <c r="F6" s="879">
        <f>VLOOKUP(B6,[2]Hoja1!$C$2:$E$279,3,FALSE)</f>
        <v>11506.13</v>
      </c>
      <c r="G6" s="72">
        <f t="shared" ref="G6:G24" si="0">F6*D6</f>
        <v>522.01470829199991</v>
      </c>
      <c r="H6" s="38">
        <v>14000</v>
      </c>
      <c r="I6" s="73">
        <f t="shared" ref="I6:I22" si="1">H6*D6</f>
        <v>635.1576</v>
      </c>
      <c r="J6" s="560">
        <f t="shared" ref="J6:J24" si="2">((F6/H6)*100)-100</f>
        <v>-17.813357142857143</v>
      </c>
      <c r="K6" s="282">
        <f t="shared" ref="K6:K24" si="3">$K$4*E6%</f>
        <v>4.5368399999999996E-2</v>
      </c>
    </row>
    <row r="7" spans="1:12" s="42" customFormat="1" ht="16.5" x14ac:dyDescent="0.25">
      <c r="A7" s="1"/>
      <c r="B7" s="4">
        <v>1131001</v>
      </c>
      <c r="C7" s="70" t="s">
        <v>1163</v>
      </c>
      <c r="D7" s="543">
        <v>1.0428E-2</v>
      </c>
      <c r="E7" s="72">
        <v>7.9</v>
      </c>
      <c r="F7" s="879">
        <f>VLOOKUP(B7,[2]Hoja1!$C$2:$E$279,3,FALSE)</f>
        <v>386.9</v>
      </c>
      <c r="G7" s="72">
        <f t="shared" si="0"/>
        <v>4.0345931999999998</v>
      </c>
      <c r="H7" s="72">
        <v>365</v>
      </c>
      <c r="I7" s="73">
        <f t="shared" si="1"/>
        <v>3.8062199999999997</v>
      </c>
      <c r="J7" s="560">
        <f t="shared" si="2"/>
        <v>5.9999999999999858</v>
      </c>
      <c r="K7" s="282">
        <f t="shared" si="3"/>
        <v>1.0428E-2</v>
      </c>
      <c r="L7" s="42" t="s">
        <v>85</v>
      </c>
    </row>
    <row r="8" spans="1:12" s="42" customFormat="1" ht="16.5" x14ac:dyDescent="0.25">
      <c r="A8" s="1"/>
      <c r="B8" s="4">
        <f>VLOOKUP(C8,[1]Hoja1!$B$2:$C$260,2,FALSE)</f>
        <v>1131002</v>
      </c>
      <c r="C8" s="70" t="s">
        <v>663</v>
      </c>
      <c r="D8" s="543">
        <v>3.2564400000000007E-2</v>
      </c>
      <c r="E8" s="72">
        <v>24.67</v>
      </c>
      <c r="F8" s="879">
        <f>VLOOKUP(B8,[2]Hoja1!$C$2:$E$279,3,FALSE)</f>
        <v>0</v>
      </c>
      <c r="G8" s="72">
        <f t="shared" si="0"/>
        <v>0</v>
      </c>
      <c r="H8" s="896">
        <v>0</v>
      </c>
      <c r="I8" s="73">
        <f t="shared" si="1"/>
        <v>0</v>
      </c>
      <c r="J8" s="560"/>
      <c r="K8" s="282">
        <f t="shared" si="3"/>
        <v>3.2564400000000007E-2</v>
      </c>
    </row>
    <row r="9" spans="1:12" s="42" customFormat="1" ht="16.5" x14ac:dyDescent="0.25">
      <c r="A9" s="1"/>
      <c r="B9" s="4">
        <f>VLOOKUP(C9,[1]Hoja1!$B$2:$C$260,2,FALSE)</f>
        <v>1260022</v>
      </c>
      <c r="C9" s="70" t="s">
        <v>974</v>
      </c>
      <c r="D9" s="543">
        <v>1.3047476442E-3</v>
      </c>
      <c r="E9" s="72">
        <v>0.988445185</v>
      </c>
      <c r="F9" s="879">
        <f>VLOOKUP(B9,[2]Hoja1!$C$2:$E$279,3,FALSE)</f>
        <v>22988.01</v>
      </c>
      <c r="G9" s="72">
        <f>F9*D9</f>
        <v>29.993551892346041</v>
      </c>
      <c r="H9" s="95">
        <v>27066.49</v>
      </c>
      <c r="I9" s="73">
        <f t="shared" si="1"/>
        <v>35.314939064262859</v>
      </c>
      <c r="J9" s="560">
        <f t="shared" si="2"/>
        <v>-15.068374214757824</v>
      </c>
      <c r="K9" s="282">
        <f t="shared" si="3"/>
        <v>1.3047476442E-3</v>
      </c>
    </row>
    <row r="10" spans="1:12" s="42" customFormat="1" ht="16.5" x14ac:dyDescent="0.25">
      <c r="A10" s="1"/>
      <c r="B10" s="4">
        <f>VLOOKUP(C10,[1]Hoja1!$B$2:$C$260,2,FALSE)</f>
        <v>1250009</v>
      </c>
      <c r="C10" s="70" t="s">
        <v>1279</v>
      </c>
      <c r="D10" s="543">
        <v>3.9142429920000003E-5</v>
      </c>
      <c r="E10" s="72">
        <v>2.9653355999999999E-2</v>
      </c>
      <c r="F10" s="879">
        <f>VLOOKUP(B10,[2]Hoja1!$C$2:$E$279,3,FALSE)</f>
        <v>83551.55</v>
      </c>
      <c r="G10" s="72">
        <f t="shared" si="0"/>
        <v>3.2704106905823762</v>
      </c>
      <c r="H10" s="237">
        <v>71910.02</v>
      </c>
      <c r="I10" s="73">
        <f t="shared" si="1"/>
        <v>2.8147329183957988</v>
      </c>
      <c r="J10" s="560">
        <f t="shared" si="2"/>
        <v>16.18902344902699</v>
      </c>
      <c r="K10" s="282">
        <f t="shared" si="3"/>
        <v>3.9142429920000003E-5</v>
      </c>
    </row>
    <row r="11" spans="1:12" s="42" customFormat="1" ht="16.5" x14ac:dyDescent="0.25">
      <c r="A11" s="1"/>
      <c r="B11" s="4">
        <f>VLOOKUP(C11,[1]Hoja1!$B$2:$C$260,2,FALSE)</f>
        <v>1210005</v>
      </c>
      <c r="C11" s="70" t="s">
        <v>1155</v>
      </c>
      <c r="D11" s="867">
        <v>1.2734337013199999E-3</v>
      </c>
      <c r="E11" s="72">
        <v>0.96472250100000001</v>
      </c>
      <c r="F11" s="879">
        <f>VLOOKUP(B11,[2]Hoja1!$C$2:$E$279,3,FALSE)</f>
        <v>1356</v>
      </c>
      <c r="G11" s="72">
        <f t="shared" si="0"/>
        <v>1.7267760989899199</v>
      </c>
      <c r="H11" s="880">
        <v>1360</v>
      </c>
      <c r="I11" s="73">
        <f t="shared" si="1"/>
        <v>1.7318698337951999</v>
      </c>
      <c r="J11" s="560">
        <f t="shared" si="2"/>
        <v>-0.29411764705882604</v>
      </c>
      <c r="K11" s="282">
        <f t="shared" si="3"/>
        <v>1.2734337013199999E-3</v>
      </c>
    </row>
    <row r="12" spans="1:12" s="42" customFormat="1" ht="16.5" x14ac:dyDescent="0.25">
      <c r="A12" s="1"/>
      <c r="B12" s="4">
        <f>VLOOKUP(C12,[1]Hoja1!$B$2:$C$260,2,FALSE)</f>
        <v>1210004</v>
      </c>
      <c r="C12" s="70" t="s">
        <v>1131</v>
      </c>
      <c r="D12" s="543">
        <v>1.121938488E-4</v>
      </c>
      <c r="E12" s="72">
        <v>8.4995340000000003E-2</v>
      </c>
      <c r="F12" s="879">
        <f>VLOOKUP(B12,[2]Hoja1!$C$2:$E$279,3,FALSE)</f>
        <v>3841</v>
      </c>
      <c r="G12" s="72">
        <f t="shared" si="0"/>
        <v>0.43093657324079998</v>
      </c>
      <c r="H12" s="914">
        <v>3508.01</v>
      </c>
      <c r="I12" s="73">
        <f t="shared" si="1"/>
        <v>0.39357714352888801</v>
      </c>
      <c r="J12" s="560">
        <f t="shared" si="2"/>
        <v>9.4922762477871885</v>
      </c>
      <c r="K12" s="282">
        <f t="shared" si="3"/>
        <v>1.121938488E-4</v>
      </c>
    </row>
    <row r="13" spans="1:12" s="42" customFormat="1" ht="16.5" x14ac:dyDescent="0.25">
      <c r="A13" s="1"/>
      <c r="B13" s="4">
        <f>VLOOKUP(C13,[1]Hoja1!$B$2:$C$260,2,FALSE)</f>
        <v>121007</v>
      </c>
      <c r="C13" s="70" t="s">
        <v>821</v>
      </c>
      <c r="D13" s="867">
        <v>6.468E-4</v>
      </c>
      <c r="E13" s="72">
        <v>0.49</v>
      </c>
      <c r="F13" s="879">
        <f>VLOOKUP(B13,[2]Hoja1!$C$2:$E$279,3,FALSE)</f>
        <v>16905</v>
      </c>
      <c r="G13" s="72">
        <f t="shared" si="0"/>
        <v>10.934153999999999</v>
      </c>
      <c r="H13" s="880">
        <v>16100</v>
      </c>
      <c r="I13" s="73">
        <f t="shared" si="1"/>
        <v>10.41348</v>
      </c>
      <c r="J13" s="560">
        <f t="shared" si="2"/>
        <v>5</v>
      </c>
      <c r="K13" s="282">
        <f t="shared" si="3"/>
        <v>6.468E-4</v>
      </c>
    </row>
    <row r="14" spans="1:12" s="42" customFormat="1" ht="16.5" x14ac:dyDescent="0.25">
      <c r="A14" s="1"/>
      <c r="B14" s="4">
        <f>VLOOKUP(C14,[1]Hoja1!$B$2:$C$260,2,FALSE)</f>
        <v>1210003</v>
      </c>
      <c r="C14" s="70" t="s">
        <v>1143</v>
      </c>
      <c r="D14" s="543">
        <v>6.5237381880000006E-5</v>
      </c>
      <c r="E14" s="72">
        <v>4.9422259000000003E-2</v>
      </c>
      <c r="F14" s="879">
        <f>VLOOKUP(B14,[2]Hoja1!$C$2:$E$279,3,FALSE)</f>
        <v>16235.45</v>
      </c>
      <c r="G14" s="72">
        <f t="shared" si="0"/>
        <v>1.0591582516436462</v>
      </c>
      <c r="H14" s="914">
        <v>12852.58</v>
      </c>
      <c r="I14" s="73">
        <f t="shared" si="1"/>
        <v>0.8384686696032505</v>
      </c>
      <c r="J14" s="560">
        <f t="shared" si="2"/>
        <v>26.320551982559152</v>
      </c>
      <c r="K14" s="282">
        <f t="shared" si="3"/>
        <v>6.5237381880000006E-5</v>
      </c>
    </row>
    <row r="15" spans="1:12" s="42" customFormat="1" ht="16.5" x14ac:dyDescent="0.25">
      <c r="A15" s="1"/>
      <c r="B15" s="4">
        <v>1240007</v>
      </c>
      <c r="C15" s="70" t="s">
        <v>1352</v>
      </c>
      <c r="D15" s="543">
        <v>5.2800000000000004E-4</v>
      </c>
      <c r="E15" s="72">
        <v>0.5</v>
      </c>
      <c r="F15" s="879">
        <f>VLOOKUP(B15,[2]Hoja1!$C$2:$E$279,3,FALSE)</f>
        <v>25921.42</v>
      </c>
      <c r="G15" s="72">
        <f t="shared" si="0"/>
        <v>13.68650976</v>
      </c>
      <c r="H15" s="914">
        <v>70840.75</v>
      </c>
      <c r="I15" s="73">
        <f t="shared" si="1"/>
        <v>37.403916000000002</v>
      </c>
      <c r="J15" s="560">
        <f t="shared" si="2"/>
        <v>-63.408885422585165</v>
      </c>
      <c r="K15" s="282">
        <f t="shared" si="3"/>
        <v>6.6E-4</v>
      </c>
    </row>
    <row r="16" spans="1:12" s="42" customFormat="1" ht="16.5" x14ac:dyDescent="0.25">
      <c r="A16" s="1"/>
      <c r="B16" s="4">
        <f>VLOOKUP(C16,[1]Hoja1!$B$2:$C$260,2,FALSE)</f>
        <v>1230008</v>
      </c>
      <c r="C16" s="70" t="s">
        <v>1183</v>
      </c>
      <c r="D16" s="543">
        <v>9.916082101199999E-4</v>
      </c>
      <c r="E16" s="72">
        <v>0.75121834099999996</v>
      </c>
      <c r="F16" s="879">
        <f>VLOOKUP(B16,[2]Hoja1!$C$2:$E$279,3,FALSE)</f>
        <v>26735</v>
      </c>
      <c r="G16" s="72">
        <f t="shared" si="0"/>
        <v>26.510645497558198</v>
      </c>
      <c r="H16" s="25">
        <v>25396</v>
      </c>
      <c r="I16" s="73">
        <f t="shared" si="1"/>
        <v>25.182882104207518</v>
      </c>
      <c r="J16" s="560">
        <f t="shared" si="2"/>
        <v>5.2724838557253122</v>
      </c>
      <c r="K16" s="282">
        <f t="shared" si="3"/>
        <v>9.916082101199999E-4</v>
      </c>
    </row>
    <row r="17" spans="1:11" s="42" customFormat="1" ht="16.5" x14ac:dyDescent="0.25">
      <c r="A17" s="1"/>
      <c r="B17" s="4">
        <f>VLOOKUP(C17,[1]Hoja1!$B$2:$C$260,2,FALSE)</f>
        <v>1230010</v>
      </c>
      <c r="C17" s="70" t="s">
        <v>1164</v>
      </c>
      <c r="D17" s="543">
        <v>5.2972754340000004E-4</v>
      </c>
      <c r="E17" s="72">
        <v>0.40130874500000002</v>
      </c>
      <c r="F17" s="879">
        <f>VLOOKUP(B17,[2]Hoja1!$C$2:$E$279,3,FALSE)</f>
        <v>53831</v>
      </c>
      <c r="G17" s="72">
        <f t="shared" si="0"/>
        <v>28.515763388765404</v>
      </c>
      <c r="H17" s="25">
        <v>50310</v>
      </c>
      <c r="I17" s="73">
        <f t="shared" si="1"/>
        <v>26.650592708454003</v>
      </c>
      <c r="J17" s="560">
        <f t="shared" si="2"/>
        <v>6.9986086265156047</v>
      </c>
      <c r="K17" s="282">
        <f t="shared" si="3"/>
        <v>5.2972754340000004E-4</v>
      </c>
    </row>
    <row r="18" spans="1:11" s="42" customFormat="1" ht="16.5" x14ac:dyDescent="0.25">
      <c r="A18" s="1"/>
      <c r="B18" s="4">
        <f>VLOOKUP(C18,[1]Hoja1!$B$2:$C$260,2,FALSE)</f>
        <v>1220010</v>
      </c>
      <c r="C18" s="70" t="s">
        <v>1144</v>
      </c>
      <c r="D18" s="543">
        <v>6.468E-4</v>
      </c>
      <c r="E18" s="72">
        <v>0.49</v>
      </c>
      <c r="F18" s="879">
        <f>VLOOKUP(B18,[2]Hoja1!$C$2:$E$279,3,FALSE)</f>
        <v>4744.72</v>
      </c>
      <c r="G18" s="72">
        <f t="shared" si="0"/>
        <v>3.0688848960000001</v>
      </c>
      <c r="H18" s="866">
        <v>9381</v>
      </c>
      <c r="I18" s="73">
        <f t="shared" si="1"/>
        <v>6.0676307999999999</v>
      </c>
      <c r="J18" s="560">
        <f t="shared" si="2"/>
        <v>-49.42202323846071</v>
      </c>
      <c r="K18" s="282">
        <f t="shared" si="3"/>
        <v>6.468E-4</v>
      </c>
    </row>
    <row r="19" spans="1:11" s="42" customFormat="1" ht="16.5" x14ac:dyDescent="0.25">
      <c r="A19" s="1"/>
      <c r="B19" s="4">
        <f>VLOOKUP(C19,[1]Hoja1!$B$2:$C$260,2,FALSE)</f>
        <v>1270009</v>
      </c>
      <c r="C19" s="70" t="s">
        <v>1225</v>
      </c>
      <c r="D19" s="867">
        <v>7.8284858520000003E-5</v>
      </c>
      <c r="E19" s="72">
        <v>5.9306710999999998E-2</v>
      </c>
      <c r="F19" s="879">
        <f>VLOOKUP(B19,[2]Hoja1!$C$2:$E$279,3,FALSE)</f>
        <v>57046.53</v>
      </c>
      <c r="G19" s="72">
        <f t="shared" si="0"/>
        <v>4.4658795301069354</v>
      </c>
      <c r="H19" s="866">
        <v>53849.37</v>
      </c>
      <c r="I19" s="73">
        <f t="shared" si="1"/>
        <v>4.2155903118411331</v>
      </c>
      <c r="J19" s="560">
        <f t="shared" si="2"/>
        <v>5.937228234982129</v>
      </c>
      <c r="K19" s="282">
        <f t="shared" si="3"/>
        <v>7.8284858520000003E-5</v>
      </c>
    </row>
    <row r="20" spans="1:11" s="42" customFormat="1" ht="16.5" x14ac:dyDescent="0.25">
      <c r="A20" s="1"/>
      <c r="B20" s="4">
        <f>VLOOKUP(C20,[1]Hoja1!$B$2:$C$260,2,FALSE)</f>
        <v>1260014</v>
      </c>
      <c r="C20" s="70" t="s">
        <v>825</v>
      </c>
      <c r="D20" s="867">
        <v>1.3047476442E-3</v>
      </c>
      <c r="E20" s="72">
        <v>0.988445185</v>
      </c>
      <c r="F20" s="879">
        <f>VLOOKUP(B20,[2]Hoja1!$C$2:$E$279,3,FALSE)</f>
        <v>28083.42</v>
      </c>
      <c r="G20" s="72">
        <f t="shared" si="0"/>
        <v>36.641776086079162</v>
      </c>
      <c r="H20" s="866">
        <v>40834.379999999997</v>
      </c>
      <c r="I20" s="73">
        <f t="shared" si="1"/>
        <v>53.278561107367594</v>
      </c>
      <c r="J20" s="560">
        <f t="shared" si="2"/>
        <v>-31.226040410066219</v>
      </c>
      <c r="K20" s="282">
        <f t="shared" si="3"/>
        <v>1.3047476442E-3</v>
      </c>
    </row>
    <row r="21" spans="1:11" s="42" customFormat="1" ht="16.5" x14ac:dyDescent="0.25">
      <c r="A21" s="1"/>
      <c r="B21" s="4">
        <f>VLOOKUP(C21,[1]Hoja1!$B$2:$C$260,2,FALSE)</f>
        <v>1260009</v>
      </c>
      <c r="C21" s="70" t="s">
        <v>1027</v>
      </c>
      <c r="D21" s="543">
        <v>3.9072000000000004E-3</v>
      </c>
      <c r="E21" s="72">
        <v>2.96</v>
      </c>
      <c r="F21" s="879">
        <f>VLOOKUP(B21,[2]Hoja1!$C$2:$E$279,3,FALSE)</f>
        <v>7033.69</v>
      </c>
      <c r="G21" s="72">
        <f t="shared" si="0"/>
        <v>27.482033568000002</v>
      </c>
      <c r="H21" s="880">
        <v>9565.2099999999991</v>
      </c>
      <c r="I21" s="73">
        <f t="shared" si="1"/>
        <v>37.373188511999999</v>
      </c>
      <c r="J21" s="560">
        <f t="shared" si="2"/>
        <v>-26.465911360022403</v>
      </c>
      <c r="K21" s="282">
        <f t="shared" si="3"/>
        <v>3.9072000000000004E-3</v>
      </c>
    </row>
    <row r="22" spans="1:11" s="42" customFormat="1" ht="16.5" x14ac:dyDescent="0.25">
      <c r="A22" s="1"/>
      <c r="B22" s="4">
        <f>VLOOKUP(C22,[1]Hoja1!$B$2:$C$260,2,FALSE)</f>
        <v>1260011</v>
      </c>
      <c r="C22" s="70" t="s">
        <v>739</v>
      </c>
      <c r="D22" s="543">
        <v>2.6460282235200002E-3</v>
      </c>
      <c r="E22" s="72">
        <v>1.98</v>
      </c>
      <c r="F22" s="879">
        <f>VLOOKUP(B22,[2]Hoja1!$C$2:$E$279,3,FALSE)</f>
        <v>4450.01</v>
      </c>
      <c r="G22" s="72">
        <f t="shared" si="0"/>
        <v>11.774852054946237</v>
      </c>
      <c r="H22" s="95">
        <v>5752.34</v>
      </c>
      <c r="I22" s="73">
        <f t="shared" si="1"/>
        <v>15.220853991283038</v>
      </c>
      <c r="J22" s="560">
        <f t="shared" si="2"/>
        <v>-22.640003894067448</v>
      </c>
      <c r="K22" s="282">
        <f t="shared" si="3"/>
        <v>2.6135999999999998E-3</v>
      </c>
    </row>
    <row r="23" spans="1:11" s="42" customFormat="1" ht="16.5" x14ac:dyDescent="0.25">
      <c r="A23" s="1"/>
      <c r="B23" s="4">
        <f>VLOOKUP(C23,[1]Hoja1!$B$2:$C$260,2,FALSE)</f>
        <v>1260005</v>
      </c>
      <c r="C23" s="70" t="s">
        <v>811</v>
      </c>
      <c r="D23" s="543">
        <v>1.3047476442E-3</v>
      </c>
      <c r="E23" s="72">
        <v>0.988445185</v>
      </c>
      <c r="F23" s="879">
        <f>VLOOKUP(B23,[2]Hoja1!$C$2:$E$279,3,FALSE)</f>
        <v>26429</v>
      </c>
      <c r="G23" s="72">
        <f t="shared" si="0"/>
        <v>34.483175488561798</v>
      </c>
      <c r="H23" s="95">
        <v>25850</v>
      </c>
      <c r="I23" s="73">
        <f>H23*D23</f>
        <v>33.727726602570002</v>
      </c>
      <c r="J23" s="560">
        <f t="shared" si="2"/>
        <v>2.2398452611218715</v>
      </c>
      <c r="K23" s="282">
        <f t="shared" si="3"/>
        <v>1.3047476442E-3</v>
      </c>
    </row>
    <row r="24" spans="1:11" s="42" customFormat="1" ht="16.5" x14ac:dyDescent="0.25">
      <c r="A24" s="1"/>
      <c r="B24" s="4">
        <f>VLOOKUP(C24,[1]Hoja1!$B$2:$C$260,2,FALSE)</f>
        <v>1260023</v>
      </c>
      <c r="C24" s="70" t="s">
        <v>1213</v>
      </c>
      <c r="D24" s="1583">
        <v>3.9600000000000003E-4</v>
      </c>
      <c r="E24" s="72">
        <v>0.3</v>
      </c>
      <c r="F24" s="879">
        <f>VLOOKUP(B24,[2]Hoja1!$C$2:$E$279,3,FALSE)</f>
        <v>121308.46</v>
      </c>
      <c r="G24" s="72">
        <f t="shared" si="0"/>
        <v>48.038150160000008</v>
      </c>
      <c r="H24" s="879">
        <v>134302.01999999999</v>
      </c>
      <c r="I24" s="73"/>
      <c r="J24" s="560">
        <f t="shared" si="2"/>
        <v>-9.6748805416329446</v>
      </c>
      <c r="K24" s="282">
        <f t="shared" si="3"/>
        <v>3.9600000000000003E-4</v>
      </c>
    </row>
    <row r="25" spans="1:11" s="42" customFormat="1" ht="16.5" x14ac:dyDescent="0.25">
      <c r="B25" s="1777"/>
      <c r="C25" s="1778"/>
      <c r="D25" s="1381">
        <f>SUM(D5:D23)</f>
        <v>0.13163109913007998</v>
      </c>
      <c r="E25" s="1382">
        <f>SUM(E5:E24)</f>
        <v>100.09596280799998</v>
      </c>
      <c r="F25" s="1354"/>
      <c r="G25" s="1685">
        <f>SUM(G5:G24)</f>
        <v>1156.7769594288204</v>
      </c>
      <c r="H25" s="1383"/>
      <c r="I25" s="1354">
        <f>SUM(I5:I23)</f>
        <v>1347.9658297673095</v>
      </c>
      <c r="J25" s="1384">
        <f>((G25/I25)*100)-100</f>
        <v>-14.183510154073616</v>
      </c>
      <c r="K25" s="1385"/>
    </row>
    <row r="27" spans="1:11" ht="25.5" x14ac:dyDescent="0.35">
      <c r="B27" s="1760" t="s">
        <v>50</v>
      </c>
      <c r="C27" s="1754"/>
      <c r="D27" s="38">
        <f>+C30+(C30*C36%)</f>
        <v>132</v>
      </c>
      <c r="E27" s="91"/>
      <c r="F27" s="186"/>
      <c r="G27" s="91"/>
      <c r="H27" s="91"/>
      <c r="I27" s="91"/>
    </row>
    <row r="28" spans="1:11" x14ac:dyDescent="0.25">
      <c r="B28" s="1264" t="s">
        <v>38</v>
      </c>
      <c r="C28" s="93" t="s">
        <v>113</v>
      </c>
      <c r="D28" s="38"/>
      <c r="H28" s="38"/>
    </row>
    <row r="29" spans="1:11" x14ac:dyDescent="0.25">
      <c r="B29" s="1265" t="s">
        <v>39</v>
      </c>
      <c r="C29" s="21" t="s">
        <v>114</v>
      </c>
      <c r="D29" s="38"/>
      <c r="H29" s="38"/>
    </row>
    <row r="30" spans="1:11" x14ac:dyDescent="0.25">
      <c r="B30" s="1265" t="s">
        <v>40</v>
      </c>
      <c r="C30" s="21">
        <v>120</v>
      </c>
      <c r="D30" s="38"/>
      <c r="H30" s="38"/>
    </row>
    <row r="31" spans="1:11" x14ac:dyDescent="0.25">
      <c r="B31" s="1265" t="s">
        <v>41</v>
      </c>
      <c r="C31" s="21">
        <v>0</v>
      </c>
      <c r="D31" s="38"/>
      <c r="H31" s="38"/>
    </row>
    <row r="32" spans="1:11" x14ac:dyDescent="0.25">
      <c r="B32" s="1265" t="s">
        <v>42</v>
      </c>
      <c r="C32" s="21">
        <v>0.5</v>
      </c>
      <c r="D32" s="38"/>
      <c r="H32" s="38"/>
    </row>
    <row r="33" spans="2:11" x14ac:dyDescent="0.25">
      <c r="B33" s="1265" t="s">
        <v>43</v>
      </c>
      <c r="C33" s="21">
        <v>0.5</v>
      </c>
      <c r="D33" s="38"/>
      <c r="H33" s="38"/>
    </row>
    <row r="34" spans="2:11" x14ac:dyDescent="0.25">
      <c r="B34" s="1265" t="s">
        <v>44</v>
      </c>
      <c r="C34" s="21">
        <v>7</v>
      </c>
      <c r="D34" s="38"/>
      <c r="H34" s="38"/>
    </row>
    <row r="35" spans="2:11" x14ac:dyDescent="0.25">
      <c r="B35" s="1265" t="s">
        <v>45</v>
      </c>
      <c r="C35" s="21">
        <v>2</v>
      </c>
      <c r="D35" s="38"/>
      <c r="H35" s="38"/>
    </row>
    <row r="36" spans="2:11" x14ac:dyDescent="0.25">
      <c r="B36" s="1265" t="s">
        <v>46</v>
      </c>
      <c r="C36" s="21">
        <f>C35+C34+C33+C32</f>
        <v>10</v>
      </c>
      <c r="D36" s="38"/>
      <c r="H36" s="38"/>
    </row>
    <row r="38" spans="2:11" ht="25.5" x14ac:dyDescent="0.35">
      <c r="B38" s="1805" t="s">
        <v>47</v>
      </c>
      <c r="C38" s="1806"/>
      <c r="D38" s="1806"/>
      <c r="E38" s="1806"/>
      <c r="F38" s="1806"/>
      <c r="G38" s="1806"/>
      <c r="H38" s="1806"/>
      <c r="I38" s="1806"/>
    </row>
    <row r="39" spans="2:11" s="120" customFormat="1" ht="25.5" x14ac:dyDescent="0.25">
      <c r="B39" s="1266" t="s">
        <v>0</v>
      </c>
      <c r="C39" s="1266" t="s">
        <v>1</v>
      </c>
      <c r="D39" s="1286" t="s">
        <v>2</v>
      </c>
      <c r="E39" s="1243" t="str">
        <f>+'CIF Y PV'!$F$4</f>
        <v xml:space="preserve">JUN-COP/UMB </v>
      </c>
      <c r="F39" s="1243" t="str">
        <f>+'CIF Y PV'!$G$4</f>
        <v>JUN-COP/APP</v>
      </c>
      <c r="G39" s="1243" t="str">
        <f>+'CIF Y PV'!$H$4</f>
        <v xml:space="preserve">MAY-COP/UMB </v>
      </c>
      <c r="H39" s="1243" t="str">
        <f>+'CIF Y PV'!$I$4</f>
        <v>MAY-COP/APP</v>
      </c>
      <c r="I39" s="1326" t="s">
        <v>3</v>
      </c>
      <c r="J39" s="146">
        <v>2310</v>
      </c>
    </row>
    <row r="40" spans="2:11" x14ac:dyDescent="0.25">
      <c r="B40" s="4">
        <f>VLOOKUP(C40,[1]Hoja1!$B$2:$C$260,2,FALSE)</f>
        <v>1370002</v>
      </c>
      <c r="C40" s="4" t="s">
        <v>1165</v>
      </c>
      <c r="D40" s="103">
        <v>2.1000000000000001E-2</v>
      </c>
      <c r="E40" s="1237">
        <f>VLOOKUP(B40,[2]Hoja1!$C$2:$E$279,3,FALSE)</f>
        <v>5325.93</v>
      </c>
      <c r="F40" s="103">
        <f>E40*D40</f>
        <v>111.84453000000001</v>
      </c>
      <c r="G40" s="24">
        <v>4879.67</v>
      </c>
      <c r="H40" s="24">
        <f>G40*D40</f>
        <v>102.47307000000001</v>
      </c>
      <c r="I40" s="643">
        <f>((E40/G40)*100)-100</f>
        <v>9.1452905626814953</v>
      </c>
      <c r="J40" s="38">
        <f>J39*D40</f>
        <v>48.510000000000005</v>
      </c>
    </row>
    <row r="41" spans="2:11" x14ac:dyDescent="0.25">
      <c r="B41" s="4">
        <f>VLOOKUP(C41,[1]Hoja1!$B$2:$C$260,2,FALSE)</f>
        <v>1380002</v>
      </c>
      <c r="C41" s="4" t="s">
        <v>1051</v>
      </c>
      <c r="D41" s="103">
        <v>4.2999999999999997E-2</v>
      </c>
      <c r="E41" s="1237">
        <f>VLOOKUP(B41,[2]Hoja1!$C$2:$E$279,3,FALSE)</f>
        <v>73.33</v>
      </c>
      <c r="F41" s="103">
        <f>E41*D41</f>
        <v>3.1531899999999995</v>
      </c>
      <c r="G41" s="24">
        <v>76.61</v>
      </c>
      <c r="H41" s="24">
        <f>G41*D41</f>
        <v>3.2942299999999998</v>
      </c>
      <c r="I41" s="643">
        <f>((E41/G41)*100)-100</f>
        <v>-4.281425401383629</v>
      </c>
      <c r="J41" s="38">
        <f>J39*D41</f>
        <v>99.33</v>
      </c>
    </row>
    <row r="42" spans="2:11" x14ac:dyDescent="0.25">
      <c r="B42" s="4">
        <f>VLOOKUP(C42,[1]Hoja1!$B$2:$C$260,2,FALSE)</f>
        <v>1330077</v>
      </c>
      <c r="C42" s="4" t="s">
        <v>1117</v>
      </c>
      <c r="D42" s="103">
        <v>1</v>
      </c>
      <c r="E42" s="1237">
        <f>VLOOKUP(B42,[2]Hoja1!$C$2:$E$279,3,FALSE)</f>
        <v>77</v>
      </c>
      <c r="F42" s="103">
        <f>E42*D42</f>
        <v>77</v>
      </c>
      <c r="G42" s="24">
        <v>77</v>
      </c>
      <c r="H42" s="24">
        <f>G42*D42</f>
        <v>77</v>
      </c>
      <c r="I42" s="643"/>
    </row>
    <row r="43" spans="2:11" x14ac:dyDescent="0.25">
      <c r="B43" s="4">
        <f>VLOOKUP(C43,[1]Hoja1!$B$2:$C$260,2,FALSE)</f>
        <v>1310060</v>
      </c>
      <c r="C43" s="4" t="s">
        <v>1116</v>
      </c>
      <c r="D43" s="103">
        <v>7.4999999999999997E-2</v>
      </c>
      <c r="E43" s="1237">
        <f>VLOOKUP(B43,[2]Hoja1!$C$2:$E$279,3,FALSE)</f>
        <v>889</v>
      </c>
      <c r="F43" s="103">
        <f>E43*D43</f>
        <v>66.674999999999997</v>
      </c>
      <c r="G43" s="24">
        <v>889</v>
      </c>
      <c r="H43" s="24">
        <f>G43*D43</f>
        <v>66.674999999999997</v>
      </c>
      <c r="I43" s="643">
        <f>((E43/G43)*100)-100</f>
        <v>0</v>
      </c>
      <c r="J43" s="38">
        <f>J39*D43</f>
        <v>173.25</v>
      </c>
    </row>
    <row r="44" spans="2:11" x14ac:dyDescent="0.25">
      <c r="B44" s="4">
        <f>VLOOKUP(C44,[1]Hoja1!$B$2:$C$260,2,FALSE)</f>
        <v>1320003</v>
      </c>
      <c r="C44" s="4" t="s">
        <v>919</v>
      </c>
      <c r="D44" s="103">
        <v>7.4999999999999997E-2</v>
      </c>
      <c r="E44" s="1237">
        <f>VLOOKUP(B44,[2]Hoja1!$C$2:$E$279,3,FALSE)</f>
        <v>701.94</v>
      </c>
      <c r="F44" s="103">
        <f>E44*D44</f>
        <v>52.645500000000006</v>
      </c>
      <c r="G44" s="24">
        <v>700.44</v>
      </c>
      <c r="H44" s="24">
        <f>G44*D44</f>
        <v>52.533000000000001</v>
      </c>
      <c r="I44" s="643">
        <f>((E44/G44)*100)-100</f>
        <v>0.21415110501969536</v>
      </c>
      <c r="J44" s="38">
        <f>J39*D44</f>
        <v>173.25</v>
      </c>
    </row>
    <row r="45" spans="2:11" ht="16.899999999999999" customHeight="1" x14ac:dyDescent="0.25">
      <c r="B45" s="1256"/>
      <c r="C45" s="1256" t="s">
        <v>37</v>
      </c>
      <c r="D45" s="1318"/>
      <c r="E45" s="1257"/>
      <c r="F45" s="1257">
        <f>SUM(F40:F44)</f>
        <v>311.31822000000005</v>
      </c>
      <c r="G45" s="1257"/>
      <c r="H45" s="1257">
        <f>SUM(H40:H44)</f>
        <v>301.9753</v>
      </c>
      <c r="I45" s="1268">
        <f>((F45/H45)*100)-100</f>
        <v>3.093935166220561</v>
      </c>
    </row>
    <row r="46" spans="2:11" x14ac:dyDescent="0.25">
      <c r="H46" s="1" t="str">
        <f>+'CIF Y PV'!$G$1</f>
        <v>MAYO</v>
      </c>
      <c r="J46" s="1"/>
    </row>
    <row r="47" spans="2:11" x14ac:dyDescent="0.25">
      <c r="B47" s="1750" t="s">
        <v>210</v>
      </c>
      <c r="C47" s="1750"/>
      <c r="E47" s="881"/>
      <c r="F47" s="881"/>
      <c r="G47" s="881"/>
      <c r="H47" s="881">
        <f>+F45+G25</f>
        <v>1468.0951794288205</v>
      </c>
      <c r="I47" s="181"/>
      <c r="J47" s="881"/>
      <c r="K47" s="181"/>
    </row>
    <row r="48" spans="2:11" x14ac:dyDescent="0.25">
      <c r="B48" s="1758" t="s">
        <v>48</v>
      </c>
      <c r="C48" s="1759"/>
      <c r="E48" s="881"/>
      <c r="F48" s="881"/>
      <c r="G48" s="881"/>
      <c r="H48" s="881">
        <f>+('CIF Y PV'!C3/1000)*120</f>
        <v>226.79999999999998</v>
      </c>
      <c r="I48" s="182"/>
      <c r="J48" s="881"/>
      <c r="K48" s="182"/>
    </row>
    <row r="49" spans="2:11" x14ac:dyDescent="0.25">
      <c r="B49" s="1758" t="s">
        <v>132</v>
      </c>
      <c r="C49" s="1759"/>
      <c r="E49" s="881"/>
      <c r="F49" s="881"/>
      <c r="G49" s="881"/>
      <c r="H49" s="881">
        <f>+H48+H47</f>
        <v>1694.8951794288205</v>
      </c>
      <c r="I49" s="152"/>
      <c r="J49" s="881"/>
      <c r="K49" s="152"/>
    </row>
    <row r="50" spans="2:11" x14ac:dyDescent="0.25">
      <c r="B50" s="1750" t="s">
        <v>49</v>
      </c>
      <c r="C50" s="1750"/>
      <c r="E50" s="881"/>
      <c r="F50" s="881"/>
      <c r="G50" s="881"/>
      <c r="H50" s="881">
        <f>'CIF Y PV'!C73</f>
        <v>3749</v>
      </c>
      <c r="J50" s="881"/>
      <c r="K50" s="339"/>
    </row>
    <row r="51" spans="2:11" x14ac:dyDescent="0.25">
      <c r="B51" s="1750" t="s">
        <v>805</v>
      </c>
      <c r="C51" s="1750"/>
      <c r="E51" s="881"/>
      <c r="F51" s="881"/>
      <c r="G51" s="881"/>
      <c r="H51" s="928">
        <f>+(H50-H49)/H50</f>
        <v>0.54790739412408096</v>
      </c>
      <c r="I51" s="137"/>
      <c r="K51" s="137"/>
    </row>
    <row r="54" spans="2:11" x14ac:dyDescent="0.25">
      <c r="F54" s="107" t="s">
        <v>85</v>
      </c>
    </row>
  </sheetData>
  <mergeCells count="9">
    <mergeCell ref="B49:C49"/>
    <mergeCell ref="B50:C50"/>
    <mergeCell ref="B51:C51"/>
    <mergeCell ref="B2:I2"/>
    <mergeCell ref="B25:C25"/>
    <mergeCell ref="B27:C27"/>
    <mergeCell ref="B38:I38"/>
    <mergeCell ref="B47:C47"/>
    <mergeCell ref="B48:C48"/>
  </mergeCells>
  <pageMargins left="0.7" right="0.7" top="0.75" bottom="0.75" header="0.3" footer="0.3"/>
  <pageSetup scale="42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C1E5-6C87-4116-B109-1471944F79B9}">
  <sheetPr codeName="Hoja33">
    <tabColor theme="6"/>
  </sheetPr>
  <dimension ref="A2:L55"/>
  <sheetViews>
    <sheetView view="pageBreakPreview" topLeftCell="A38" zoomScaleNormal="100" zoomScaleSheetLayoutView="100" workbookViewId="0">
      <selection activeCell="A48" sqref="A48"/>
    </sheetView>
  </sheetViews>
  <sheetFormatPr baseColWidth="10" defaultColWidth="11.5703125" defaultRowHeight="13.5" x14ac:dyDescent="0.25"/>
  <cols>
    <col min="1" max="1" width="13.5703125" style="1" customWidth="1"/>
    <col min="2" max="2" width="11.5703125" style="1" customWidth="1"/>
    <col min="3" max="3" width="67.42578125" style="1" bestFit="1" customWidth="1"/>
    <col min="4" max="4" width="12.28515625" style="1" customWidth="1"/>
    <col min="5" max="5" width="11.5703125" style="1" customWidth="1"/>
    <col min="6" max="6" width="12.85546875" style="107" customWidth="1"/>
    <col min="7" max="7" width="14.28515625" style="1" customWidth="1"/>
    <col min="8" max="8" width="12.5703125" style="1" customWidth="1"/>
    <col min="9" max="9" width="14.42578125" style="1" customWidth="1"/>
    <col min="10" max="10" width="11.5703125" style="38" customWidth="1"/>
    <col min="11" max="16384" width="11.5703125" style="1"/>
  </cols>
  <sheetData>
    <row r="2" spans="1:12" s="42" customFormat="1" ht="26.25" customHeight="1" x14ac:dyDescent="0.25">
      <c r="B2" s="1743" t="s">
        <v>207</v>
      </c>
      <c r="C2" s="1743"/>
      <c r="D2" s="1743"/>
      <c r="E2" s="1743"/>
      <c r="F2" s="1743"/>
      <c r="G2" s="1743"/>
      <c r="H2" s="1743"/>
      <c r="I2" s="1743"/>
      <c r="J2" s="730"/>
      <c r="K2" s="89"/>
      <c r="L2" s="89"/>
    </row>
    <row r="4" spans="1:12" s="42" customFormat="1" ht="25.5" x14ac:dyDescent="0.25">
      <c r="B4" s="1242" t="s">
        <v>0</v>
      </c>
      <c r="C4" s="1242" t="s">
        <v>1</v>
      </c>
      <c r="D4" s="1242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4" t="s">
        <v>3</v>
      </c>
      <c r="K4" s="1337">
        <f>+D27/1000</f>
        <v>0.22</v>
      </c>
    </row>
    <row r="5" spans="1:12" s="42" customFormat="1" ht="16.5" x14ac:dyDescent="0.25">
      <c r="A5" s="1"/>
      <c r="B5" s="4">
        <f>VLOOKUP(C5,[1]Hoja1!$B$2:$C$260,2,FALSE)</f>
        <v>1122002</v>
      </c>
      <c r="C5" s="70" t="s">
        <v>242</v>
      </c>
      <c r="D5" s="869">
        <v>4.6486E-2</v>
      </c>
      <c r="E5" s="495">
        <v>21.13</v>
      </c>
      <c r="F5" s="879">
        <f>VLOOKUP(B5,[2]Hoja1!$C$2:$E$279,3,FALSE)</f>
        <v>12500</v>
      </c>
      <c r="G5" s="72">
        <f>F5*D5</f>
        <v>581.07500000000005</v>
      </c>
      <c r="H5" s="879">
        <v>15000</v>
      </c>
      <c r="I5" s="73">
        <f>H5*D5</f>
        <v>697.29</v>
      </c>
      <c r="J5" s="566">
        <f>((F5/H5)*100)-100</f>
        <v>-16.666666666666657</v>
      </c>
      <c r="K5" s="282">
        <f>$K$4*E5%</f>
        <v>4.6486E-2</v>
      </c>
    </row>
    <row r="6" spans="1:12" s="42" customFormat="1" ht="16.5" x14ac:dyDescent="0.25">
      <c r="A6" s="1"/>
      <c r="B6" s="4">
        <f>VLOOKUP(C6,[1]Hoja1!$B$2:$C$260,2,FALSE)</f>
        <v>1122001</v>
      </c>
      <c r="C6" s="70" t="s">
        <v>1030</v>
      </c>
      <c r="D6" s="543">
        <v>7.5613999999999987E-2</v>
      </c>
      <c r="E6" s="72">
        <v>34.369999999999997</v>
      </c>
      <c r="F6" s="879">
        <f>VLOOKUP(B6,[2]Hoja1!$C$2:$E$279,3,FALSE)</f>
        <v>11506.13</v>
      </c>
      <c r="G6" s="72">
        <f t="shared" ref="G6:G24" si="0">F6*D6</f>
        <v>870.02451381999981</v>
      </c>
      <c r="H6" s="38">
        <v>14000</v>
      </c>
      <c r="I6" s="73">
        <f t="shared" ref="I6:I22" si="1">H6*D6</f>
        <v>1058.5959999999998</v>
      </c>
      <c r="J6" s="560">
        <f t="shared" ref="J6:J23" si="2">((F6/H6)*100)-100</f>
        <v>-17.813357142857143</v>
      </c>
      <c r="K6" s="282">
        <f t="shared" ref="K6:K24" si="3">$K$4*E6%</f>
        <v>7.5613999999999987E-2</v>
      </c>
    </row>
    <row r="7" spans="1:12" s="42" customFormat="1" ht="16.5" x14ac:dyDescent="0.25">
      <c r="A7" s="1"/>
      <c r="B7" s="4">
        <f>VLOOKUP(C7,[1]Hoja1!$B$2:$C$260,2,FALSE)</f>
        <v>1131001</v>
      </c>
      <c r="C7" s="70" t="s">
        <v>1163</v>
      </c>
      <c r="D7" s="543">
        <v>1.738E-2</v>
      </c>
      <c r="E7" s="72">
        <v>7.9</v>
      </c>
      <c r="F7" s="879">
        <f>VLOOKUP(B7,[2]Hoja1!$C$2:$E$279,3,FALSE)</f>
        <v>386.9</v>
      </c>
      <c r="G7" s="72">
        <f t="shared" si="0"/>
        <v>6.724321999999999</v>
      </c>
      <c r="H7" s="72">
        <v>365</v>
      </c>
      <c r="I7" s="73">
        <f t="shared" si="1"/>
        <v>6.3437000000000001</v>
      </c>
      <c r="J7" s="560">
        <f t="shared" si="2"/>
        <v>5.9999999999999858</v>
      </c>
      <c r="K7" s="282">
        <f t="shared" si="3"/>
        <v>1.738E-2</v>
      </c>
      <c r="L7" s="42" t="s">
        <v>85</v>
      </c>
    </row>
    <row r="8" spans="1:12" s="42" customFormat="1" ht="16.5" x14ac:dyDescent="0.25">
      <c r="A8" s="1"/>
      <c r="B8" s="4">
        <f>VLOOKUP(C8,[1]Hoja1!$B$2:$C$260,2,FALSE)</f>
        <v>1131002</v>
      </c>
      <c r="C8" s="70" t="s">
        <v>663</v>
      </c>
      <c r="D8" s="543">
        <v>5.427400000000001E-2</v>
      </c>
      <c r="E8" s="72">
        <v>24.67</v>
      </c>
      <c r="F8" s="879">
        <f>VLOOKUP(B8,[2]Hoja1!$C$2:$E$279,3,FALSE)</f>
        <v>0</v>
      </c>
      <c r="G8" s="72">
        <f t="shared" si="0"/>
        <v>0</v>
      </c>
      <c r="H8" s="896">
        <v>0</v>
      </c>
      <c r="I8" s="73">
        <f t="shared" si="1"/>
        <v>0</v>
      </c>
      <c r="J8" s="560" t="e">
        <f t="shared" si="2"/>
        <v>#DIV/0!</v>
      </c>
      <c r="K8" s="282">
        <f t="shared" si="3"/>
        <v>5.427400000000001E-2</v>
      </c>
    </row>
    <row r="9" spans="1:12" s="42" customFormat="1" ht="16.5" x14ac:dyDescent="0.25">
      <c r="A9" s="1"/>
      <c r="B9" s="4">
        <f>VLOOKUP(C9,[1]Hoja1!$B$2:$C$260,2,FALSE)</f>
        <v>1260022</v>
      </c>
      <c r="C9" s="70" t="s">
        <v>974</v>
      </c>
      <c r="D9" s="543">
        <v>2.1745794069999999E-3</v>
      </c>
      <c r="E9" s="72">
        <v>0.988445185</v>
      </c>
      <c r="F9" s="879">
        <f>VLOOKUP(B9,[2]Hoja1!$C$2:$E$279,3,FALSE)</f>
        <v>22988.01</v>
      </c>
      <c r="G9" s="72">
        <f t="shared" si="0"/>
        <v>49.989253153910063</v>
      </c>
      <c r="H9" s="95">
        <v>27066.49</v>
      </c>
      <c r="I9" s="73">
        <f t="shared" si="1"/>
        <v>58.858231773771429</v>
      </c>
      <c r="J9" s="560">
        <f t="shared" si="2"/>
        <v>-15.068374214757824</v>
      </c>
      <c r="K9" s="282">
        <f t="shared" si="3"/>
        <v>2.1745794069999999E-3</v>
      </c>
    </row>
    <row r="10" spans="1:12" s="42" customFormat="1" ht="16.5" x14ac:dyDescent="0.25">
      <c r="A10" s="1"/>
      <c r="B10" s="4">
        <f>VLOOKUP(C10,[1]Hoja1!$B$2:$C$260,2,FALSE)</f>
        <v>1250009</v>
      </c>
      <c r="C10" s="70" t="s">
        <v>1279</v>
      </c>
      <c r="D10" s="543">
        <v>6.523738320000001E-5</v>
      </c>
      <c r="E10" s="72">
        <v>2.9653355999999999E-2</v>
      </c>
      <c r="F10" s="879">
        <f>VLOOKUP(B10,[2]Hoja1!$C$2:$E$279,3,FALSE)</f>
        <v>83551.55</v>
      </c>
      <c r="G10" s="72">
        <f t="shared" si="0"/>
        <v>5.4506844843039612</v>
      </c>
      <c r="H10" s="1552">
        <v>71910.02</v>
      </c>
      <c r="I10" s="73">
        <f t="shared" si="1"/>
        <v>4.6912215306596652</v>
      </c>
      <c r="J10" s="560">
        <f t="shared" si="2"/>
        <v>16.18902344902699</v>
      </c>
      <c r="K10" s="282">
        <f t="shared" si="3"/>
        <v>6.523738320000001E-5</v>
      </c>
    </row>
    <row r="11" spans="1:12" s="42" customFormat="1" ht="16.5" x14ac:dyDescent="0.25">
      <c r="A11" s="1"/>
      <c r="B11" s="4">
        <f>VLOOKUP(C11,[1]Hoja1!$B$2:$C$260,2,FALSE)</f>
        <v>1210005</v>
      </c>
      <c r="C11" s="70" t="s">
        <v>1155</v>
      </c>
      <c r="D11" s="867">
        <v>2.1223895022E-3</v>
      </c>
      <c r="E11" s="72">
        <v>0.96472250100000001</v>
      </c>
      <c r="F11" s="879">
        <f>VLOOKUP(B11,[2]Hoja1!$C$2:$E$279,3,FALSE)</f>
        <v>1356</v>
      </c>
      <c r="G11" s="72">
        <f t="shared" si="0"/>
        <v>2.8779601649831998</v>
      </c>
      <c r="H11" s="880">
        <v>1360</v>
      </c>
      <c r="I11" s="73">
        <f t="shared" si="1"/>
        <v>2.8864497229919999</v>
      </c>
      <c r="J11" s="560">
        <f t="shared" si="2"/>
        <v>-0.29411764705882604</v>
      </c>
      <c r="K11" s="282">
        <f t="shared" si="3"/>
        <v>2.1223895022E-3</v>
      </c>
    </row>
    <row r="12" spans="1:12" s="42" customFormat="1" ht="16.5" x14ac:dyDescent="0.25">
      <c r="A12" s="1"/>
      <c r="B12" s="4">
        <f>VLOOKUP(C12,[1]Hoja1!$B$2:$C$260,2,FALSE)</f>
        <v>1210004</v>
      </c>
      <c r="C12" s="70" t="s">
        <v>1131</v>
      </c>
      <c r="D12" s="543">
        <v>1.86989748E-4</v>
      </c>
      <c r="E12" s="72">
        <v>8.4995340000000003E-2</v>
      </c>
      <c r="F12" s="879">
        <f>VLOOKUP(B12,[2]Hoja1!$C$2:$E$279,3,FALSE)</f>
        <v>3841</v>
      </c>
      <c r="G12" s="72">
        <f t="shared" si="0"/>
        <v>0.71822762206799995</v>
      </c>
      <c r="H12" s="914">
        <v>3508.01</v>
      </c>
      <c r="I12" s="73">
        <f t="shared" si="1"/>
        <v>0.65596190588148007</v>
      </c>
      <c r="J12" s="560">
        <f t="shared" si="2"/>
        <v>9.4922762477871885</v>
      </c>
      <c r="K12" s="282">
        <f t="shared" si="3"/>
        <v>1.86989748E-4</v>
      </c>
    </row>
    <row r="13" spans="1:12" s="42" customFormat="1" ht="16.5" x14ac:dyDescent="0.25">
      <c r="A13" s="1"/>
      <c r="B13" s="4">
        <f>VLOOKUP(C13,[1]Hoja1!$B$2:$C$260,2,FALSE)</f>
        <v>121007</v>
      </c>
      <c r="C13" s="70" t="s">
        <v>821</v>
      </c>
      <c r="D13" s="867">
        <v>1.078E-3</v>
      </c>
      <c r="E13" s="72">
        <v>0.49</v>
      </c>
      <c r="F13" s="879">
        <f>VLOOKUP(B13,[2]Hoja1!$C$2:$E$279,3,FALSE)</f>
        <v>16905</v>
      </c>
      <c r="G13" s="72">
        <f t="shared" si="0"/>
        <v>18.223589999999998</v>
      </c>
      <c r="H13" s="880">
        <v>16100</v>
      </c>
      <c r="I13" s="73">
        <f t="shared" si="1"/>
        <v>17.355799999999999</v>
      </c>
      <c r="J13" s="560">
        <f t="shared" si="2"/>
        <v>5</v>
      </c>
      <c r="K13" s="282">
        <f t="shared" si="3"/>
        <v>1.078E-3</v>
      </c>
    </row>
    <row r="14" spans="1:12" s="42" customFormat="1" ht="16.5" x14ac:dyDescent="0.25">
      <c r="A14" s="1"/>
      <c r="B14" s="4">
        <f>VLOOKUP(C14,[1]Hoja1!$B$2:$C$260,2,FALSE)</f>
        <v>1210003</v>
      </c>
      <c r="C14" s="70" t="s">
        <v>1143</v>
      </c>
      <c r="D14" s="543">
        <v>1.0872896980000001E-4</v>
      </c>
      <c r="E14" s="72">
        <v>4.9422259000000003E-2</v>
      </c>
      <c r="F14" s="879">
        <f>VLOOKUP(B14,[2]Hoja1!$C$2:$E$279,3,FALSE)</f>
        <v>16235.45</v>
      </c>
      <c r="G14" s="72">
        <f t="shared" si="0"/>
        <v>1.7652637527394102</v>
      </c>
      <c r="H14" s="914">
        <v>12852.58</v>
      </c>
      <c r="I14" s="73">
        <f t="shared" si="1"/>
        <v>1.3974477826720841</v>
      </c>
      <c r="J14" s="560">
        <f t="shared" si="2"/>
        <v>26.320551982559152</v>
      </c>
      <c r="K14" s="282">
        <f t="shared" si="3"/>
        <v>1.0872896980000001E-4</v>
      </c>
    </row>
    <row r="15" spans="1:12" s="42" customFormat="1" ht="16.5" x14ac:dyDescent="0.25">
      <c r="A15" s="1"/>
      <c r="B15" s="4">
        <v>1240007</v>
      </c>
      <c r="C15" s="70" t="s">
        <v>1352</v>
      </c>
      <c r="D15" s="543">
        <v>1.1000000000000001E-3</v>
      </c>
      <c r="E15" s="72">
        <v>0.5</v>
      </c>
      <c r="F15" s="879">
        <f>VLOOKUP(B15,[2]Hoja1!$C$2:$E$279,3,FALSE)</f>
        <v>25921.42</v>
      </c>
      <c r="G15" s="72">
        <f t="shared" si="0"/>
        <v>28.513562</v>
      </c>
      <c r="H15" s="914">
        <v>70840.75</v>
      </c>
      <c r="I15" s="73">
        <f t="shared" si="1"/>
        <v>77.924824999999998</v>
      </c>
      <c r="J15" s="560">
        <f t="shared" si="2"/>
        <v>-63.408885422585165</v>
      </c>
      <c r="K15" s="282">
        <f t="shared" si="3"/>
        <v>1.1000000000000001E-3</v>
      </c>
    </row>
    <row r="16" spans="1:12" s="42" customFormat="1" ht="16.5" x14ac:dyDescent="0.25">
      <c r="A16" s="1"/>
      <c r="B16" s="4">
        <f>VLOOKUP(C16,[1]Hoja1!$B$2:$C$260,2,FALSE)</f>
        <v>1230008</v>
      </c>
      <c r="C16" s="70" t="s">
        <v>1183</v>
      </c>
      <c r="D16" s="543">
        <v>1.6526803502E-3</v>
      </c>
      <c r="E16" s="72">
        <v>0.75121834099999996</v>
      </c>
      <c r="F16" s="879">
        <f>VLOOKUP(B16,[2]Hoja1!$C$2:$E$279,3,FALSE)</f>
        <v>26735</v>
      </c>
      <c r="G16" s="72">
        <f t="shared" si="0"/>
        <v>44.184409162596999</v>
      </c>
      <c r="H16" s="25">
        <v>25396</v>
      </c>
      <c r="I16" s="73">
        <f t="shared" si="1"/>
        <v>41.971470173679201</v>
      </c>
      <c r="J16" s="560">
        <f t="shared" si="2"/>
        <v>5.2724838557253122</v>
      </c>
      <c r="K16" s="282">
        <f t="shared" si="3"/>
        <v>1.6526803502E-3</v>
      </c>
    </row>
    <row r="17" spans="1:11" s="42" customFormat="1" ht="16.5" x14ac:dyDescent="0.25">
      <c r="A17" s="1"/>
      <c r="B17" s="4">
        <f>VLOOKUP(C17,[1]Hoja1!$B$2:$C$260,2,FALSE)</f>
        <v>1230010</v>
      </c>
      <c r="C17" s="70" t="s">
        <v>1164</v>
      </c>
      <c r="D17" s="543">
        <v>8.8287923900000006E-4</v>
      </c>
      <c r="E17" s="72">
        <v>0.40130874500000002</v>
      </c>
      <c r="F17" s="879">
        <f>VLOOKUP(B17,[2]Hoja1!$C$2:$E$279,3,FALSE)</f>
        <v>53831</v>
      </c>
      <c r="G17" s="72">
        <f t="shared" si="0"/>
        <v>47.526272314609002</v>
      </c>
      <c r="H17" s="25">
        <v>50310</v>
      </c>
      <c r="I17" s="73">
        <f t="shared" si="1"/>
        <v>44.417654514090003</v>
      </c>
      <c r="J17" s="560">
        <f t="shared" si="2"/>
        <v>6.9986086265156047</v>
      </c>
      <c r="K17" s="282">
        <f t="shared" si="3"/>
        <v>8.8287923900000006E-4</v>
      </c>
    </row>
    <row r="18" spans="1:11" s="42" customFormat="1" ht="16.5" x14ac:dyDescent="0.25">
      <c r="A18" s="1"/>
      <c r="B18" s="4">
        <f>VLOOKUP(C18,[1]Hoja1!$B$2:$C$260,2,FALSE)</f>
        <v>1220010</v>
      </c>
      <c r="C18" s="70" t="s">
        <v>1144</v>
      </c>
      <c r="D18" s="543">
        <v>1.078E-3</v>
      </c>
      <c r="E18" s="72">
        <v>0.49</v>
      </c>
      <c r="F18" s="879">
        <f>VLOOKUP(B18,[2]Hoja1!$C$2:$E$279,3,FALSE)</f>
        <v>4744.72</v>
      </c>
      <c r="G18" s="72">
        <f t="shared" si="0"/>
        <v>5.1148081599999999</v>
      </c>
      <c r="H18" s="1551">
        <v>9381</v>
      </c>
      <c r="I18" s="73">
        <f t="shared" si="1"/>
        <v>10.112717999999999</v>
      </c>
      <c r="J18" s="560">
        <f t="shared" si="2"/>
        <v>-49.42202323846071</v>
      </c>
      <c r="K18" s="282">
        <f t="shared" si="3"/>
        <v>1.078E-3</v>
      </c>
    </row>
    <row r="19" spans="1:11" s="42" customFormat="1" ht="16.5" x14ac:dyDescent="0.25">
      <c r="A19" s="1"/>
      <c r="B19" s="4">
        <f>VLOOKUP(C19,[1]Hoja1!$B$2:$C$260,2,FALSE)</f>
        <v>1270009</v>
      </c>
      <c r="C19" s="70" t="s">
        <v>1225</v>
      </c>
      <c r="D19" s="867">
        <v>1.3047476419999999E-4</v>
      </c>
      <c r="E19" s="72">
        <v>5.9306710999999998E-2</v>
      </c>
      <c r="F19" s="879">
        <f>VLOOKUP(B19,[2]Hoja1!$C$2:$E$279,3,FALSE)</f>
        <v>57046.53</v>
      </c>
      <c r="G19" s="72">
        <f t="shared" si="0"/>
        <v>7.4431325501782251</v>
      </c>
      <c r="H19" s="1551">
        <v>53849.37</v>
      </c>
      <c r="I19" s="73">
        <f t="shared" si="1"/>
        <v>7.0259838530685537</v>
      </c>
      <c r="J19" s="560">
        <f t="shared" si="2"/>
        <v>5.937228234982129</v>
      </c>
      <c r="K19" s="282">
        <f t="shared" si="3"/>
        <v>1.3047476419999999E-4</v>
      </c>
    </row>
    <row r="20" spans="1:11" s="42" customFormat="1" ht="16.5" x14ac:dyDescent="0.25">
      <c r="A20" s="1"/>
      <c r="B20" s="4">
        <f>VLOOKUP(C20,[1]Hoja1!$B$2:$C$260,2,FALSE)</f>
        <v>1260014</v>
      </c>
      <c r="C20" s="70" t="s">
        <v>825</v>
      </c>
      <c r="D20" s="867">
        <v>2.1745794069999999E-3</v>
      </c>
      <c r="E20" s="72">
        <v>0.988445185</v>
      </c>
      <c r="F20" s="879">
        <f>VLOOKUP(B20,[2]Hoja1!$C$2:$E$279,3,FALSE)</f>
        <v>28083.42</v>
      </c>
      <c r="G20" s="72">
        <f t="shared" si="0"/>
        <v>61.069626810131936</v>
      </c>
      <c r="H20" s="1551">
        <v>40834.379999999997</v>
      </c>
      <c r="I20" s="73">
        <f t="shared" si="1"/>
        <v>88.797601845612647</v>
      </c>
      <c r="J20" s="560">
        <f t="shared" si="2"/>
        <v>-31.226040410066219</v>
      </c>
      <c r="K20" s="282">
        <f t="shared" si="3"/>
        <v>2.1745794069999999E-3</v>
      </c>
    </row>
    <row r="21" spans="1:11" s="42" customFormat="1" ht="16.5" x14ac:dyDescent="0.25">
      <c r="A21" s="1"/>
      <c r="B21" s="4">
        <f>VLOOKUP(C21,[1]Hoja1!$B$2:$C$260,2,FALSE)</f>
        <v>1260009</v>
      </c>
      <c r="C21" s="70" t="s">
        <v>1027</v>
      </c>
      <c r="D21" s="543">
        <v>6.5120000000000004E-3</v>
      </c>
      <c r="E21" s="72">
        <v>2.96</v>
      </c>
      <c r="F21" s="879">
        <f>VLOOKUP(B21,[2]Hoja1!$C$2:$E$279,3,FALSE)</f>
        <v>7033.69</v>
      </c>
      <c r="G21" s="72">
        <f t="shared" si="0"/>
        <v>45.803389279999998</v>
      </c>
      <c r="H21" s="880">
        <v>9565.2099999999991</v>
      </c>
      <c r="I21" s="73">
        <f t="shared" si="1"/>
        <v>62.288647519999998</v>
      </c>
      <c r="J21" s="560">
        <f t="shared" si="2"/>
        <v>-26.465911360022403</v>
      </c>
      <c r="K21" s="282">
        <f t="shared" si="3"/>
        <v>6.5120000000000004E-3</v>
      </c>
    </row>
    <row r="22" spans="1:11" s="42" customFormat="1" ht="16.5" x14ac:dyDescent="0.25">
      <c r="A22" s="1"/>
      <c r="B22" s="4">
        <f>VLOOKUP(C22,[1]Hoja1!$B$2:$C$260,2,FALSE)</f>
        <v>1260011</v>
      </c>
      <c r="C22" s="70" t="s">
        <v>739</v>
      </c>
      <c r="D22" s="543">
        <v>4.4100470392000003E-3</v>
      </c>
      <c r="E22" s="72">
        <v>2.004566836</v>
      </c>
      <c r="F22" s="879">
        <f>VLOOKUP(B22,[2]Hoja1!$C$2:$E$279,3,FALSE)</f>
        <v>4450.01</v>
      </c>
      <c r="G22" s="72">
        <f t="shared" si="0"/>
        <v>19.624753424910395</v>
      </c>
      <c r="H22" s="95">
        <v>5752.34</v>
      </c>
      <c r="I22" s="73">
        <f t="shared" si="1"/>
        <v>25.36808998547173</v>
      </c>
      <c r="J22" s="560">
        <f t="shared" si="2"/>
        <v>-22.640003894067448</v>
      </c>
      <c r="K22" s="282">
        <f t="shared" si="3"/>
        <v>4.4100470392000003E-3</v>
      </c>
    </row>
    <row r="23" spans="1:11" s="42" customFormat="1" ht="16.5" x14ac:dyDescent="0.25">
      <c r="A23" s="1"/>
      <c r="B23" s="4">
        <f>VLOOKUP(C23,[1]Hoja1!$B$2:$C$260,2,FALSE)</f>
        <v>1260005</v>
      </c>
      <c r="C23" s="70" t="s">
        <v>811</v>
      </c>
      <c r="D23" s="543">
        <v>2.1745794069999999E-3</v>
      </c>
      <c r="E23" s="72">
        <v>0.988445185</v>
      </c>
      <c r="F23" s="879">
        <f>VLOOKUP(B23,[2]Hoja1!$C$2:$E$279,3,FALSE)</f>
        <v>26429</v>
      </c>
      <c r="G23" s="72">
        <f t="shared" si="0"/>
        <v>57.471959147603002</v>
      </c>
      <c r="H23" s="95">
        <v>25850</v>
      </c>
      <c r="I23" s="73">
        <f>H23*D23</f>
        <v>56.21287767095</v>
      </c>
      <c r="J23" s="560">
        <f t="shared" si="2"/>
        <v>2.2398452611218715</v>
      </c>
      <c r="K23" s="282">
        <f t="shared" si="3"/>
        <v>2.1745794069999999E-3</v>
      </c>
    </row>
    <row r="24" spans="1:11" s="42" customFormat="1" ht="16.5" x14ac:dyDescent="0.25">
      <c r="A24" s="1"/>
      <c r="B24" s="4">
        <f>VLOOKUP(C24,[1]Hoja1!$B$2:$C$260,2,FALSE)</f>
        <v>1260023</v>
      </c>
      <c r="C24" s="1513" t="s">
        <v>1213</v>
      </c>
      <c r="D24" s="1554">
        <v>6.6E-4</v>
      </c>
      <c r="E24" s="72">
        <v>0.3</v>
      </c>
      <c r="F24" s="879">
        <f>VLOOKUP(B24,[2]Hoja1!$C$2:$E$279,3,FALSE)</f>
        <v>121308.46</v>
      </c>
      <c r="G24" s="72">
        <f t="shared" si="0"/>
        <v>80.063583600000001</v>
      </c>
      <c r="H24" s="95">
        <v>134302.01999999999</v>
      </c>
      <c r="I24" s="73"/>
      <c r="J24" s="560"/>
      <c r="K24" s="282">
        <f t="shared" si="3"/>
        <v>6.6E-4</v>
      </c>
    </row>
    <row r="25" spans="1:11" s="42" customFormat="1" ht="16.5" x14ac:dyDescent="0.25">
      <c r="B25" s="1777"/>
      <c r="C25" s="1778"/>
      <c r="D25" s="1381">
        <f>SUM(D5:D23)</f>
        <v>0.21960516521679996</v>
      </c>
      <c r="E25" s="1382">
        <f>SUM(E5:E24)</f>
        <v>100.12052964399997</v>
      </c>
      <c r="F25" s="1354"/>
      <c r="G25" s="1382">
        <f>SUM(G5:G24)</f>
        <v>1933.6643114480341</v>
      </c>
      <c r="H25" s="1383"/>
      <c r="I25" s="1354">
        <f>SUM(I5:I23)</f>
        <v>2262.1946812788483</v>
      </c>
      <c r="J25" s="1384">
        <f>((G25/I25)*100)-100</f>
        <v>-14.522639123397269</v>
      </c>
      <c r="K25" s="1385"/>
    </row>
    <row r="27" spans="1:11" ht="25.5" x14ac:dyDescent="0.35">
      <c r="B27" s="1760" t="s">
        <v>50</v>
      </c>
      <c r="C27" s="1754"/>
      <c r="D27" s="38">
        <f>+C30+(C30*C36%)</f>
        <v>220</v>
      </c>
      <c r="E27" s="91"/>
      <c r="F27" s="186"/>
      <c r="G27" s="91"/>
      <c r="H27" s="91"/>
      <c r="I27" s="91"/>
    </row>
    <row r="28" spans="1:11" x14ac:dyDescent="0.25">
      <c r="B28" s="1264" t="s">
        <v>38</v>
      </c>
      <c r="C28" s="93" t="s">
        <v>113</v>
      </c>
      <c r="D28" s="38"/>
      <c r="H28" s="38"/>
    </row>
    <row r="29" spans="1:11" x14ac:dyDescent="0.25">
      <c r="B29" s="1265" t="s">
        <v>39</v>
      </c>
      <c r="C29" s="21" t="s">
        <v>114</v>
      </c>
      <c r="D29" s="38"/>
      <c r="H29" s="38"/>
    </row>
    <row r="30" spans="1:11" x14ac:dyDescent="0.25">
      <c r="B30" s="1265" t="s">
        <v>40</v>
      </c>
      <c r="C30" s="21">
        <v>200</v>
      </c>
      <c r="D30" s="38"/>
      <c r="H30" s="38"/>
    </row>
    <row r="31" spans="1:11" x14ac:dyDescent="0.25">
      <c r="B31" s="1265" t="s">
        <v>41</v>
      </c>
      <c r="C31" s="21">
        <v>0</v>
      </c>
      <c r="D31" s="38"/>
      <c r="H31" s="38"/>
    </row>
    <row r="32" spans="1:11" x14ac:dyDescent="0.25">
      <c r="B32" s="1265" t="s">
        <v>42</v>
      </c>
      <c r="C32" s="21">
        <v>0.5</v>
      </c>
      <c r="D32" s="38"/>
      <c r="H32" s="38"/>
    </row>
    <row r="33" spans="2:11" x14ac:dyDescent="0.25">
      <c r="B33" s="1265" t="s">
        <v>43</v>
      </c>
      <c r="C33" s="21">
        <v>0.5</v>
      </c>
      <c r="D33" s="38"/>
      <c r="H33" s="38"/>
    </row>
    <row r="34" spans="2:11" x14ac:dyDescent="0.25">
      <c r="B34" s="1265" t="s">
        <v>44</v>
      </c>
      <c r="C34" s="21">
        <v>7</v>
      </c>
      <c r="D34" s="38"/>
      <c r="H34" s="38"/>
    </row>
    <row r="35" spans="2:11" x14ac:dyDescent="0.25">
      <c r="B35" s="1265" t="s">
        <v>45</v>
      </c>
      <c r="C35" s="21">
        <v>2</v>
      </c>
      <c r="D35" s="38"/>
      <c r="H35" s="38"/>
    </row>
    <row r="36" spans="2:11" x14ac:dyDescent="0.25">
      <c r="B36" s="1265" t="s">
        <v>46</v>
      </c>
      <c r="C36" s="21">
        <f>C35+C34+C33+C32</f>
        <v>10</v>
      </c>
      <c r="D36" s="38"/>
      <c r="H36" s="38"/>
    </row>
    <row r="38" spans="2:11" ht="25.5" x14ac:dyDescent="0.35">
      <c r="B38" s="1805" t="s">
        <v>47</v>
      </c>
      <c r="C38" s="1806"/>
      <c r="D38" s="1806"/>
      <c r="E38" s="1806"/>
      <c r="F38" s="1806"/>
      <c r="G38" s="1806"/>
      <c r="H38" s="1806"/>
      <c r="I38" s="1806"/>
    </row>
    <row r="39" spans="2:11" s="120" customFormat="1" ht="25.5" x14ac:dyDescent="0.25">
      <c r="B39" s="1266" t="s">
        <v>0</v>
      </c>
      <c r="C39" s="1266" t="s">
        <v>1</v>
      </c>
      <c r="D39" s="1286" t="s">
        <v>2</v>
      </c>
      <c r="E39" s="1243" t="str">
        <f>+'CIF Y PV'!$F$4</f>
        <v xml:space="preserve">JUN-COP/UMB </v>
      </c>
      <c r="F39" s="1243" t="str">
        <f>+'CIF Y PV'!$G$4</f>
        <v>JUN-COP/APP</v>
      </c>
      <c r="G39" s="1243" t="str">
        <f>+'CIF Y PV'!$H$4</f>
        <v xml:space="preserve">MAY-COP/UMB </v>
      </c>
      <c r="H39" s="1243" t="str">
        <f>+'CIF Y PV'!$I$4</f>
        <v>MAY-COP/APP</v>
      </c>
      <c r="I39" s="1326" t="s">
        <v>3</v>
      </c>
      <c r="J39" s="146">
        <v>2310</v>
      </c>
    </row>
    <row r="40" spans="2:11" x14ac:dyDescent="0.25">
      <c r="B40" s="4">
        <f>VLOOKUP(C40,[1]Hoja1!$B$2:$C$260,2,FALSE)</f>
        <v>1370002</v>
      </c>
      <c r="C40" s="4" t="s">
        <v>1165</v>
      </c>
      <c r="D40" s="103">
        <v>2.1000000000000001E-2</v>
      </c>
      <c r="E40" s="1237">
        <f>VLOOKUP(B40,[2]Hoja1!$C$2:$E$279,3,FALSE)</f>
        <v>5325.93</v>
      </c>
      <c r="F40" s="103">
        <f t="shared" ref="F40:F45" si="4">E40*D40</f>
        <v>111.84453000000001</v>
      </c>
      <c r="G40" s="24">
        <v>4879.67</v>
      </c>
      <c r="H40" s="24">
        <f>G40*D40</f>
        <v>102.47307000000001</v>
      </c>
      <c r="I40" s="643">
        <f>((E40/G40)*100)-100</f>
        <v>9.1452905626814953</v>
      </c>
      <c r="J40" s="38">
        <f>J39*D40</f>
        <v>48.510000000000005</v>
      </c>
    </row>
    <row r="41" spans="2:11" x14ac:dyDescent="0.25">
      <c r="B41" s="4">
        <f>VLOOKUP(C41,[1]Hoja1!$B$2:$C$260,2,FALSE)</f>
        <v>1380002</v>
      </c>
      <c r="C41" s="4" t="s">
        <v>1051</v>
      </c>
      <c r="D41" s="103">
        <v>4.2999999999999997E-2</v>
      </c>
      <c r="E41" s="1237">
        <f>VLOOKUP(B41,[2]Hoja1!$C$2:$E$279,3,FALSE)</f>
        <v>73.33</v>
      </c>
      <c r="F41" s="103">
        <f t="shared" si="4"/>
        <v>3.1531899999999995</v>
      </c>
      <c r="G41" s="24">
        <v>76.61</v>
      </c>
      <c r="H41" s="24">
        <f>G41*D41</f>
        <v>3.2942299999999998</v>
      </c>
      <c r="I41" s="643">
        <f>((E41/G41)*100)-100</f>
        <v>-4.281425401383629</v>
      </c>
      <c r="J41" s="38">
        <f>J39*D41</f>
        <v>99.33</v>
      </c>
    </row>
    <row r="42" spans="2:11" x14ac:dyDescent="0.25">
      <c r="B42" s="4">
        <f>VLOOKUP(C42,[1]Hoja1!$B$2:$C$260,2,FALSE)</f>
        <v>1330057</v>
      </c>
      <c r="C42" s="4" t="s">
        <v>952</v>
      </c>
      <c r="D42" s="103">
        <v>1</v>
      </c>
      <c r="E42" s="1237">
        <f>VLOOKUP(B42,[2]Hoja1!$C$2:$E$279,3,FALSE)</f>
        <v>82.69</v>
      </c>
      <c r="F42" s="103">
        <f t="shared" si="4"/>
        <v>82.69</v>
      </c>
      <c r="G42" s="24">
        <v>82.66</v>
      </c>
      <c r="H42" s="24">
        <f>G42*D42</f>
        <v>82.66</v>
      </c>
      <c r="I42" s="643"/>
    </row>
    <row r="43" spans="2:11" x14ac:dyDescent="0.25">
      <c r="B43" s="4">
        <f>VLOOKUP(C43,[1]Hoja1!$B$2:$C$260,2,FALSE)</f>
        <v>1330004</v>
      </c>
      <c r="C43" s="4" t="s">
        <v>1166</v>
      </c>
      <c r="D43" s="103">
        <v>1</v>
      </c>
      <c r="E43" s="1237">
        <f>VLOOKUP(B43,[2]Hoja1!$C$2:$E$279,3,FALSE)</f>
        <v>141.28</v>
      </c>
      <c r="F43" s="103">
        <f t="shared" si="4"/>
        <v>141.28</v>
      </c>
      <c r="G43" s="24">
        <v>138.26</v>
      </c>
      <c r="H43" s="24"/>
      <c r="I43" s="643"/>
    </row>
    <row r="44" spans="2:11" x14ac:dyDescent="0.25">
      <c r="B44" s="4">
        <f>VLOOKUP(C44,[1]Hoja1!$B$2:$C$260,2,FALSE)</f>
        <v>1310017</v>
      </c>
      <c r="C44" s="4" t="s">
        <v>1224</v>
      </c>
      <c r="D44" s="103">
        <v>4.7E-2</v>
      </c>
      <c r="E44" s="1237">
        <f>VLOOKUP(B44,[2]Hoja1!$C$2:$E$279,3,FALSE)</f>
        <v>698.26</v>
      </c>
      <c r="F44" s="103">
        <f t="shared" si="4"/>
        <v>32.818219999999997</v>
      </c>
      <c r="G44" s="24">
        <v>771.15</v>
      </c>
      <c r="H44" s="24">
        <f>G44*D44</f>
        <v>36.244050000000001</v>
      </c>
      <c r="I44" s="643">
        <f>((E44/G44)*100)-100</f>
        <v>-9.4521169681644324</v>
      </c>
      <c r="J44" s="38">
        <f>J39*D44</f>
        <v>108.57</v>
      </c>
    </row>
    <row r="45" spans="2:11" x14ac:dyDescent="0.25">
      <c r="B45" s="4">
        <f>VLOOKUP(C45,[1]Hoja1!$B$2:$C$260,2,FALSE)</f>
        <v>1320003</v>
      </c>
      <c r="C45" s="4" t="s">
        <v>919</v>
      </c>
      <c r="D45" s="103">
        <v>4.7E-2</v>
      </c>
      <c r="E45" s="1237">
        <f>VLOOKUP(B45,[2]Hoja1!$C$2:$E$279,3,FALSE)</f>
        <v>701.94</v>
      </c>
      <c r="F45" s="103">
        <f t="shared" si="4"/>
        <v>32.99118</v>
      </c>
      <c r="G45" s="24">
        <v>700.44</v>
      </c>
      <c r="H45" s="24">
        <f>G45*D45</f>
        <v>32.920680000000004</v>
      </c>
      <c r="I45" s="643">
        <f>((E45/G45)*100)-100</f>
        <v>0.21415110501969536</v>
      </c>
      <c r="J45" s="38">
        <f>J39*D45</f>
        <v>108.57</v>
      </c>
    </row>
    <row r="46" spans="2:11" ht="16.899999999999999" customHeight="1" x14ac:dyDescent="0.25">
      <c r="B46" s="1256"/>
      <c r="C46" s="1256" t="s">
        <v>37</v>
      </c>
      <c r="D46" s="1318"/>
      <c r="E46" s="1257"/>
      <c r="F46" s="1386">
        <f>SUM(F40:F45)</f>
        <v>404.77711999999997</v>
      </c>
      <c r="G46" s="1257"/>
      <c r="H46" s="1257">
        <f>SUM(H40:H45)</f>
        <v>257.59203000000002</v>
      </c>
      <c r="I46" s="1268">
        <f>((F46/H46)*100)-100</f>
        <v>57.138836943052894</v>
      </c>
    </row>
    <row r="47" spans="2:11" x14ac:dyDescent="0.25">
      <c r="H47" s="1" t="str">
        <f>+'CIF Y PV'!$G$1</f>
        <v>MAYO</v>
      </c>
      <c r="J47" s="1"/>
    </row>
    <row r="48" spans="2:11" x14ac:dyDescent="0.25">
      <c r="B48" s="1750" t="s">
        <v>210</v>
      </c>
      <c r="C48" s="1750"/>
      <c r="E48" s="881"/>
      <c r="F48" s="881"/>
      <c r="G48" s="881"/>
      <c r="H48" s="881">
        <f>+F46+G25</f>
        <v>2338.4414314480341</v>
      </c>
      <c r="I48" s="181"/>
      <c r="J48" s="881"/>
      <c r="K48" s="181"/>
    </row>
    <row r="49" spans="2:11" x14ac:dyDescent="0.25">
      <c r="B49" s="1758" t="s">
        <v>48</v>
      </c>
      <c r="C49" s="1759"/>
      <c r="E49" s="881"/>
      <c r="F49" s="881"/>
      <c r="G49" s="881"/>
      <c r="H49" s="881">
        <f>+('CIF Y PV'!C3/1000)*200</f>
        <v>378</v>
      </c>
      <c r="I49" s="182"/>
      <c r="J49" s="881"/>
      <c r="K49" s="182"/>
    </row>
    <row r="50" spans="2:11" x14ac:dyDescent="0.25">
      <c r="B50" s="1758" t="s">
        <v>132</v>
      </c>
      <c r="C50" s="1759"/>
      <c r="E50" s="881"/>
      <c r="F50" s="881"/>
      <c r="G50" s="881"/>
      <c r="H50" s="881">
        <f>+H49+H48</f>
        <v>2716.4414314480341</v>
      </c>
      <c r="I50" s="152"/>
      <c r="J50" s="881"/>
      <c r="K50" s="152"/>
    </row>
    <row r="51" spans="2:11" x14ac:dyDescent="0.25">
      <c r="B51" s="1750" t="s">
        <v>49</v>
      </c>
      <c r="C51" s="1750"/>
      <c r="E51" s="881"/>
      <c r="F51" s="881"/>
      <c r="G51" s="881"/>
      <c r="H51" s="881">
        <f>'CIF Y PV'!C31</f>
        <v>7292.7540000000008</v>
      </c>
      <c r="J51" s="881"/>
      <c r="K51" s="339"/>
    </row>
    <row r="52" spans="2:11" x14ac:dyDescent="0.25">
      <c r="B52" s="1750" t="s">
        <v>805</v>
      </c>
      <c r="C52" s="1750"/>
      <c r="E52" s="881"/>
      <c r="F52" s="881"/>
      <c r="G52" s="881"/>
      <c r="H52" s="928">
        <f>+(H51-H50)/H51</f>
        <v>0.62751500579232011</v>
      </c>
      <c r="I52" s="137"/>
      <c r="K52" s="137"/>
    </row>
    <row r="55" spans="2:11" x14ac:dyDescent="0.25">
      <c r="F55" s="107" t="s">
        <v>85</v>
      </c>
    </row>
  </sheetData>
  <mergeCells count="9">
    <mergeCell ref="B52:C52"/>
    <mergeCell ref="B49:C49"/>
    <mergeCell ref="B50:C50"/>
    <mergeCell ref="B51:C51"/>
    <mergeCell ref="B2:I2"/>
    <mergeCell ref="B25:C25"/>
    <mergeCell ref="B27:C27"/>
    <mergeCell ref="B48:C48"/>
    <mergeCell ref="B38:I38"/>
  </mergeCells>
  <pageMargins left="0.7" right="0.7" top="0.75" bottom="0.75" header="0.3" footer="0.3"/>
  <pageSetup scale="42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DC13-D988-4032-8315-FCD9AAF9F5EE}">
  <sheetPr>
    <tabColor theme="6"/>
  </sheetPr>
  <dimension ref="A2:L55"/>
  <sheetViews>
    <sheetView view="pageBreakPreview" zoomScaleNormal="100" zoomScaleSheetLayoutView="100" workbookViewId="0">
      <selection activeCell="H50" sqref="H50"/>
    </sheetView>
  </sheetViews>
  <sheetFormatPr baseColWidth="10" defaultColWidth="11.5703125" defaultRowHeight="13.5" x14ac:dyDescent="0.25"/>
  <cols>
    <col min="1" max="1" width="13.5703125" style="1" customWidth="1"/>
    <col min="2" max="2" width="11.5703125" style="1" customWidth="1"/>
    <col min="3" max="3" width="67.42578125" style="1" bestFit="1" customWidth="1"/>
    <col min="4" max="4" width="12.28515625" style="1" customWidth="1"/>
    <col min="5" max="5" width="11.5703125" style="1" customWidth="1"/>
    <col min="6" max="6" width="12.85546875" style="107" customWidth="1"/>
    <col min="7" max="7" width="14.28515625" style="1" customWidth="1"/>
    <col min="8" max="8" width="12.5703125" style="1" customWidth="1"/>
    <col min="9" max="9" width="14.42578125" style="1" customWidth="1"/>
    <col min="10" max="10" width="11.5703125" style="38" customWidth="1"/>
    <col min="11" max="16384" width="11.5703125" style="1"/>
  </cols>
  <sheetData>
    <row r="2" spans="1:12" s="42" customFormat="1" ht="26.25" customHeight="1" x14ac:dyDescent="0.25">
      <c r="B2" s="1743" t="s">
        <v>1372</v>
      </c>
      <c r="C2" s="1743"/>
      <c r="D2" s="1743"/>
      <c r="E2" s="1743"/>
      <c r="F2" s="1743"/>
      <c r="G2" s="1743"/>
      <c r="H2" s="1743"/>
      <c r="I2" s="1743"/>
      <c r="J2" s="730"/>
      <c r="K2" s="89"/>
      <c r="L2" s="89"/>
    </row>
    <row r="4" spans="1:12" s="42" customFormat="1" ht="25.5" x14ac:dyDescent="0.25">
      <c r="B4" s="1242" t="s">
        <v>0</v>
      </c>
      <c r="C4" s="1242" t="s">
        <v>1</v>
      </c>
      <c r="D4" s="1242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4" t="s">
        <v>3</v>
      </c>
      <c r="K4" s="1337">
        <f>+D27/1000</f>
        <v>0.24199999999999999</v>
      </c>
    </row>
    <row r="5" spans="1:12" s="42" customFormat="1" ht="16.5" x14ac:dyDescent="0.25">
      <c r="A5" s="1"/>
      <c r="B5" s="4">
        <f>VLOOKUP(C5,[1]Hoja1!$B$2:$C$260,2,FALSE)</f>
        <v>1122002</v>
      </c>
      <c r="C5" s="70" t="s">
        <v>242</v>
      </c>
      <c r="D5" s="869">
        <v>5.1134599999999995E-2</v>
      </c>
      <c r="E5" s="495">
        <v>21.13</v>
      </c>
      <c r="F5" s="879">
        <f>VLOOKUP(B5,[2]Hoja1!$C$2:$E$279,3,FALSE)</f>
        <v>12500</v>
      </c>
      <c r="G5" s="72">
        <f>F5*D5</f>
        <v>639.18249999999989</v>
      </c>
      <c r="H5" s="879">
        <v>15000</v>
      </c>
      <c r="I5" s="73">
        <f>H5*D5</f>
        <v>767.01899999999989</v>
      </c>
      <c r="J5" s="566">
        <f>((F5/H5)*100)-100</f>
        <v>-16.666666666666657</v>
      </c>
      <c r="K5" s="282">
        <f>$K$4*E5%</f>
        <v>5.1134599999999995E-2</v>
      </c>
    </row>
    <row r="6" spans="1:12" s="42" customFormat="1" ht="16.5" x14ac:dyDescent="0.25">
      <c r="A6" s="1"/>
      <c r="B6" s="4">
        <f>VLOOKUP(C6,[1]Hoja1!$B$2:$C$260,2,FALSE)</f>
        <v>1122001</v>
      </c>
      <c r="C6" s="70" t="s">
        <v>1030</v>
      </c>
      <c r="D6" s="543">
        <v>8.3175399999999983E-2</v>
      </c>
      <c r="E6" s="72">
        <v>34.369999999999997</v>
      </c>
      <c r="F6" s="879">
        <f>VLOOKUP(B6,[2]Hoja1!$C$2:$E$279,3,FALSE)</f>
        <v>11506.13</v>
      </c>
      <c r="G6" s="72">
        <f t="shared" ref="G6:G24" si="0">F6*D6</f>
        <v>957.0269652019997</v>
      </c>
      <c r="H6" s="38">
        <v>14000</v>
      </c>
      <c r="I6" s="73">
        <f t="shared" ref="I6:I22" si="1">H6*D6</f>
        <v>1164.4555999999998</v>
      </c>
      <c r="J6" s="560">
        <f t="shared" ref="J6:J23" si="2">((F6/H6)*100)-100</f>
        <v>-17.813357142857143</v>
      </c>
      <c r="K6" s="282">
        <f t="shared" ref="K6:K24" si="3">$K$4*E6%</f>
        <v>8.3175399999999983E-2</v>
      </c>
    </row>
    <row r="7" spans="1:12" s="42" customFormat="1" ht="16.5" x14ac:dyDescent="0.25">
      <c r="A7" s="1"/>
      <c r="B7" s="4">
        <f>VLOOKUP(C7,[1]Hoja1!$B$2:$C$260,2,FALSE)</f>
        <v>1131001</v>
      </c>
      <c r="C7" s="70" t="s">
        <v>1163</v>
      </c>
      <c r="D7" s="543">
        <v>1.9118E-2</v>
      </c>
      <c r="E7" s="72">
        <v>7.9</v>
      </c>
      <c r="F7" s="879">
        <f>VLOOKUP(B7,[2]Hoja1!$C$2:$E$279,3,FALSE)</f>
        <v>386.9</v>
      </c>
      <c r="G7" s="72">
        <f t="shared" si="0"/>
        <v>7.3967541999999993</v>
      </c>
      <c r="H7" s="72">
        <v>365</v>
      </c>
      <c r="I7" s="73">
        <f t="shared" si="1"/>
        <v>6.9780699999999998</v>
      </c>
      <c r="J7" s="560">
        <f t="shared" si="2"/>
        <v>5.9999999999999858</v>
      </c>
      <c r="K7" s="282">
        <f t="shared" si="3"/>
        <v>1.9118E-2</v>
      </c>
      <c r="L7" s="42" t="s">
        <v>85</v>
      </c>
    </row>
    <row r="8" spans="1:12" s="42" customFormat="1" ht="16.5" x14ac:dyDescent="0.25">
      <c r="A8" s="1"/>
      <c r="B8" s="4">
        <f>VLOOKUP(C8,[1]Hoja1!$B$2:$C$260,2,FALSE)</f>
        <v>1131002</v>
      </c>
      <c r="C8" s="70" t="s">
        <v>663</v>
      </c>
      <c r="D8" s="543">
        <v>5.9701400000000009E-2</v>
      </c>
      <c r="E8" s="72">
        <v>24.67</v>
      </c>
      <c r="F8" s="879">
        <f>VLOOKUP(B8,[2]Hoja1!$C$2:$E$279,3,FALSE)</f>
        <v>0</v>
      </c>
      <c r="G8" s="72">
        <f t="shared" si="0"/>
        <v>0</v>
      </c>
      <c r="H8" s="896">
        <v>0</v>
      </c>
      <c r="I8" s="73">
        <f t="shared" si="1"/>
        <v>0</v>
      </c>
      <c r="J8" s="560" t="e">
        <f t="shared" si="2"/>
        <v>#DIV/0!</v>
      </c>
      <c r="K8" s="282">
        <f t="shared" si="3"/>
        <v>5.9701400000000009E-2</v>
      </c>
    </row>
    <row r="9" spans="1:12" s="42" customFormat="1" ht="16.5" x14ac:dyDescent="0.25">
      <c r="A9" s="1"/>
      <c r="B9" s="4">
        <f>VLOOKUP(C9,[1]Hoja1!$B$2:$C$260,2,FALSE)</f>
        <v>1260022</v>
      </c>
      <c r="C9" s="70" t="s">
        <v>974</v>
      </c>
      <c r="D9" s="543">
        <v>2.3920373476999999E-3</v>
      </c>
      <c r="E9" s="72">
        <v>0.988445185</v>
      </c>
      <c r="F9" s="879">
        <f>VLOOKUP(B9,[2]Hoja1!$C$2:$E$279,3,FALSE)</f>
        <v>22988.01</v>
      </c>
      <c r="G9" s="72">
        <f t="shared" si="0"/>
        <v>54.988178469301069</v>
      </c>
      <c r="H9" s="95">
        <v>27066.49</v>
      </c>
      <c r="I9" s="73">
        <f t="shared" si="1"/>
        <v>64.74405495114857</v>
      </c>
      <c r="J9" s="560">
        <f t="shared" si="2"/>
        <v>-15.068374214757824</v>
      </c>
      <c r="K9" s="282">
        <f t="shared" si="3"/>
        <v>2.3920373476999999E-3</v>
      </c>
    </row>
    <row r="10" spans="1:12" s="42" customFormat="1" ht="16.5" x14ac:dyDescent="0.25">
      <c r="A10" s="1"/>
      <c r="B10" s="4">
        <f>VLOOKUP(C10,[1]Hoja1!$B$2:$C$260,2,FALSE)</f>
        <v>1250009</v>
      </c>
      <c r="C10" s="70" t="s">
        <v>1279</v>
      </c>
      <c r="D10" s="543">
        <v>7.1761121520000002E-5</v>
      </c>
      <c r="E10" s="72">
        <v>2.9653355999999999E-2</v>
      </c>
      <c r="F10" s="879">
        <f>VLOOKUP(B10,[2]Hoja1!$C$2:$E$279,3,FALSE)</f>
        <v>83551.55</v>
      </c>
      <c r="G10" s="72">
        <f t="shared" si="0"/>
        <v>5.9957529327343559</v>
      </c>
      <c r="H10" s="1552">
        <v>71910.02</v>
      </c>
      <c r="I10" s="73">
        <f t="shared" si="1"/>
        <v>5.1603436837256309</v>
      </c>
      <c r="J10" s="560">
        <f t="shared" si="2"/>
        <v>16.18902344902699</v>
      </c>
      <c r="K10" s="282">
        <f t="shared" si="3"/>
        <v>7.1761121520000002E-5</v>
      </c>
    </row>
    <row r="11" spans="1:12" s="42" customFormat="1" ht="16.5" x14ac:dyDescent="0.25">
      <c r="A11" s="1"/>
      <c r="B11" s="4">
        <f>VLOOKUP(C11,[1]Hoja1!$B$2:$C$260,2,FALSE)</f>
        <v>1210005</v>
      </c>
      <c r="C11" s="70" t="s">
        <v>1155</v>
      </c>
      <c r="D11" s="867">
        <v>2.33462845242E-3</v>
      </c>
      <c r="E11" s="72">
        <v>0.96472250100000001</v>
      </c>
      <c r="F11" s="879">
        <f>VLOOKUP(B11,[2]Hoja1!$C$2:$E$279,3,FALSE)</f>
        <v>1356</v>
      </c>
      <c r="G11" s="72">
        <f t="shared" si="0"/>
        <v>3.16575618148152</v>
      </c>
      <c r="H11" s="880">
        <v>1360</v>
      </c>
      <c r="I11" s="73">
        <f t="shared" si="1"/>
        <v>3.1750946952911998</v>
      </c>
      <c r="J11" s="560">
        <f t="shared" si="2"/>
        <v>-0.29411764705882604</v>
      </c>
      <c r="K11" s="282">
        <f t="shared" si="3"/>
        <v>2.33462845242E-3</v>
      </c>
    </row>
    <row r="12" spans="1:12" s="42" customFormat="1" ht="16.5" x14ac:dyDescent="0.25">
      <c r="A12" s="1"/>
      <c r="B12" s="4">
        <f>VLOOKUP(C12,[1]Hoja1!$B$2:$C$260,2,FALSE)</f>
        <v>1210004</v>
      </c>
      <c r="C12" s="70" t="s">
        <v>1131</v>
      </c>
      <c r="D12" s="543">
        <v>2.0568872279999999E-4</v>
      </c>
      <c r="E12" s="72">
        <v>8.4995340000000003E-2</v>
      </c>
      <c r="F12" s="879">
        <f>VLOOKUP(B12,[2]Hoja1!$C$2:$E$279,3,FALSE)</f>
        <v>3841</v>
      </c>
      <c r="G12" s="72">
        <f t="shared" si="0"/>
        <v>0.7900503842747999</v>
      </c>
      <c r="H12" s="914">
        <v>3508.01</v>
      </c>
      <c r="I12" s="73">
        <f t="shared" si="1"/>
        <v>0.72155809646962799</v>
      </c>
      <c r="J12" s="560">
        <f t="shared" si="2"/>
        <v>9.4922762477871885</v>
      </c>
      <c r="K12" s="282">
        <f t="shared" si="3"/>
        <v>2.0568872279999999E-4</v>
      </c>
    </row>
    <row r="13" spans="1:12" s="42" customFormat="1" ht="16.5" x14ac:dyDescent="0.25">
      <c r="A13" s="1"/>
      <c r="B13" s="4">
        <f>VLOOKUP(C13,[1]Hoja1!$B$2:$C$260,2,FALSE)</f>
        <v>121007</v>
      </c>
      <c r="C13" s="70" t="s">
        <v>821</v>
      </c>
      <c r="D13" s="867">
        <v>1.1857999999999999E-3</v>
      </c>
      <c r="E13" s="72">
        <v>0.49</v>
      </c>
      <c r="F13" s="879">
        <f>VLOOKUP(B13,[2]Hoja1!$C$2:$E$279,3,FALSE)</f>
        <v>16905</v>
      </c>
      <c r="G13" s="72">
        <f t="shared" si="0"/>
        <v>20.045948999999997</v>
      </c>
      <c r="H13" s="880">
        <v>16100</v>
      </c>
      <c r="I13" s="73">
        <f t="shared" si="1"/>
        <v>19.091379999999997</v>
      </c>
      <c r="J13" s="560">
        <f t="shared" si="2"/>
        <v>5</v>
      </c>
      <c r="K13" s="282">
        <f t="shared" si="3"/>
        <v>1.1857999999999999E-3</v>
      </c>
    </row>
    <row r="14" spans="1:12" s="42" customFormat="1" ht="16.5" x14ac:dyDescent="0.25">
      <c r="A14" s="1"/>
      <c r="B14" s="4">
        <f>VLOOKUP(C14,[1]Hoja1!$B$2:$C$260,2,FALSE)</f>
        <v>1210003</v>
      </c>
      <c r="C14" s="70" t="s">
        <v>1143</v>
      </c>
      <c r="D14" s="543">
        <v>1.1960186678E-4</v>
      </c>
      <c r="E14" s="72">
        <v>4.9422259000000003E-2</v>
      </c>
      <c r="F14" s="879">
        <f>VLOOKUP(B14,[2]Hoja1!$C$2:$E$279,3,FALSE)</f>
        <v>16235.45</v>
      </c>
      <c r="G14" s="72">
        <f t="shared" si="0"/>
        <v>1.9417901280133512</v>
      </c>
      <c r="H14" s="914">
        <v>12852.58</v>
      </c>
      <c r="I14" s="73">
        <f t="shared" si="1"/>
        <v>1.5371925609392925</v>
      </c>
      <c r="J14" s="560">
        <f t="shared" si="2"/>
        <v>26.320551982559152</v>
      </c>
      <c r="K14" s="282">
        <f t="shared" si="3"/>
        <v>1.1960186678E-4</v>
      </c>
    </row>
    <row r="15" spans="1:12" s="42" customFormat="1" ht="16.5" x14ac:dyDescent="0.25">
      <c r="A15" s="1"/>
      <c r="B15" s="4">
        <v>1240007</v>
      </c>
      <c r="C15" s="70" t="s">
        <v>1352</v>
      </c>
      <c r="D15" s="543">
        <v>1.2099999999999999E-3</v>
      </c>
      <c r="E15" s="72">
        <v>0.5</v>
      </c>
      <c r="F15" s="879">
        <f>VLOOKUP(B15,[2]Hoja1!$C$2:$E$279,3,FALSE)</f>
        <v>25921.42</v>
      </c>
      <c r="G15" s="72">
        <f t="shared" si="0"/>
        <v>31.364918199999995</v>
      </c>
      <c r="H15" s="914">
        <v>70840.75</v>
      </c>
      <c r="I15" s="73">
        <f t="shared" si="1"/>
        <v>85.71730749999999</v>
      </c>
      <c r="J15" s="560">
        <f t="shared" si="2"/>
        <v>-63.408885422585165</v>
      </c>
      <c r="K15" s="282">
        <f t="shared" si="3"/>
        <v>1.2099999999999999E-3</v>
      </c>
    </row>
    <row r="16" spans="1:12" s="42" customFormat="1" ht="16.5" x14ac:dyDescent="0.25">
      <c r="A16" s="1"/>
      <c r="B16" s="4">
        <f>VLOOKUP(C16,[1]Hoja1!$B$2:$C$260,2,FALSE)</f>
        <v>1230008</v>
      </c>
      <c r="C16" s="70" t="s">
        <v>1183</v>
      </c>
      <c r="D16" s="543">
        <v>1.8179483852199998E-3</v>
      </c>
      <c r="E16" s="72">
        <v>0.75121834099999996</v>
      </c>
      <c r="F16" s="879">
        <f>VLOOKUP(B16,[2]Hoja1!$C$2:$E$279,3,FALSE)</f>
        <v>26735</v>
      </c>
      <c r="G16" s="72">
        <f t="shared" si="0"/>
        <v>48.602850078856697</v>
      </c>
      <c r="H16" s="25">
        <v>25396</v>
      </c>
      <c r="I16" s="73">
        <f t="shared" si="1"/>
        <v>46.168617191047112</v>
      </c>
      <c r="J16" s="560">
        <f t="shared" si="2"/>
        <v>5.2724838557253122</v>
      </c>
      <c r="K16" s="282">
        <f t="shared" si="3"/>
        <v>1.8179483852199998E-3</v>
      </c>
    </row>
    <row r="17" spans="1:11" s="42" customFormat="1" ht="16.5" x14ac:dyDescent="0.25">
      <c r="A17" s="1"/>
      <c r="B17" s="4">
        <f>VLOOKUP(C17,[1]Hoja1!$B$2:$C$260,2,FALSE)</f>
        <v>1230010</v>
      </c>
      <c r="C17" s="70" t="s">
        <v>1164</v>
      </c>
      <c r="D17" s="543">
        <v>9.7116716290000002E-4</v>
      </c>
      <c r="E17" s="72">
        <v>0.40130874500000002</v>
      </c>
      <c r="F17" s="879">
        <f>VLOOKUP(B17,[2]Hoja1!$C$2:$E$279,3,FALSE)</f>
        <v>53831</v>
      </c>
      <c r="G17" s="72">
        <f t="shared" si="0"/>
        <v>52.278899546069901</v>
      </c>
      <c r="H17" s="25">
        <v>50310</v>
      </c>
      <c r="I17" s="73">
        <f t="shared" si="1"/>
        <v>48.859419965499001</v>
      </c>
      <c r="J17" s="560">
        <f t="shared" si="2"/>
        <v>6.9986086265156047</v>
      </c>
      <c r="K17" s="282">
        <f t="shared" si="3"/>
        <v>9.7116716290000002E-4</v>
      </c>
    </row>
    <row r="18" spans="1:11" s="42" customFormat="1" ht="16.5" x14ac:dyDescent="0.25">
      <c r="A18" s="1"/>
      <c r="B18" s="4">
        <f>VLOOKUP(C18,[1]Hoja1!$B$2:$C$260,2,FALSE)</f>
        <v>1220010</v>
      </c>
      <c r="C18" s="70" t="s">
        <v>1144</v>
      </c>
      <c r="D18" s="543">
        <v>1.1857999999999999E-3</v>
      </c>
      <c r="E18" s="72">
        <v>0.49</v>
      </c>
      <c r="F18" s="879">
        <f>VLOOKUP(B18,[2]Hoja1!$C$2:$E$279,3,FALSE)</f>
        <v>4744.72</v>
      </c>
      <c r="G18" s="72">
        <f t="shared" si="0"/>
        <v>5.6262889759999997</v>
      </c>
      <c r="H18" s="1551">
        <v>9381</v>
      </c>
      <c r="I18" s="73">
        <f t="shared" si="1"/>
        <v>11.123989799999999</v>
      </c>
      <c r="J18" s="560">
        <f t="shared" si="2"/>
        <v>-49.42202323846071</v>
      </c>
      <c r="K18" s="282">
        <f t="shared" si="3"/>
        <v>1.1857999999999999E-3</v>
      </c>
    </row>
    <row r="19" spans="1:11" s="42" customFormat="1" ht="16.5" x14ac:dyDescent="0.25">
      <c r="A19" s="1"/>
      <c r="B19" s="4">
        <f>VLOOKUP(C19,[1]Hoja1!$B$2:$C$260,2,FALSE)</f>
        <v>1270009</v>
      </c>
      <c r="C19" s="70" t="s">
        <v>1225</v>
      </c>
      <c r="D19" s="867">
        <v>1.4352224061999998E-4</v>
      </c>
      <c r="E19" s="72">
        <v>5.9306710999999998E-2</v>
      </c>
      <c r="F19" s="879">
        <f>VLOOKUP(B19,[2]Hoja1!$C$2:$E$279,3,FALSE)</f>
        <v>57046.53</v>
      </c>
      <c r="G19" s="72">
        <f t="shared" si="0"/>
        <v>8.187445805196047</v>
      </c>
      <c r="H19" s="1551">
        <v>53849.37</v>
      </c>
      <c r="I19" s="73">
        <f t="shared" si="1"/>
        <v>7.7285822383754086</v>
      </c>
      <c r="J19" s="560">
        <f t="shared" si="2"/>
        <v>5.937228234982129</v>
      </c>
      <c r="K19" s="282">
        <f t="shared" si="3"/>
        <v>1.4352224061999998E-4</v>
      </c>
    </row>
    <row r="20" spans="1:11" s="42" customFormat="1" ht="16.5" x14ac:dyDescent="0.25">
      <c r="A20" s="1"/>
      <c r="B20" s="4">
        <f>VLOOKUP(C20,[1]Hoja1!$B$2:$C$260,2,FALSE)</f>
        <v>1260014</v>
      </c>
      <c r="C20" s="70" t="s">
        <v>825</v>
      </c>
      <c r="D20" s="867">
        <v>2.3920373476999999E-3</v>
      </c>
      <c r="E20" s="72">
        <v>0.988445185</v>
      </c>
      <c r="F20" s="879">
        <f>VLOOKUP(B20,[2]Hoja1!$C$2:$E$279,3,FALSE)</f>
        <v>28083.42</v>
      </c>
      <c r="G20" s="72">
        <f t="shared" si="0"/>
        <v>67.176589491145123</v>
      </c>
      <c r="H20" s="1551">
        <v>40834.379999999997</v>
      </c>
      <c r="I20" s="73">
        <f t="shared" si="1"/>
        <v>97.677362030173924</v>
      </c>
      <c r="J20" s="560">
        <f t="shared" si="2"/>
        <v>-31.226040410066219</v>
      </c>
      <c r="K20" s="282">
        <f t="shared" si="3"/>
        <v>2.3920373476999999E-3</v>
      </c>
    </row>
    <row r="21" spans="1:11" s="42" customFormat="1" ht="16.5" x14ac:dyDescent="0.25">
      <c r="A21" s="1"/>
      <c r="B21" s="4">
        <f>VLOOKUP(C21,[1]Hoja1!$B$2:$C$260,2,FALSE)</f>
        <v>1260009</v>
      </c>
      <c r="C21" s="70" t="s">
        <v>1027</v>
      </c>
      <c r="D21" s="543">
        <v>7.1631999999999998E-3</v>
      </c>
      <c r="E21" s="72">
        <v>2.96</v>
      </c>
      <c r="F21" s="879">
        <f>VLOOKUP(B21,[2]Hoja1!$C$2:$E$279,3,FALSE)</f>
        <v>7033.69</v>
      </c>
      <c r="G21" s="72">
        <f t="shared" si="0"/>
        <v>50.383728207999994</v>
      </c>
      <c r="H21" s="880">
        <v>9565.2099999999991</v>
      </c>
      <c r="I21" s="73">
        <f t="shared" si="1"/>
        <v>68.517512271999991</v>
      </c>
      <c r="J21" s="560">
        <f t="shared" si="2"/>
        <v>-26.465911360022403</v>
      </c>
      <c r="K21" s="282">
        <f t="shared" si="3"/>
        <v>7.1631999999999998E-3</v>
      </c>
    </row>
    <row r="22" spans="1:11" s="42" customFormat="1" ht="16.5" x14ac:dyDescent="0.25">
      <c r="A22" s="1"/>
      <c r="B22" s="4">
        <f>VLOOKUP(C22,[1]Hoja1!$B$2:$C$260,2,FALSE)</f>
        <v>1260011</v>
      </c>
      <c r="C22" s="70" t="s">
        <v>739</v>
      </c>
      <c r="D22" s="543">
        <v>4.8510517431199999E-3</v>
      </c>
      <c r="E22" s="72">
        <v>2.004566836</v>
      </c>
      <c r="F22" s="879">
        <f>VLOOKUP(B22,[2]Hoja1!$C$2:$E$279,3,FALSE)</f>
        <v>4450.01</v>
      </c>
      <c r="G22" s="72">
        <f t="shared" si="0"/>
        <v>21.587228767401431</v>
      </c>
      <c r="H22" s="95">
        <v>5752.34</v>
      </c>
      <c r="I22" s="73">
        <f t="shared" si="1"/>
        <v>27.904898984018899</v>
      </c>
      <c r="J22" s="560">
        <f t="shared" si="2"/>
        <v>-22.640003894067448</v>
      </c>
      <c r="K22" s="282">
        <f t="shared" si="3"/>
        <v>4.8510517431199999E-3</v>
      </c>
    </row>
    <row r="23" spans="1:11" s="42" customFormat="1" ht="16.5" x14ac:dyDescent="0.25">
      <c r="A23" s="1"/>
      <c r="B23" s="4">
        <f>VLOOKUP(C23,[1]Hoja1!$B$2:$C$260,2,FALSE)</f>
        <v>1260005</v>
      </c>
      <c r="C23" s="70" t="s">
        <v>811</v>
      </c>
      <c r="D23" s="543">
        <v>2.3920373476999999E-3</v>
      </c>
      <c r="E23" s="72">
        <v>0.988445185</v>
      </c>
      <c r="F23" s="879">
        <f>VLOOKUP(B23,[2]Hoja1!$C$2:$E$279,3,FALSE)</f>
        <v>26429</v>
      </c>
      <c r="G23" s="72">
        <f t="shared" si="0"/>
        <v>63.219155062363299</v>
      </c>
      <c r="H23" s="95">
        <v>25850</v>
      </c>
      <c r="I23" s="73">
        <f>H23*D23</f>
        <v>61.834165438044998</v>
      </c>
      <c r="J23" s="560">
        <f t="shared" si="2"/>
        <v>2.2398452611218715</v>
      </c>
      <c r="K23" s="282">
        <f t="shared" si="3"/>
        <v>2.3920373476999999E-3</v>
      </c>
    </row>
    <row r="24" spans="1:11" s="42" customFormat="1" ht="16.5" x14ac:dyDescent="0.25">
      <c r="A24" s="1"/>
      <c r="B24" s="4">
        <f>VLOOKUP(C24,[1]Hoja1!$B$2:$C$260,2,FALSE)</f>
        <v>1260023</v>
      </c>
      <c r="C24" s="1513" t="s">
        <v>1213</v>
      </c>
      <c r="D24" s="1554">
        <v>7.2599999999999997E-4</v>
      </c>
      <c r="E24" s="72">
        <v>0.3</v>
      </c>
      <c r="F24" s="879">
        <f>VLOOKUP(B24,[2]Hoja1!$C$2:$E$279,3,FALSE)</f>
        <v>121308.46</v>
      </c>
      <c r="G24" s="72">
        <f t="shared" si="0"/>
        <v>88.069941960000008</v>
      </c>
      <c r="H24" s="95">
        <v>134302.01999999999</v>
      </c>
      <c r="I24" s="73"/>
      <c r="J24" s="560"/>
      <c r="K24" s="282">
        <f t="shared" si="3"/>
        <v>7.2599999999999997E-4</v>
      </c>
    </row>
    <row r="25" spans="1:11" s="42" customFormat="1" ht="16.5" x14ac:dyDescent="0.25">
      <c r="B25" s="1777"/>
      <c r="C25" s="1778"/>
      <c r="D25" s="1381">
        <f>SUM(D5:D23)</f>
        <v>0.24156568173847995</v>
      </c>
      <c r="E25" s="1382">
        <f>SUM(E5:E24)</f>
        <v>100.12052964399997</v>
      </c>
      <c r="F25" s="1354"/>
      <c r="G25" s="1382">
        <f>SUM(G5:G24)</f>
        <v>2127.0307425928372</v>
      </c>
      <c r="H25" s="1383"/>
      <c r="I25" s="1354">
        <f>SUM(I5:I23)</f>
        <v>2488.414149406733</v>
      </c>
      <c r="J25" s="1384">
        <f>((G25/I25)*100)-100</f>
        <v>-14.522639123397269</v>
      </c>
      <c r="K25" s="1385"/>
    </row>
    <row r="27" spans="1:11" ht="25.5" x14ac:dyDescent="0.35">
      <c r="B27" s="1760" t="s">
        <v>50</v>
      </c>
      <c r="C27" s="1754"/>
      <c r="D27" s="38">
        <f>+C30+(C30*C36%)</f>
        <v>242</v>
      </c>
      <c r="E27" s="91"/>
      <c r="F27" s="186"/>
      <c r="G27" s="91"/>
      <c r="H27" s="91"/>
      <c r="I27" s="91"/>
    </row>
    <row r="28" spans="1:11" x14ac:dyDescent="0.25">
      <c r="B28" s="1264" t="s">
        <v>38</v>
      </c>
      <c r="C28" s="93" t="s">
        <v>113</v>
      </c>
      <c r="D28" s="38"/>
      <c r="H28" s="38"/>
    </row>
    <row r="29" spans="1:11" x14ac:dyDescent="0.25">
      <c r="B29" s="1265" t="s">
        <v>39</v>
      </c>
      <c r="C29" s="21" t="s">
        <v>114</v>
      </c>
      <c r="D29" s="38"/>
      <c r="H29" s="38"/>
    </row>
    <row r="30" spans="1:11" x14ac:dyDescent="0.25">
      <c r="B30" s="1265" t="s">
        <v>40</v>
      </c>
      <c r="C30" s="21">
        <v>220</v>
      </c>
      <c r="D30" s="38"/>
      <c r="H30" s="38"/>
    </row>
    <row r="31" spans="1:11" x14ac:dyDescent="0.25">
      <c r="B31" s="1265" t="s">
        <v>41</v>
      </c>
      <c r="C31" s="21">
        <v>0</v>
      </c>
      <c r="D31" s="38"/>
      <c r="H31" s="38"/>
    </row>
    <row r="32" spans="1:11" x14ac:dyDescent="0.25">
      <c r="B32" s="1265" t="s">
        <v>42</v>
      </c>
      <c r="C32" s="21">
        <v>0.5</v>
      </c>
      <c r="D32" s="38"/>
      <c r="H32" s="38"/>
    </row>
    <row r="33" spans="2:11" x14ac:dyDescent="0.25">
      <c r="B33" s="1265" t="s">
        <v>43</v>
      </c>
      <c r="C33" s="21">
        <v>0.5</v>
      </c>
      <c r="D33" s="38"/>
      <c r="H33" s="38"/>
    </row>
    <row r="34" spans="2:11" x14ac:dyDescent="0.25">
      <c r="B34" s="1265" t="s">
        <v>44</v>
      </c>
      <c r="C34" s="21">
        <v>7</v>
      </c>
      <c r="D34" s="38"/>
      <c r="H34" s="38"/>
    </row>
    <row r="35" spans="2:11" x14ac:dyDescent="0.25">
      <c r="B35" s="1265" t="s">
        <v>45</v>
      </c>
      <c r="C35" s="21">
        <v>2</v>
      </c>
      <c r="D35" s="38"/>
      <c r="H35" s="38"/>
    </row>
    <row r="36" spans="2:11" x14ac:dyDescent="0.25">
      <c r="B36" s="1265" t="s">
        <v>46</v>
      </c>
      <c r="C36" s="21">
        <f>C35+C34+C33+C32</f>
        <v>10</v>
      </c>
      <c r="D36" s="38"/>
      <c r="H36" s="38"/>
    </row>
    <row r="38" spans="2:11" ht="25.5" x14ac:dyDescent="0.35">
      <c r="B38" s="1805" t="s">
        <v>47</v>
      </c>
      <c r="C38" s="1806"/>
      <c r="D38" s="1806"/>
      <c r="E38" s="1806"/>
      <c r="F38" s="1806"/>
      <c r="G38" s="1806"/>
      <c r="H38" s="1806"/>
      <c r="I38" s="1806"/>
    </row>
    <row r="39" spans="2:11" s="120" customFormat="1" ht="25.5" x14ac:dyDescent="0.25">
      <c r="B39" s="1266" t="s">
        <v>0</v>
      </c>
      <c r="C39" s="1266" t="s">
        <v>1</v>
      </c>
      <c r="D39" s="1286" t="s">
        <v>2</v>
      </c>
      <c r="E39" s="1243" t="str">
        <f>+'CIF Y PV'!$F$4</f>
        <v xml:space="preserve">JUN-COP/UMB </v>
      </c>
      <c r="F39" s="1243" t="str">
        <f>+'CIF Y PV'!$G$4</f>
        <v>JUN-COP/APP</v>
      </c>
      <c r="G39" s="1243" t="str">
        <f>+'CIF Y PV'!$H$4</f>
        <v xml:space="preserve">MAY-COP/UMB </v>
      </c>
      <c r="H39" s="1243" t="str">
        <f>+'CIF Y PV'!$I$4</f>
        <v>MAY-COP/APP</v>
      </c>
      <c r="I39" s="1326" t="s">
        <v>3</v>
      </c>
      <c r="J39" s="146">
        <v>2310</v>
      </c>
    </row>
    <row r="40" spans="2:11" x14ac:dyDescent="0.25">
      <c r="B40" s="4">
        <f>VLOOKUP(C40,[1]Hoja1!$B$2:$C$260,2,FALSE)</f>
        <v>1370002</v>
      </c>
      <c r="C40" s="4" t="s">
        <v>1165</v>
      </c>
      <c r="D40" s="103">
        <v>2.1000000000000001E-2</v>
      </c>
      <c r="E40" s="1237">
        <f>VLOOKUP(B40,[2]Hoja1!$C$2:$E$279,3,FALSE)</f>
        <v>5325.93</v>
      </c>
      <c r="F40" s="103">
        <f t="shared" ref="F40:F45" si="4">E40*D40</f>
        <v>111.84453000000001</v>
      </c>
      <c r="G40" s="24">
        <v>4879.67</v>
      </c>
      <c r="H40" s="24">
        <f>G40*D40</f>
        <v>102.47307000000001</v>
      </c>
      <c r="I40" s="643">
        <f>((E40/G40)*100)-100</f>
        <v>9.1452905626814953</v>
      </c>
      <c r="J40" s="38">
        <f>J39*D40</f>
        <v>48.510000000000005</v>
      </c>
    </row>
    <row r="41" spans="2:11" x14ac:dyDescent="0.25">
      <c r="B41" s="4">
        <f>VLOOKUP(C41,[1]Hoja1!$B$2:$C$260,2,FALSE)</f>
        <v>1380002</v>
      </c>
      <c r="C41" s="4" t="s">
        <v>1051</v>
      </c>
      <c r="D41" s="103">
        <v>4.2999999999999997E-2</v>
      </c>
      <c r="E41" s="1237">
        <f>VLOOKUP(B41,[2]Hoja1!$C$2:$E$279,3,FALSE)</f>
        <v>73.33</v>
      </c>
      <c r="F41" s="103">
        <f t="shared" si="4"/>
        <v>3.1531899999999995</v>
      </c>
      <c r="G41" s="24">
        <v>76.61</v>
      </c>
      <c r="H41" s="24">
        <f>G41*D41</f>
        <v>3.2942299999999998</v>
      </c>
      <c r="I41" s="643">
        <f>((E41/G41)*100)-100</f>
        <v>-4.281425401383629</v>
      </c>
      <c r="J41" s="38">
        <f>J39*D41</f>
        <v>99.33</v>
      </c>
    </row>
    <row r="42" spans="2:11" x14ac:dyDescent="0.25">
      <c r="B42" s="4">
        <f>VLOOKUP(C42,[1]Hoja1!$B$2:$C$260,2,FALSE)</f>
        <v>1330066</v>
      </c>
      <c r="C42" s="4" t="s">
        <v>1375</v>
      </c>
      <c r="D42" s="103">
        <v>1</v>
      </c>
      <c r="E42" s="1237">
        <f>VLOOKUP(B42,[2]Hoja1!$C$2:$E$279,3,FALSE)</f>
        <v>86.85</v>
      </c>
      <c r="F42" s="103">
        <f t="shared" si="4"/>
        <v>86.85</v>
      </c>
      <c r="G42" s="24">
        <v>82.66</v>
      </c>
      <c r="H42" s="24">
        <f>G42*D42</f>
        <v>82.66</v>
      </c>
      <c r="I42" s="643"/>
    </row>
    <row r="43" spans="2:11" x14ac:dyDescent="0.25">
      <c r="B43" s="4">
        <f>VLOOKUP(C43,[1]Hoja1!$B$2:$C$260,2,FALSE)</f>
        <v>1330065</v>
      </c>
      <c r="C43" s="4" t="s">
        <v>1374</v>
      </c>
      <c r="D43" s="103">
        <v>1</v>
      </c>
      <c r="E43" s="1237">
        <f>VLOOKUP(B43,[2]Hoja1!$C$2:$E$279,3,FALSE)</f>
        <v>149.34</v>
      </c>
      <c r="F43" s="103">
        <f t="shared" si="4"/>
        <v>149.34</v>
      </c>
      <c r="G43" s="24">
        <v>138.26</v>
      </c>
      <c r="H43" s="24"/>
      <c r="I43" s="643"/>
    </row>
    <row r="44" spans="2:11" x14ac:dyDescent="0.25">
      <c r="B44" s="4">
        <f>VLOOKUP(C44,[1]Hoja1!$B$2:$C$260,2,FALSE)</f>
        <v>1310017</v>
      </c>
      <c r="C44" s="4" t="s">
        <v>1224</v>
      </c>
      <c r="D44" s="103">
        <v>4.7E-2</v>
      </c>
      <c r="E44" s="1237">
        <f>VLOOKUP(B44,[2]Hoja1!$C$2:$E$279,3,FALSE)</f>
        <v>698.26</v>
      </c>
      <c r="F44" s="103">
        <f t="shared" si="4"/>
        <v>32.818219999999997</v>
      </c>
      <c r="G44" s="24">
        <v>771.15</v>
      </c>
      <c r="H44" s="24">
        <f>G44*D44</f>
        <v>36.244050000000001</v>
      </c>
      <c r="I44" s="643">
        <f>((E44/G44)*100)-100</f>
        <v>-9.4521169681644324</v>
      </c>
      <c r="J44" s="38">
        <f>J39*D44</f>
        <v>108.57</v>
      </c>
    </row>
    <row r="45" spans="2:11" x14ac:dyDescent="0.25">
      <c r="B45" s="4">
        <f>VLOOKUP(C45,[1]Hoja1!$B$2:$C$260,2,FALSE)</f>
        <v>1320003</v>
      </c>
      <c r="C45" s="4" t="s">
        <v>919</v>
      </c>
      <c r="D45" s="103">
        <v>4.7E-2</v>
      </c>
      <c r="E45" s="1237">
        <f>VLOOKUP(B45,[2]Hoja1!$C$2:$E$279,3,FALSE)</f>
        <v>701.94</v>
      </c>
      <c r="F45" s="103">
        <f t="shared" si="4"/>
        <v>32.99118</v>
      </c>
      <c r="G45" s="24">
        <v>700.44</v>
      </c>
      <c r="H45" s="24">
        <f>G45*D45</f>
        <v>32.920680000000004</v>
      </c>
      <c r="I45" s="643">
        <f>((E45/G45)*100)-100</f>
        <v>0.21415110501969536</v>
      </c>
      <c r="J45" s="38">
        <f>J39*D45</f>
        <v>108.57</v>
      </c>
    </row>
    <row r="46" spans="2:11" ht="16.899999999999999" customHeight="1" x14ac:dyDescent="0.25">
      <c r="B46" s="1256"/>
      <c r="C46" s="1256" t="s">
        <v>37</v>
      </c>
      <c r="D46" s="1318"/>
      <c r="E46" s="1257"/>
      <c r="F46" s="1386">
        <f>SUM(F40:F45)</f>
        <v>416.99712</v>
      </c>
      <c r="G46" s="1257"/>
      <c r="H46" s="1257">
        <f>SUM(H40:H45)</f>
        <v>257.59203000000002</v>
      </c>
      <c r="I46" s="1268">
        <f>((F46/H46)*100)-100</f>
        <v>61.882772537644087</v>
      </c>
    </row>
    <row r="47" spans="2:11" x14ac:dyDescent="0.25">
      <c r="H47" s="1" t="str">
        <f>+'CIF Y PV'!$G$1</f>
        <v>MAYO</v>
      </c>
      <c r="J47" s="1"/>
    </row>
    <row r="48" spans="2:11" x14ac:dyDescent="0.25">
      <c r="B48" s="1750" t="s">
        <v>210</v>
      </c>
      <c r="C48" s="1750"/>
      <c r="E48" s="881"/>
      <c r="F48" s="881"/>
      <c r="G48" s="881"/>
      <c r="H48" s="881">
        <f>+F46+G25</f>
        <v>2544.0278625928372</v>
      </c>
      <c r="I48" s="181"/>
      <c r="J48" s="881"/>
      <c r="K48" s="181"/>
    </row>
    <row r="49" spans="2:11" x14ac:dyDescent="0.25">
      <c r="B49" s="1758" t="s">
        <v>48</v>
      </c>
      <c r="C49" s="1759"/>
      <c r="E49" s="881"/>
      <c r="F49" s="881"/>
      <c r="G49" s="881"/>
      <c r="H49" s="881">
        <f>+('CIF Y PV'!C3/1000)*220</f>
        <v>415.79999999999995</v>
      </c>
      <c r="I49" s="182"/>
      <c r="J49" s="881"/>
      <c r="K49" s="182"/>
    </row>
    <row r="50" spans="2:11" x14ac:dyDescent="0.25">
      <c r="B50" s="1758" t="s">
        <v>132</v>
      </c>
      <c r="C50" s="1759"/>
      <c r="E50" s="881"/>
      <c r="F50" s="881"/>
      <c r="G50" s="881"/>
      <c r="H50" s="881">
        <f>+H49+H48</f>
        <v>2959.8278625928369</v>
      </c>
      <c r="I50" s="152"/>
      <c r="J50" s="881"/>
      <c r="K50" s="152"/>
    </row>
    <row r="51" spans="2:11" x14ac:dyDescent="0.25">
      <c r="B51" s="1750" t="s">
        <v>49</v>
      </c>
      <c r="C51" s="1750"/>
      <c r="E51" s="881"/>
      <c r="F51" s="881"/>
      <c r="G51" s="881"/>
      <c r="H51" s="881">
        <f>'CIF Y PV'!C90</f>
        <v>7293</v>
      </c>
      <c r="J51" s="881"/>
      <c r="K51" s="339"/>
    </row>
    <row r="52" spans="2:11" x14ac:dyDescent="0.25">
      <c r="B52" s="1750" t="s">
        <v>805</v>
      </c>
      <c r="C52" s="1750"/>
      <c r="E52" s="881"/>
      <c r="F52" s="881"/>
      <c r="G52" s="881"/>
      <c r="H52" s="928">
        <f>+(H51-H50)/H51</f>
        <v>0.59415496193708528</v>
      </c>
      <c r="I52" s="137"/>
      <c r="K52" s="137"/>
    </row>
    <row r="55" spans="2:11" x14ac:dyDescent="0.25">
      <c r="F55" s="107" t="s">
        <v>85</v>
      </c>
    </row>
  </sheetData>
  <mergeCells count="9">
    <mergeCell ref="B50:C50"/>
    <mergeCell ref="B51:C51"/>
    <mergeCell ref="B52:C52"/>
    <mergeCell ref="B2:I2"/>
    <mergeCell ref="B25:C25"/>
    <mergeCell ref="B27:C27"/>
    <mergeCell ref="B38:I38"/>
    <mergeCell ref="B48:C48"/>
    <mergeCell ref="B49:C49"/>
  </mergeCells>
  <pageMargins left="0.7" right="0.7" top="0.75" bottom="0.75" header="0.3" footer="0.3"/>
  <pageSetup scale="42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FA4F-10CE-46F3-A93F-8590F49150DC}">
  <sheetPr codeName="Hoja34">
    <tabColor theme="6"/>
  </sheetPr>
  <dimension ref="A2:M52"/>
  <sheetViews>
    <sheetView view="pageBreakPreview" topLeftCell="A5" zoomScale="80" zoomScaleNormal="100" zoomScaleSheetLayoutView="80" workbookViewId="0">
      <selection activeCell="C19" sqref="C19"/>
    </sheetView>
  </sheetViews>
  <sheetFormatPr baseColWidth="10" defaultColWidth="11.5703125" defaultRowHeight="13.5" x14ac:dyDescent="0.25"/>
  <cols>
    <col min="1" max="1" width="8.7109375" style="1" customWidth="1"/>
    <col min="2" max="2" width="11.5703125" style="1"/>
    <col min="3" max="3" width="67.42578125" style="1" bestFit="1" customWidth="1"/>
    <col min="4" max="5" width="11.5703125" style="1"/>
    <col min="6" max="6" width="12.85546875" style="107" bestFit="1" customWidth="1"/>
    <col min="7" max="7" width="13.85546875" style="1" customWidth="1"/>
    <col min="8" max="8" width="12.5703125" style="1" bestFit="1" customWidth="1"/>
    <col min="9" max="9" width="14.42578125" style="1" bestFit="1" customWidth="1"/>
    <col min="10" max="10" width="13.42578125" style="1" bestFit="1" customWidth="1"/>
    <col min="11" max="16384" width="11.5703125" style="1"/>
  </cols>
  <sheetData>
    <row r="2" spans="1:13" s="42" customFormat="1" ht="26.25" customHeight="1" x14ac:dyDescent="0.25">
      <c r="B2" s="1743" t="s">
        <v>206</v>
      </c>
      <c r="C2" s="1743"/>
      <c r="D2" s="1743"/>
      <c r="E2" s="1743"/>
      <c r="F2" s="1743"/>
      <c r="G2" s="1743"/>
      <c r="H2" s="1743"/>
      <c r="I2" s="1743"/>
      <c r="J2" s="89"/>
      <c r="K2" s="89"/>
      <c r="L2" s="89"/>
      <c r="M2" s="89"/>
    </row>
    <row r="4" spans="1:13" s="180" customFormat="1" ht="26.25" customHeight="1" x14ac:dyDescent="0.25">
      <c r="B4" s="1242" t="s">
        <v>0</v>
      </c>
      <c r="C4" s="1242" t="s">
        <v>1</v>
      </c>
      <c r="D4" s="1242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4" t="s">
        <v>3</v>
      </c>
      <c r="K4" s="1388">
        <f>+D27/1000</f>
        <v>0.44</v>
      </c>
    </row>
    <row r="5" spans="1:13" s="42" customFormat="1" ht="16.5" x14ac:dyDescent="0.25">
      <c r="A5" s="1"/>
      <c r="B5" s="4">
        <f>VLOOKUP(C5,[1]Hoja1!$B$2:$C$260,2,FALSE)</f>
        <v>1122002</v>
      </c>
      <c r="C5" s="70" t="s">
        <v>242</v>
      </c>
      <c r="D5" s="869">
        <v>9.2971999999999999E-2</v>
      </c>
      <c r="E5" s="495">
        <v>21.13</v>
      </c>
      <c r="F5" s="879">
        <f>VLOOKUP(B5,[2]Hoja1!$C$2:$E$279,3,FALSE)</f>
        <v>12500</v>
      </c>
      <c r="G5" s="72">
        <f>F5*D5</f>
        <v>1162.1500000000001</v>
      </c>
      <c r="H5" s="879">
        <v>15000</v>
      </c>
      <c r="I5" s="73">
        <f>H5*D5</f>
        <v>1394.58</v>
      </c>
      <c r="J5" s="566">
        <f>((F5/H5)*100)-100</f>
        <v>-16.666666666666657</v>
      </c>
      <c r="K5" s="336">
        <f>$K$4*E5%</f>
        <v>9.2971999999999999E-2</v>
      </c>
    </row>
    <row r="6" spans="1:13" s="42" customFormat="1" ht="16.5" x14ac:dyDescent="0.25">
      <c r="A6" s="1"/>
      <c r="B6" s="4">
        <f>VLOOKUP(C6,[1]Hoja1!$B$2:$C$260,2,FALSE)</f>
        <v>1122001</v>
      </c>
      <c r="C6" s="70" t="s">
        <v>1030</v>
      </c>
      <c r="D6" s="543">
        <v>0.15122799999999997</v>
      </c>
      <c r="E6" s="72">
        <v>34.369999999999997</v>
      </c>
      <c r="F6" s="879">
        <f>VLOOKUP(B6,[2]Hoja1!$C$2:$E$279,3,FALSE)</f>
        <v>11506.13</v>
      </c>
      <c r="G6" s="72">
        <f t="shared" ref="G6:G24" si="0">F6*D6</f>
        <v>1740.0490276399996</v>
      </c>
      <c r="H6" s="38">
        <v>14000</v>
      </c>
      <c r="I6" s="73">
        <f t="shared" ref="I6:I24" si="1">H6*D6</f>
        <v>2117.1919999999996</v>
      </c>
      <c r="J6" s="560">
        <f t="shared" ref="J6:J23" si="2">((F6/H6)*100)-100</f>
        <v>-17.813357142857143</v>
      </c>
      <c r="K6" s="336">
        <f t="shared" ref="K6:K24" si="3">$K$4*E6%</f>
        <v>0.15122799999999997</v>
      </c>
    </row>
    <row r="7" spans="1:13" s="42" customFormat="1" ht="16.5" x14ac:dyDescent="0.25">
      <c r="A7" s="1"/>
      <c r="B7" s="4">
        <v>1131001</v>
      </c>
      <c r="C7" s="70" t="s">
        <v>1163</v>
      </c>
      <c r="D7" s="543">
        <v>3.4759999999999999E-2</v>
      </c>
      <c r="E7" s="72">
        <v>7.9</v>
      </c>
      <c r="F7" s="879">
        <f>VLOOKUP(B7,[2]Hoja1!$C$2:$E$279,3,FALSE)</f>
        <v>386.9</v>
      </c>
      <c r="G7" s="72">
        <f t="shared" si="0"/>
        <v>13.448643999999998</v>
      </c>
      <c r="H7" s="72">
        <v>365</v>
      </c>
      <c r="I7" s="73">
        <f t="shared" si="1"/>
        <v>12.6874</v>
      </c>
      <c r="J7" s="560">
        <f t="shared" si="2"/>
        <v>5.9999999999999858</v>
      </c>
      <c r="K7" s="336">
        <f t="shared" si="3"/>
        <v>3.4759999999999999E-2</v>
      </c>
    </row>
    <row r="8" spans="1:13" s="42" customFormat="1" ht="16.5" x14ac:dyDescent="0.25">
      <c r="A8" s="1"/>
      <c r="B8" s="4">
        <f>VLOOKUP(C8,[1]Hoja1!$B$2:$C$260,2,FALSE)</f>
        <v>1131002</v>
      </c>
      <c r="C8" s="70" t="s">
        <v>663</v>
      </c>
      <c r="D8" s="543">
        <v>0.10854800000000002</v>
      </c>
      <c r="E8" s="72">
        <v>24.67</v>
      </c>
      <c r="F8" s="879">
        <f>VLOOKUP(B8,[2]Hoja1!$C$2:$E$279,3,FALSE)</f>
        <v>0</v>
      </c>
      <c r="G8" s="72">
        <f t="shared" si="0"/>
        <v>0</v>
      </c>
      <c r="H8" s="896">
        <v>0</v>
      </c>
      <c r="I8" s="73">
        <f t="shared" si="1"/>
        <v>0</v>
      </c>
      <c r="J8" s="560" t="e">
        <f t="shared" si="2"/>
        <v>#DIV/0!</v>
      </c>
      <c r="K8" s="336">
        <f t="shared" si="3"/>
        <v>0.10854800000000002</v>
      </c>
    </row>
    <row r="9" spans="1:13" s="42" customFormat="1" ht="16.5" x14ac:dyDescent="0.25">
      <c r="A9" s="1"/>
      <c r="B9" s="4">
        <f>VLOOKUP(C9,[1]Hoja1!$B$2:$C$260,2,FALSE)</f>
        <v>1260022</v>
      </c>
      <c r="C9" s="70" t="s">
        <v>974</v>
      </c>
      <c r="D9" s="543">
        <v>4.3491588139999999E-3</v>
      </c>
      <c r="E9" s="72">
        <v>0.988445185</v>
      </c>
      <c r="F9" s="879">
        <f>VLOOKUP(B9,[2]Hoja1!$C$2:$E$279,3,FALSE)</f>
        <v>22988.01</v>
      </c>
      <c r="G9" s="72">
        <f t="shared" si="0"/>
        <v>99.978506307820126</v>
      </c>
      <c r="H9" s="95">
        <v>27066.49</v>
      </c>
      <c r="I9" s="73">
        <f t="shared" si="1"/>
        <v>117.71646354754286</v>
      </c>
      <c r="J9" s="560">
        <f t="shared" si="2"/>
        <v>-15.068374214757824</v>
      </c>
      <c r="K9" s="336">
        <f t="shared" si="3"/>
        <v>4.3491588139999999E-3</v>
      </c>
    </row>
    <row r="10" spans="1:13" s="42" customFormat="1" ht="16.5" x14ac:dyDescent="0.25">
      <c r="A10" s="1"/>
      <c r="B10" s="4">
        <f>VLOOKUP(C10,[1]Hoja1!$B$2:$C$260,2,FALSE)</f>
        <v>1250009</v>
      </c>
      <c r="C10" s="70" t="s">
        <v>1279</v>
      </c>
      <c r="D10" s="543">
        <v>1.3047476640000002E-4</v>
      </c>
      <c r="E10" s="72">
        <v>2.9653355999999999E-2</v>
      </c>
      <c r="F10" s="879">
        <f>VLOOKUP(B10,[2]Hoja1!$C$2:$E$279,3,FALSE)</f>
        <v>83551.55</v>
      </c>
      <c r="G10" s="72">
        <f t="shared" si="0"/>
        <v>10.901368968607922</v>
      </c>
      <c r="H10" s="237">
        <v>71910.02</v>
      </c>
      <c r="I10" s="73">
        <f t="shared" si="1"/>
        <v>9.3824430613193304</v>
      </c>
      <c r="J10" s="560">
        <f t="shared" si="2"/>
        <v>16.18902344902699</v>
      </c>
      <c r="K10" s="336">
        <f t="shared" si="3"/>
        <v>1.3047476640000002E-4</v>
      </c>
    </row>
    <row r="11" spans="1:13" s="42" customFormat="1" ht="16.5" x14ac:dyDescent="0.25">
      <c r="A11" s="1"/>
      <c r="B11" s="4">
        <f>VLOOKUP(C11,[1]Hoja1!$B$2:$C$260,2,FALSE)</f>
        <v>1210005</v>
      </c>
      <c r="C11" s="70" t="s">
        <v>1155</v>
      </c>
      <c r="D11" s="867">
        <v>4.2447790044000001E-3</v>
      </c>
      <c r="E11" s="72">
        <v>0.96472250100000001</v>
      </c>
      <c r="F11" s="879">
        <f>VLOOKUP(B11,[2]Hoja1!$C$2:$E$279,3,FALSE)</f>
        <v>1356</v>
      </c>
      <c r="G11" s="72">
        <f t="shared" si="0"/>
        <v>5.7559203299663997</v>
      </c>
      <c r="H11" s="880">
        <v>1360</v>
      </c>
      <c r="I11" s="73">
        <f t="shared" si="1"/>
        <v>5.7728994459839997</v>
      </c>
      <c r="J11" s="560">
        <f t="shared" si="2"/>
        <v>-0.29411764705882604</v>
      </c>
      <c r="K11" s="336">
        <f t="shared" si="3"/>
        <v>4.2447790044000001E-3</v>
      </c>
    </row>
    <row r="12" spans="1:13" s="42" customFormat="1" ht="16.5" x14ac:dyDescent="0.25">
      <c r="A12" s="1"/>
      <c r="B12" s="4">
        <f>VLOOKUP(C12,[1]Hoja1!$B$2:$C$260,2,FALSE)</f>
        <v>1210004</v>
      </c>
      <c r="C12" s="70" t="s">
        <v>1131</v>
      </c>
      <c r="D12" s="543">
        <v>3.73979496E-4</v>
      </c>
      <c r="E12" s="72">
        <v>8.4995340000000003E-2</v>
      </c>
      <c r="F12" s="879">
        <f>VLOOKUP(B12,[2]Hoja1!$C$2:$E$279,3,FALSE)</f>
        <v>3841</v>
      </c>
      <c r="G12" s="72">
        <f t="shared" si="0"/>
        <v>1.4364552441359999</v>
      </c>
      <c r="H12" s="914">
        <v>3508.01</v>
      </c>
      <c r="I12" s="73">
        <f t="shared" si="1"/>
        <v>1.3119238117629601</v>
      </c>
      <c r="J12" s="560">
        <f t="shared" si="2"/>
        <v>9.4922762477871885</v>
      </c>
      <c r="K12" s="336">
        <f t="shared" si="3"/>
        <v>3.73979496E-4</v>
      </c>
    </row>
    <row r="13" spans="1:13" s="42" customFormat="1" ht="16.5" x14ac:dyDescent="0.25">
      <c r="A13" s="1"/>
      <c r="B13" s="4">
        <f>VLOOKUP(C13,[1]Hoja1!$B$2:$C$260,2,FALSE)</f>
        <v>121007</v>
      </c>
      <c r="C13" s="70" t="s">
        <v>821</v>
      </c>
      <c r="D13" s="867">
        <v>2.1559999999999999E-3</v>
      </c>
      <c r="E13" s="72">
        <v>0.49</v>
      </c>
      <c r="F13" s="879">
        <f>VLOOKUP(B13,[2]Hoja1!$C$2:$E$279,3,FALSE)</f>
        <v>16905</v>
      </c>
      <c r="G13" s="72">
        <f t="shared" si="0"/>
        <v>36.447179999999996</v>
      </c>
      <c r="H13" s="880">
        <v>16100</v>
      </c>
      <c r="I13" s="73">
        <f t="shared" si="1"/>
        <v>34.711599999999997</v>
      </c>
      <c r="J13" s="560">
        <f t="shared" si="2"/>
        <v>5</v>
      </c>
      <c r="K13" s="336">
        <f t="shared" si="3"/>
        <v>2.1559999999999999E-3</v>
      </c>
    </row>
    <row r="14" spans="1:13" s="42" customFormat="1" ht="16.5" x14ac:dyDescent="0.25">
      <c r="A14" s="1"/>
      <c r="B14" s="4">
        <f>VLOOKUP(C14,[1]Hoja1!$B$2:$C$260,2,FALSE)</f>
        <v>1210003</v>
      </c>
      <c r="C14" s="70" t="s">
        <v>1143</v>
      </c>
      <c r="D14" s="543">
        <v>2.1745793960000002E-4</v>
      </c>
      <c r="E14" s="72">
        <v>4.9422259000000003E-2</v>
      </c>
      <c r="F14" s="879">
        <f>VLOOKUP(B14,[2]Hoja1!$C$2:$E$279,3,FALSE)</f>
        <v>16235.45</v>
      </c>
      <c r="G14" s="72">
        <f t="shared" si="0"/>
        <v>3.5305275054788203</v>
      </c>
      <c r="H14" s="914">
        <v>12852.58</v>
      </c>
      <c r="I14" s="73">
        <f t="shared" si="1"/>
        <v>2.7948955653441683</v>
      </c>
      <c r="J14" s="560">
        <f t="shared" si="2"/>
        <v>26.320551982559152</v>
      </c>
      <c r="K14" s="336">
        <f t="shared" si="3"/>
        <v>2.1745793960000002E-4</v>
      </c>
    </row>
    <row r="15" spans="1:13" s="42" customFormat="1" ht="16.5" x14ac:dyDescent="0.25">
      <c r="A15" s="1"/>
      <c r="B15" s="4">
        <v>1240007</v>
      </c>
      <c r="C15" s="70" t="s">
        <v>1352</v>
      </c>
      <c r="D15" s="543">
        <v>2.2000000000000001E-3</v>
      </c>
      <c r="E15" s="72">
        <v>0.5</v>
      </c>
      <c r="F15" s="879">
        <f>VLOOKUP(B15,[2]Hoja1!$C$2:$E$279,3,FALSE)</f>
        <v>25921.42</v>
      </c>
      <c r="G15" s="72">
        <f t="shared" si="0"/>
        <v>57.027124000000001</v>
      </c>
      <c r="H15" s="914">
        <v>47900</v>
      </c>
      <c r="I15" s="73">
        <f t="shared" si="1"/>
        <v>105.38000000000001</v>
      </c>
      <c r="J15" s="560">
        <f t="shared" si="2"/>
        <v>-45.884300626304807</v>
      </c>
      <c r="K15" s="336">
        <f t="shared" si="3"/>
        <v>2.2000000000000001E-3</v>
      </c>
    </row>
    <row r="16" spans="1:13" s="42" customFormat="1" ht="16.5" x14ac:dyDescent="0.25">
      <c r="A16" s="1"/>
      <c r="B16" s="4">
        <f>VLOOKUP(C16,[1]Hoja1!$B$2:$C$260,2,FALSE)</f>
        <v>1230008</v>
      </c>
      <c r="C16" s="70" t="s">
        <v>1183</v>
      </c>
      <c r="D16" s="543">
        <v>3.3053607004E-3</v>
      </c>
      <c r="E16" s="72">
        <v>0.75121834099999996</v>
      </c>
      <c r="F16" s="879">
        <f>VLOOKUP(B16,[2]Hoja1!$C$2:$E$279,3,FALSE)</f>
        <v>26735</v>
      </c>
      <c r="G16" s="72">
        <f t="shared" si="0"/>
        <v>88.368818325193999</v>
      </c>
      <c r="H16" s="25">
        <v>25396</v>
      </c>
      <c r="I16" s="73">
        <f t="shared" si="1"/>
        <v>83.942940347358402</v>
      </c>
      <c r="J16" s="560">
        <f t="shared" si="2"/>
        <v>5.2724838557253122</v>
      </c>
      <c r="K16" s="336">
        <f t="shared" si="3"/>
        <v>3.3053607004E-3</v>
      </c>
    </row>
    <row r="17" spans="1:11" s="42" customFormat="1" ht="16.5" x14ac:dyDescent="0.25">
      <c r="A17" s="1"/>
      <c r="B17" s="4">
        <f>VLOOKUP(C17,[1]Hoja1!$B$2:$C$260,2,FALSE)</f>
        <v>1230010</v>
      </c>
      <c r="C17" s="70" t="s">
        <v>1164</v>
      </c>
      <c r="D17" s="543">
        <v>1.7657584780000001E-3</v>
      </c>
      <c r="E17" s="72">
        <v>0.40130874500000002</v>
      </c>
      <c r="F17" s="879">
        <f>VLOOKUP(B17,[2]Hoja1!$C$2:$E$279,3,FALSE)</f>
        <v>53831</v>
      </c>
      <c r="G17" s="72">
        <f t="shared" si="0"/>
        <v>95.052544629218005</v>
      </c>
      <c r="H17" s="25">
        <v>50310</v>
      </c>
      <c r="I17" s="73">
        <f t="shared" si="1"/>
        <v>88.835309028180006</v>
      </c>
      <c r="J17" s="560">
        <f t="shared" si="2"/>
        <v>6.9986086265156047</v>
      </c>
      <c r="K17" s="336">
        <f t="shared" si="3"/>
        <v>1.7657584780000001E-3</v>
      </c>
    </row>
    <row r="18" spans="1:11" s="42" customFormat="1" ht="16.5" x14ac:dyDescent="0.25">
      <c r="A18" s="1"/>
      <c r="B18" s="4">
        <f>VLOOKUP(C18,[1]Hoja1!$B$2:$C$260,2,FALSE)</f>
        <v>1220010</v>
      </c>
      <c r="C18" s="70" t="s">
        <v>1144</v>
      </c>
      <c r="D18" s="543">
        <v>2.1559999999999999E-3</v>
      </c>
      <c r="E18" s="72">
        <v>0.49</v>
      </c>
      <c r="F18" s="879">
        <f>VLOOKUP(B18,[2]Hoja1!$C$2:$E$279,3,FALSE)</f>
        <v>4744.72</v>
      </c>
      <c r="G18" s="72">
        <f t="shared" si="0"/>
        <v>10.22961632</v>
      </c>
      <c r="H18" s="866">
        <v>9381</v>
      </c>
      <c r="I18" s="73">
        <f t="shared" si="1"/>
        <v>20.225435999999998</v>
      </c>
      <c r="J18" s="560">
        <f t="shared" si="2"/>
        <v>-49.42202323846071</v>
      </c>
      <c r="K18" s="336">
        <f t="shared" si="3"/>
        <v>2.1559999999999999E-3</v>
      </c>
    </row>
    <row r="19" spans="1:11" s="42" customFormat="1" ht="16.5" x14ac:dyDescent="0.25">
      <c r="A19" s="1"/>
      <c r="B19" s="4">
        <f>VLOOKUP(C19,[1]Hoja1!$B$2:$C$260,2,FALSE)</f>
        <v>1270009</v>
      </c>
      <c r="C19" s="70" t="s">
        <v>1225</v>
      </c>
      <c r="D19" s="867">
        <v>2.6094952839999998E-4</v>
      </c>
      <c r="E19" s="72">
        <v>5.9306710999999998E-2</v>
      </c>
      <c r="F19" s="879">
        <f>VLOOKUP(B19,[2]Hoja1!$C$2:$E$279,3,FALSE)</f>
        <v>57046.53</v>
      </c>
      <c r="G19" s="72">
        <f t="shared" si="0"/>
        <v>14.88626510035645</v>
      </c>
      <c r="H19" s="866">
        <v>53849.37</v>
      </c>
      <c r="I19" s="73">
        <f t="shared" si="1"/>
        <v>14.051967706137107</v>
      </c>
      <c r="J19" s="560">
        <f t="shared" si="2"/>
        <v>5.937228234982129</v>
      </c>
      <c r="K19" s="336">
        <f t="shared" si="3"/>
        <v>2.6094952839999998E-4</v>
      </c>
    </row>
    <row r="20" spans="1:11" s="42" customFormat="1" ht="16.5" x14ac:dyDescent="0.25">
      <c r="A20" s="1"/>
      <c r="B20" s="4">
        <f>VLOOKUP(C20,[1]Hoja1!$B$2:$C$260,2,FALSE)</f>
        <v>1260014</v>
      </c>
      <c r="C20" s="70" t="s">
        <v>825</v>
      </c>
      <c r="D20" s="867">
        <v>4.3491588139999999E-3</v>
      </c>
      <c r="E20" s="72">
        <v>0.988445185</v>
      </c>
      <c r="F20" s="879">
        <f>VLOOKUP(B20,[2]Hoja1!$C$2:$E$279,3,FALSE)</f>
        <v>28083.42</v>
      </c>
      <c r="G20" s="72">
        <f t="shared" si="0"/>
        <v>122.13925362026387</v>
      </c>
      <c r="H20" s="866">
        <v>40834.379999999997</v>
      </c>
      <c r="I20" s="73">
        <f t="shared" si="1"/>
        <v>177.59520369122529</v>
      </c>
      <c r="J20" s="560">
        <f t="shared" si="2"/>
        <v>-31.226040410066219</v>
      </c>
      <c r="K20" s="336">
        <f t="shared" si="3"/>
        <v>4.3491588139999999E-3</v>
      </c>
    </row>
    <row r="21" spans="1:11" s="42" customFormat="1" ht="16.5" x14ac:dyDescent="0.25">
      <c r="A21" s="1"/>
      <c r="B21" s="4">
        <f>VLOOKUP(C21,[1]Hoja1!$B$2:$C$260,2,FALSE)</f>
        <v>1260009</v>
      </c>
      <c r="C21" s="70" t="s">
        <v>1027</v>
      </c>
      <c r="D21" s="543">
        <v>1.3024000000000001E-2</v>
      </c>
      <c r="E21" s="72">
        <v>2.96</v>
      </c>
      <c r="F21" s="879">
        <f>VLOOKUP(B21,[2]Hoja1!$C$2:$E$279,3,FALSE)</f>
        <v>7033.69</v>
      </c>
      <c r="G21" s="72">
        <f t="shared" si="0"/>
        <v>91.606778559999995</v>
      </c>
      <c r="H21" s="880">
        <v>9565.2099999999991</v>
      </c>
      <c r="I21" s="73">
        <f t="shared" si="1"/>
        <v>124.57729504</v>
      </c>
      <c r="J21" s="560">
        <f t="shared" si="2"/>
        <v>-26.465911360022403</v>
      </c>
      <c r="K21" s="336">
        <f t="shared" si="3"/>
        <v>1.3024000000000001E-2</v>
      </c>
    </row>
    <row r="22" spans="1:11" s="42" customFormat="1" ht="16.5" x14ac:dyDescent="0.25">
      <c r="A22" s="1"/>
      <c r="B22" s="4">
        <f>VLOOKUP(C22,[1]Hoja1!$B$2:$C$260,2,FALSE)</f>
        <v>1260011</v>
      </c>
      <c r="C22" s="70" t="s">
        <v>739</v>
      </c>
      <c r="D22" s="543">
        <v>8.8200940784000006E-3</v>
      </c>
      <c r="E22" s="72">
        <v>2.004566836</v>
      </c>
      <c r="F22" s="879">
        <f>VLOOKUP(B22,[2]Hoja1!$C$2:$E$279,3,FALSE)</f>
        <v>4450.01</v>
      </c>
      <c r="G22" s="72">
        <f t="shared" si="0"/>
        <v>39.24950684982079</v>
      </c>
      <c r="H22" s="95">
        <v>5752.34</v>
      </c>
      <c r="I22" s="73">
        <f t="shared" si="1"/>
        <v>50.736179970943461</v>
      </c>
      <c r="J22" s="560">
        <f t="shared" si="2"/>
        <v>-22.640003894067448</v>
      </c>
      <c r="K22" s="336">
        <f t="shared" si="3"/>
        <v>8.8200940784000006E-3</v>
      </c>
    </row>
    <row r="23" spans="1:11" s="42" customFormat="1" ht="16.5" x14ac:dyDescent="0.25">
      <c r="A23" s="1"/>
      <c r="B23" s="4">
        <f>VLOOKUP(C23,[1]Hoja1!$B$2:$C$260,2,FALSE)</f>
        <v>1260005</v>
      </c>
      <c r="C23" s="70" t="s">
        <v>811</v>
      </c>
      <c r="D23" s="543">
        <v>4.3491588139999999E-3</v>
      </c>
      <c r="E23" s="72">
        <v>0.988445185</v>
      </c>
      <c r="F23" s="879">
        <f>VLOOKUP(B23,[2]Hoja1!$C$2:$E$279,3,FALSE)</f>
        <v>26429</v>
      </c>
      <c r="G23" s="72">
        <f t="shared" si="0"/>
        <v>114.943918295206</v>
      </c>
      <c r="H23" s="95">
        <v>25850</v>
      </c>
      <c r="I23" s="73">
        <f t="shared" si="1"/>
        <v>112.4257553419</v>
      </c>
      <c r="J23" s="560">
        <f t="shared" si="2"/>
        <v>2.2398452611218715</v>
      </c>
      <c r="K23" s="336">
        <f t="shared" si="3"/>
        <v>4.3491588139999999E-3</v>
      </c>
    </row>
    <row r="24" spans="1:11" s="42" customFormat="1" ht="16.5" x14ac:dyDescent="0.25">
      <c r="A24" s="1"/>
      <c r="B24" s="4">
        <f>VLOOKUP(C24,[1]Hoja1!$B$2:$C$260,2,FALSE)</f>
        <v>1260023</v>
      </c>
      <c r="C24" s="1513" t="s">
        <v>1213</v>
      </c>
      <c r="D24" s="543">
        <v>1.32E-3</v>
      </c>
      <c r="E24" s="72">
        <v>0.3</v>
      </c>
      <c r="F24" s="879">
        <f>VLOOKUP(B24,[2]Hoja1!$C$2:$E$279,3,FALSE)</f>
        <v>121308.46</v>
      </c>
      <c r="G24" s="72">
        <f t="shared" si="0"/>
        <v>160.1271672</v>
      </c>
      <c r="H24" s="95">
        <v>134302.01999999999</v>
      </c>
      <c r="I24" s="73">
        <f t="shared" si="1"/>
        <v>177.27866639999999</v>
      </c>
      <c r="J24" s="560"/>
      <c r="K24" s="336">
        <f t="shared" si="3"/>
        <v>1.32E-3</v>
      </c>
    </row>
    <row r="25" spans="1:11" s="42" customFormat="1" ht="16.5" x14ac:dyDescent="0.25">
      <c r="B25" s="1777"/>
      <c r="C25" s="1778"/>
      <c r="D25" s="1381">
        <f>SUM(D5:D23)</f>
        <v>0.43921033043359992</v>
      </c>
      <c r="E25" s="1382">
        <f>SUM(E5:E24)</f>
        <v>100.12052964399997</v>
      </c>
      <c r="F25" s="1354"/>
      <c r="G25" s="1382">
        <f>SUM(G5:G24)</f>
        <v>3867.3286228960683</v>
      </c>
      <c r="H25" s="1383"/>
      <c r="I25" s="1354">
        <f>SUM(I5:I24)</f>
        <v>4651.1983789576961</v>
      </c>
      <c r="J25" s="1384">
        <f>((G25/I25)*100)-100</f>
        <v>-16.853070804459819</v>
      </c>
      <c r="K25" s="1337"/>
    </row>
    <row r="26" spans="1:11" x14ac:dyDescent="0.25">
      <c r="J26" s="873"/>
    </row>
    <row r="27" spans="1:11" ht="25.5" x14ac:dyDescent="0.35">
      <c r="B27" s="1760" t="s">
        <v>50</v>
      </c>
      <c r="C27" s="1754"/>
      <c r="D27" s="38">
        <f>+C30+(C30*C36%)</f>
        <v>440</v>
      </c>
      <c r="E27" s="91"/>
      <c r="F27" s="186"/>
      <c r="G27" s="91"/>
      <c r="H27" s="91"/>
      <c r="I27" s="91"/>
    </row>
    <row r="28" spans="1:11" ht="16.5" x14ac:dyDescent="0.3">
      <c r="B28" s="1389" t="s">
        <v>38</v>
      </c>
      <c r="C28" s="1115" t="s">
        <v>113</v>
      </c>
      <c r="D28" s="38"/>
      <c r="H28" s="38"/>
    </row>
    <row r="29" spans="1:11" ht="16.5" x14ac:dyDescent="0.3">
      <c r="B29" s="1390" t="s">
        <v>39</v>
      </c>
      <c r="C29" s="997" t="s">
        <v>114</v>
      </c>
      <c r="D29" s="38"/>
      <c r="H29" s="38"/>
    </row>
    <row r="30" spans="1:11" ht="16.5" x14ac:dyDescent="0.3">
      <c r="B30" s="1390" t="s">
        <v>40</v>
      </c>
      <c r="C30" s="997">
        <v>400</v>
      </c>
      <c r="D30" s="38"/>
      <c r="H30" s="38"/>
    </row>
    <row r="31" spans="1:11" ht="16.5" x14ac:dyDescent="0.3">
      <c r="B31" s="1390" t="s">
        <v>41</v>
      </c>
      <c r="C31" s="997">
        <v>0</v>
      </c>
      <c r="D31" s="38"/>
      <c r="H31" s="38"/>
    </row>
    <row r="32" spans="1:11" ht="16.5" x14ac:dyDescent="0.3">
      <c r="B32" s="1390" t="s">
        <v>42</v>
      </c>
      <c r="C32" s="997">
        <v>0.5</v>
      </c>
      <c r="D32" s="38"/>
      <c r="H32" s="38"/>
    </row>
    <row r="33" spans="2:11" ht="16.5" x14ac:dyDescent="0.3">
      <c r="B33" s="1390" t="s">
        <v>43</v>
      </c>
      <c r="C33" s="997">
        <v>0.5</v>
      </c>
      <c r="D33" s="38"/>
      <c r="H33" s="38"/>
    </row>
    <row r="34" spans="2:11" ht="16.5" x14ac:dyDescent="0.3">
      <c r="B34" s="1390" t="s">
        <v>44</v>
      </c>
      <c r="C34" s="997">
        <v>7</v>
      </c>
      <c r="D34" s="38"/>
      <c r="H34" s="38"/>
    </row>
    <row r="35" spans="2:11" ht="16.5" x14ac:dyDescent="0.3">
      <c r="B35" s="1390" t="s">
        <v>45</v>
      </c>
      <c r="C35" s="997">
        <v>2</v>
      </c>
      <c r="D35" s="38"/>
      <c r="H35" s="38"/>
    </row>
    <row r="36" spans="2:11" ht="16.5" x14ac:dyDescent="0.3">
      <c r="B36" s="1390" t="s">
        <v>46</v>
      </c>
      <c r="C36" s="997">
        <f>C35+C34+C33+C32</f>
        <v>10</v>
      </c>
      <c r="D36" s="38"/>
      <c r="H36" s="38"/>
    </row>
    <row r="38" spans="2:11" ht="25.5" x14ac:dyDescent="0.35">
      <c r="B38" s="1805" t="s">
        <v>47</v>
      </c>
      <c r="C38" s="1806"/>
      <c r="D38" s="1806"/>
      <c r="E38" s="1806"/>
      <c r="F38" s="1806"/>
      <c r="G38" s="1806"/>
      <c r="H38" s="1806"/>
      <c r="I38" s="1806"/>
    </row>
    <row r="39" spans="2:11" ht="25.5" x14ac:dyDescent="0.25">
      <c r="B39" s="1256" t="s">
        <v>0</v>
      </c>
      <c r="C39" s="1256" t="s">
        <v>1</v>
      </c>
      <c r="D39" s="1318" t="s">
        <v>2</v>
      </c>
      <c r="E39" s="1243" t="str">
        <f>+'CIF Y PV'!$F$4</f>
        <v xml:space="preserve">JUN-COP/UMB </v>
      </c>
      <c r="F39" s="1243" t="str">
        <f>+'CIF Y PV'!$G$4</f>
        <v>JUN-COP/APP</v>
      </c>
      <c r="G39" s="1243" t="str">
        <f>+'CIF Y PV'!$H$4</f>
        <v xml:space="preserve">MAY-COP/UMB </v>
      </c>
      <c r="H39" s="1243" t="str">
        <f>+'CIF Y PV'!$I$4</f>
        <v>MAY-COP/APP</v>
      </c>
      <c r="I39" s="1326" t="s">
        <v>3</v>
      </c>
      <c r="J39" s="38">
        <v>1155</v>
      </c>
    </row>
    <row r="40" spans="2:11" ht="16.5" x14ac:dyDescent="0.3">
      <c r="B40" s="563">
        <f>VLOOKUP(C40,[1]Hoja1!$B$2:$C$260,2,FALSE)</f>
        <v>1370002</v>
      </c>
      <c r="C40" s="563" t="s">
        <v>1165</v>
      </c>
      <c r="D40" s="1001">
        <v>4.2999999999999997E-2</v>
      </c>
      <c r="E40" s="1031">
        <f>VLOOKUP(B40,[2]Hoja1!$C$2:$E$279,3,FALSE)</f>
        <v>5325.93</v>
      </c>
      <c r="F40" s="582">
        <f>E40*D40</f>
        <v>229.01498999999998</v>
      </c>
      <c r="G40" s="582">
        <v>4879.67</v>
      </c>
      <c r="H40" s="582">
        <f t="shared" ref="H40:H45" si="4">G40*D40</f>
        <v>209.82580999999999</v>
      </c>
      <c r="I40" s="560">
        <f>((E40/G40)*100)-100</f>
        <v>9.1452905626814953</v>
      </c>
      <c r="J40" s="38">
        <f>J39*D40</f>
        <v>49.664999999999999</v>
      </c>
    </row>
    <row r="41" spans="2:11" ht="16.5" x14ac:dyDescent="0.3">
      <c r="B41" s="563">
        <f>VLOOKUP(C41,[1]Hoja1!$B$2:$C$260,2,FALSE)</f>
        <v>1380002</v>
      </c>
      <c r="C41" s="563" t="s">
        <v>1051</v>
      </c>
      <c r="D41" s="1001">
        <v>8.5999999999999993E-2</v>
      </c>
      <c r="E41" s="1031">
        <f>VLOOKUP(B41,[2]Hoja1!$C$2:$E$279,3,FALSE)</f>
        <v>73.33</v>
      </c>
      <c r="F41" s="582">
        <f>E41*D41</f>
        <v>6.306379999999999</v>
      </c>
      <c r="G41" s="582">
        <v>76.61</v>
      </c>
      <c r="H41" s="582">
        <f t="shared" si="4"/>
        <v>6.5884599999999995</v>
      </c>
      <c r="I41" s="560">
        <f>((E41/G41)*100)-100</f>
        <v>-4.281425401383629</v>
      </c>
      <c r="J41" s="38">
        <f>J39*D41</f>
        <v>99.33</v>
      </c>
    </row>
    <row r="42" spans="2:11" ht="16.5" x14ac:dyDescent="0.3">
      <c r="B42" s="563">
        <f>VLOOKUP(C42,[1]Hoja1!$B$2:$C$260,2,FALSE)</f>
        <v>1330058</v>
      </c>
      <c r="C42" s="563" t="s">
        <v>1052</v>
      </c>
      <c r="D42" s="1001">
        <v>1</v>
      </c>
      <c r="E42" s="1031">
        <f>VLOOKUP(B42,[2]Hoja1!$C$2:$E$279,3,FALSE)</f>
        <v>88.16</v>
      </c>
      <c r="F42" s="582">
        <f t="shared" ref="F42:F45" si="5">E42*D42</f>
        <v>88.16</v>
      </c>
      <c r="G42" s="1238">
        <v>82.65</v>
      </c>
      <c r="H42" s="582">
        <f t="shared" si="4"/>
        <v>82.65</v>
      </c>
      <c r="I42" s="560">
        <f>((E42/G42)*100)-100</f>
        <v>6.6666666666666714</v>
      </c>
      <c r="J42" s="38"/>
    </row>
    <row r="43" spans="2:11" ht="16.5" x14ac:dyDescent="0.3">
      <c r="B43" s="563">
        <f>VLOOKUP(C43,[1]Hoja1!$B$2:$C$260,2,FALSE)</f>
        <v>1330021</v>
      </c>
      <c r="C43" s="563" t="s">
        <v>1229</v>
      </c>
      <c r="D43" s="1001">
        <v>1</v>
      </c>
      <c r="E43" s="1031">
        <f>VLOOKUP(B43,[2]Hoja1!$C$2:$E$279,3,FALSE)</f>
        <v>145.4</v>
      </c>
      <c r="F43" s="582">
        <f t="shared" si="5"/>
        <v>145.4</v>
      </c>
      <c r="G43" s="1546">
        <v>144.44999999999999</v>
      </c>
      <c r="H43" s="582">
        <f t="shared" si="4"/>
        <v>144.44999999999999</v>
      </c>
      <c r="I43" s="560"/>
      <c r="J43" s="38"/>
    </row>
    <row r="44" spans="2:11" ht="16.5" x14ac:dyDescent="0.3">
      <c r="B44" s="563">
        <f>VLOOKUP(C44,[1]Hoja1!$B$2:$C$260,2,FALSE)</f>
        <v>1310017</v>
      </c>
      <c r="C44" s="563" t="s">
        <v>1224</v>
      </c>
      <c r="D44" s="1001">
        <v>4.7E-2</v>
      </c>
      <c r="E44" s="1031">
        <f>VLOOKUP(B44,[2]Hoja1!$C$2:$E$279,3,FALSE)</f>
        <v>698.26</v>
      </c>
      <c r="F44" s="582">
        <f t="shared" si="5"/>
        <v>32.818219999999997</v>
      </c>
      <c r="G44" s="582">
        <v>771.15</v>
      </c>
      <c r="H44" s="582">
        <f t="shared" si="4"/>
        <v>36.244050000000001</v>
      </c>
      <c r="I44" s="560">
        <f>((E44/G44)*100)-100</f>
        <v>-9.4521169681644324</v>
      </c>
      <c r="J44" s="38">
        <f>J39*D44</f>
        <v>54.284999999999997</v>
      </c>
    </row>
    <row r="45" spans="2:11" ht="16.5" x14ac:dyDescent="0.3">
      <c r="B45" s="563">
        <f>VLOOKUP(C45,[1]Hoja1!$B$2:$C$260,2,FALSE)</f>
        <v>1320006</v>
      </c>
      <c r="C45" s="1142" t="s">
        <v>1228</v>
      </c>
      <c r="D45" s="1001">
        <v>4.7E-2</v>
      </c>
      <c r="E45" s="1031">
        <f>VLOOKUP(B45,[2]Hoja1!$C$2:$E$279,3,FALSE)</f>
        <v>963.65</v>
      </c>
      <c r="F45" s="582">
        <f t="shared" si="5"/>
        <v>45.291550000000001</v>
      </c>
      <c r="G45" s="582">
        <v>1017.07</v>
      </c>
      <c r="H45" s="582">
        <f t="shared" si="4"/>
        <v>47.802289999999999</v>
      </c>
      <c r="I45" s="560">
        <f>((E45/G45)*100)-100</f>
        <v>-5.2523425132980179</v>
      </c>
      <c r="J45" s="38">
        <f>J39*D45</f>
        <v>54.284999999999997</v>
      </c>
    </row>
    <row r="46" spans="2:11" ht="16.5" x14ac:dyDescent="0.25">
      <c r="B46" s="1391"/>
      <c r="C46" s="1391" t="s">
        <v>37</v>
      </c>
      <c r="D46" s="1392"/>
      <c r="E46" s="1393"/>
      <c r="F46" s="1393">
        <f>SUM(F40:F45)</f>
        <v>546.99113999999997</v>
      </c>
      <c r="G46" s="1393"/>
      <c r="H46" s="1393">
        <f>SUM(H40:H45)</f>
        <v>527.56061</v>
      </c>
      <c r="I46" s="1394">
        <f>((F46/H46)*100)-100</f>
        <v>3.6830896074670818</v>
      </c>
    </row>
    <row r="47" spans="2:11" x14ac:dyDescent="0.25">
      <c r="H47" s="1" t="str">
        <f>+'CIF Y PV'!$G$1</f>
        <v>MAYO</v>
      </c>
    </row>
    <row r="48" spans="2:11" ht="16.5" x14ac:dyDescent="0.3">
      <c r="B48" s="1807" t="s">
        <v>196</v>
      </c>
      <c r="C48" s="1807"/>
      <c r="D48" s="527"/>
      <c r="E48" s="1005"/>
      <c r="F48" s="1005"/>
      <c r="G48" s="1005"/>
      <c r="H48" s="1005">
        <f>+F46+G25</f>
        <v>4414.3197628960679</v>
      </c>
      <c r="I48" s="181"/>
      <c r="J48" s="881"/>
      <c r="K48" s="181"/>
    </row>
    <row r="49" spans="2:11" ht="16.5" x14ac:dyDescent="0.3">
      <c r="B49" s="1808" t="s">
        <v>48</v>
      </c>
      <c r="C49" s="1809"/>
      <c r="D49" s="527"/>
      <c r="E49" s="1005"/>
      <c r="F49" s="1005"/>
      <c r="G49" s="1005"/>
      <c r="H49" s="1005">
        <f>+('CIF Y PV'!C3/1000)*400</f>
        <v>756</v>
      </c>
      <c r="I49" s="182"/>
      <c r="J49" s="881"/>
      <c r="K49" s="182"/>
    </row>
    <row r="50" spans="2:11" ht="16.5" x14ac:dyDescent="0.3">
      <c r="B50" s="1808" t="s">
        <v>197</v>
      </c>
      <c r="C50" s="1809"/>
      <c r="D50" s="527"/>
      <c r="E50" s="1005"/>
      <c r="F50" s="1005"/>
      <c r="G50" s="1005"/>
      <c r="H50" s="1005">
        <f>+H49+H48</f>
        <v>5170.3197628960679</v>
      </c>
      <c r="I50" s="152"/>
      <c r="J50" s="881"/>
      <c r="K50" s="152"/>
    </row>
    <row r="51" spans="2:11" ht="16.5" x14ac:dyDescent="0.3">
      <c r="B51" s="1807" t="s">
        <v>49</v>
      </c>
      <c r="C51" s="1807"/>
      <c r="D51" s="527"/>
      <c r="E51" s="1005"/>
      <c r="F51" s="1005"/>
      <c r="G51" s="1005"/>
      <c r="H51" s="1005">
        <f>'CIF Y PV'!C29</f>
        <v>13351.8024</v>
      </c>
      <c r="J51" s="881"/>
      <c r="K51" s="339"/>
    </row>
    <row r="52" spans="2:11" ht="16.5" x14ac:dyDescent="0.3">
      <c r="B52" s="1807" t="s">
        <v>805</v>
      </c>
      <c r="C52" s="1807"/>
      <c r="D52" s="527"/>
      <c r="E52" s="1005"/>
      <c r="F52" s="1005"/>
      <c r="G52" s="1005"/>
      <c r="H52" s="976">
        <f>+(H51-H50)/H51</f>
        <v>0.61276241154557021</v>
      </c>
      <c r="I52" s="137"/>
      <c r="J52" s="38"/>
      <c r="K52" s="137">
        <f>1-K51</f>
        <v>1</v>
      </c>
    </row>
  </sheetData>
  <mergeCells count="9">
    <mergeCell ref="B52:C52"/>
    <mergeCell ref="B49:C49"/>
    <mergeCell ref="B50:C50"/>
    <mergeCell ref="B51:C51"/>
    <mergeCell ref="B2:I2"/>
    <mergeCell ref="B25:C25"/>
    <mergeCell ref="B27:C27"/>
    <mergeCell ref="B48:C48"/>
    <mergeCell ref="B38:I38"/>
  </mergeCells>
  <pageMargins left="0.7" right="0.7" top="0.75" bottom="0.75" header="0.3" footer="0.3"/>
  <pageSetup scale="42" orientation="portrait" r:id="rId1"/>
  <colBreaks count="1" manualBreakCount="1">
    <brk id="12" max="47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E199-EC13-408F-AA09-974D0A46713C}">
  <sheetPr codeName="Hoja35"/>
  <dimension ref="A2:K54"/>
  <sheetViews>
    <sheetView view="pageBreakPreview" topLeftCell="A3" zoomScale="90" zoomScaleNormal="100" zoomScaleSheetLayoutView="90" workbookViewId="0">
      <selection activeCell="E5" sqref="E5:E19"/>
    </sheetView>
  </sheetViews>
  <sheetFormatPr baseColWidth="10" defaultColWidth="11.5703125" defaultRowHeight="13.5" x14ac:dyDescent="0.25"/>
  <cols>
    <col min="1" max="1" width="20.42578125" style="1" bestFit="1" customWidth="1"/>
    <col min="2" max="2" width="11.5703125" style="120"/>
    <col min="3" max="3" width="67.42578125" style="120" bestFit="1" customWidth="1"/>
    <col min="4" max="4" width="13.5703125" style="119" bestFit="1" customWidth="1"/>
    <col min="5" max="5" width="11.5703125" style="120"/>
    <col min="6" max="7" width="13.5703125" style="120" bestFit="1" customWidth="1"/>
    <col min="8" max="8" width="12.5703125" style="120" bestFit="1" customWidth="1"/>
    <col min="9" max="9" width="14.42578125" style="120" bestFit="1" customWidth="1"/>
    <col min="10" max="16384" width="11.5703125" style="120"/>
  </cols>
  <sheetData>
    <row r="2" spans="2:11" s="42" customFormat="1" ht="26.25" customHeight="1" x14ac:dyDescent="0.25">
      <c r="B2" s="1743" t="s">
        <v>320</v>
      </c>
      <c r="C2" s="1743"/>
      <c r="D2" s="1743"/>
      <c r="E2" s="1743"/>
      <c r="F2" s="1743"/>
      <c r="G2" s="1743"/>
      <c r="H2" s="1743"/>
      <c r="I2" s="1743"/>
      <c r="J2" s="1743"/>
      <c r="K2" s="89"/>
    </row>
    <row r="4" spans="2:11" s="42" customFormat="1" ht="25.5" x14ac:dyDescent="0.25">
      <c r="B4" s="1395" t="s">
        <v>0</v>
      </c>
      <c r="C4" s="1396" t="s">
        <v>1</v>
      </c>
      <c r="D4" s="1397" t="s">
        <v>2</v>
      </c>
      <c r="E4" s="1396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98" t="s">
        <v>3</v>
      </c>
      <c r="K4" s="844">
        <f>+D22/1000</f>
        <v>0.47475000000000001</v>
      </c>
    </row>
    <row r="5" spans="2:11" s="42" customFormat="1" ht="16.5" x14ac:dyDescent="0.25">
      <c r="B5" s="154">
        <v>1112013</v>
      </c>
      <c r="C5" s="154" t="s">
        <v>503</v>
      </c>
      <c r="D5" s="189">
        <v>0.22731029999999999</v>
      </c>
      <c r="E5" s="72">
        <v>47.88</v>
      </c>
      <c r="F5" s="896">
        <f>VLOOKUP(B5,[2]Hoja1!$C$2:$E$279,3,FALSE)</f>
        <v>3800</v>
      </c>
      <c r="G5" s="193">
        <f>F5*D5</f>
        <v>863.77913999999998</v>
      </c>
      <c r="H5" s="896">
        <v>4222.72</v>
      </c>
      <c r="I5" s="73">
        <f>H5*D5</f>
        <v>959.86775001600006</v>
      </c>
      <c r="J5" s="536">
        <f>((F5/H5)*100)-100</f>
        <v>-10.010609275538059</v>
      </c>
      <c r="K5" s="845">
        <f>$K$4*E5%</f>
        <v>0.22731029999999999</v>
      </c>
    </row>
    <row r="6" spans="2:11" s="42" customFormat="1" ht="16.5" x14ac:dyDescent="0.25">
      <c r="B6" s="154">
        <f>VLOOKUP(C6,[1]Hoja1!$B$2:$C$260,2,FALSE)</f>
        <v>1131002</v>
      </c>
      <c r="C6" s="154" t="s">
        <v>663</v>
      </c>
      <c r="D6" s="190">
        <v>6.8221574999999993E-2</v>
      </c>
      <c r="E6" s="72">
        <v>14.37</v>
      </c>
      <c r="F6" s="896">
        <f>VLOOKUP(B6,[2]Hoja1!$C$2:$E$279,3,FALSE)</f>
        <v>0</v>
      </c>
      <c r="G6" s="193">
        <f t="shared" ref="G6:G19" si="0">F6*D6</f>
        <v>0</v>
      </c>
      <c r="H6" s="106">
        <v>0</v>
      </c>
      <c r="I6" s="73">
        <f t="shared" ref="I6:I19" si="1">H6*D6</f>
        <v>0</v>
      </c>
      <c r="J6" s="536" t="e">
        <f t="shared" ref="J6:J17" si="2">((F6/H6)*100)-100</f>
        <v>#DIV/0!</v>
      </c>
      <c r="K6" s="845">
        <f t="shared" ref="K6:K19" si="3">$K$4*E6%</f>
        <v>6.8221574999999993E-2</v>
      </c>
    </row>
    <row r="7" spans="2:11" s="42" customFormat="1" ht="16.5" x14ac:dyDescent="0.25">
      <c r="B7" s="154">
        <f>VLOOKUP(C7,[1]Hoja1!$B$2:$C$260,2,FALSE)</f>
        <v>1250003</v>
      </c>
      <c r="C7" s="154" t="s">
        <v>914</v>
      </c>
      <c r="D7" s="190">
        <v>2.5500000000000002E-4</v>
      </c>
      <c r="E7" s="72">
        <v>5.3712480252764615E-2</v>
      </c>
      <c r="F7" s="896">
        <f>VLOOKUP(B7,[2]Hoja1!$C$2:$E$279,3,FALSE)</f>
        <v>50952.79</v>
      </c>
      <c r="G7" s="193">
        <f t="shared" si="0"/>
        <v>12.992961450000001</v>
      </c>
      <c r="H7" s="96">
        <v>47385.41</v>
      </c>
      <c r="I7" s="73">
        <f t="shared" si="1"/>
        <v>12.083279550000002</v>
      </c>
      <c r="J7" s="536">
        <f t="shared" si="2"/>
        <v>7.5284354403602123</v>
      </c>
      <c r="K7" s="845">
        <f t="shared" si="3"/>
        <v>2.5500000000000002E-4</v>
      </c>
    </row>
    <row r="8" spans="2:11" s="42" customFormat="1" ht="16.5" x14ac:dyDescent="0.25">
      <c r="B8" s="154">
        <f>VLOOKUP(C8,[1]Hoja1!$B$2:$C$260,2,FALSE)</f>
        <v>1250001</v>
      </c>
      <c r="C8" s="1512" t="s">
        <v>1160</v>
      </c>
      <c r="D8" s="190">
        <v>2.1838500000000002E-3</v>
      </c>
      <c r="E8" s="72">
        <v>0.46</v>
      </c>
      <c r="F8" s="896">
        <f>VLOOKUP(B8,[2]Hoja1!$C$2:$E$279,3,FALSE)</f>
        <v>5093.8999999999996</v>
      </c>
      <c r="G8" s="193">
        <f t="shared" si="0"/>
        <v>11.124313515000001</v>
      </c>
      <c r="H8" s="106">
        <v>4885.95</v>
      </c>
      <c r="I8" s="73">
        <f t="shared" si="1"/>
        <v>10.6701819075</v>
      </c>
      <c r="J8" s="536">
        <f t="shared" si="2"/>
        <v>4.256081212456138</v>
      </c>
      <c r="K8" s="845">
        <f t="shared" si="3"/>
        <v>2.1838500000000002E-3</v>
      </c>
    </row>
    <row r="9" spans="2:11" s="42" customFormat="1" ht="16.5" x14ac:dyDescent="0.25">
      <c r="B9" s="154">
        <f>VLOOKUP(C9,[1]Hoja1!$B$2:$C$260,2,FALSE)</f>
        <v>1220008</v>
      </c>
      <c r="C9" s="154" t="s">
        <v>1157</v>
      </c>
      <c r="D9" s="190">
        <v>8.0707500000000009E-4</v>
      </c>
      <c r="E9" s="72">
        <v>0.17</v>
      </c>
      <c r="F9" s="896">
        <f>VLOOKUP(B9,[2]Hoja1!$C$2:$E$279,3,FALSE)</f>
        <v>50476.2</v>
      </c>
      <c r="G9" s="193">
        <f t="shared" si="0"/>
        <v>40.738079115000005</v>
      </c>
      <c r="H9" s="949">
        <v>48608.39</v>
      </c>
      <c r="I9" s="73">
        <f t="shared" si="1"/>
        <v>39.230616359250007</v>
      </c>
      <c r="J9" s="536">
        <f t="shared" si="2"/>
        <v>3.8425670959272509</v>
      </c>
      <c r="K9" s="845">
        <f t="shared" si="3"/>
        <v>8.0707500000000009E-4</v>
      </c>
    </row>
    <row r="10" spans="2:11" s="42" customFormat="1" ht="16.5" x14ac:dyDescent="0.25">
      <c r="B10" s="154">
        <f>VLOOKUP(C10,[1]Hoja1!$B$2:$C$260,2,FALSE)</f>
        <v>1220005</v>
      </c>
      <c r="C10" s="154" t="s">
        <v>1135</v>
      </c>
      <c r="D10" s="189">
        <v>4.7475000000000002E-4</v>
      </c>
      <c r="E10" s="72">
        <v>0.1</v>
      </c>
      <c r="F10" s="896">
        <f>VLOOKUP(B10,[2]Hoja1!$C$2:$E$279,3,FALSE)</f>
        <v>17429.990000000002</v>
      </c>
      <c r="G10" s="193">
        <f t="shared" si="0"/>
        <v>8.2748877525000015</v>
      </c>
      <c r="H10" s="880">
        <v>17430</v>
      </c>
      <c r="I10" s="73">
        <f t="shared" si="1"/>
        <v>8.2748925</v>
      </c>
      <c r="J10" s="536">
        <f t="shared" si="2"/>
        <v>-5.7372346518036466E-5</v>
      </c>
      <c r="K10" s="845">
        <f t="shared" si="3"/>
        <v>4.7475000000000002E-4</v>
      </c>
    </row>
    <row r="11" spans="2:11" s="42" customFormat="1" ht="16.5" x14ac:dyDescent="0.25">
      <c r="B11" s="154">
        <f>VLOOKUP(C11,[1]Hoja1!$B$2:$C$260,2,FALSE)</f>
        <v>1220009</v>
      </c>
      <c r="C11" s="154" t="s">
        <v>1133</v>
      </c>
      <c r="D11" s="190">
        <v>4.7475000000000002E-4</v>
      </c>
      <c r="E11" s="72">
        <v>0.1</v>
      </c>
      <c r="F11" s="896">
        <f>VLOOKUP(B11,[2]Hoja1!$C$2:$E$279,3,FALSE)</f>
        <v>21312.16</v>
      </c>
      <c r="G11" s="193">
        <f t="shared" si="0"/>
        <v>10.11794796</v>
      </c>
      <c r="H11" s="95">
        <v>20299</v>
      </c>
      <c r="I11" s="73">
        <f t="shared" si="1"/>
        <v>9.6369502499999999</v>
      </c>
      <c r="J11" s="536">
        <f t="shared" si="2"/>
        <v>4.9911818316173253</v>
      </c>
      <c r="K11" s="845">
        <f t="shared" si="3"/>
        <v>4.7475000000000002E-4</v>
      </c>
    </row>
    <row r="12" spans="2:11" s="42" customFormat="1" ht="16.5" x14ac:dyDescent="0.25">
      <c r="B12" s="154">
        <f>VLOOKUP(C12,[1]Hoja1!$B$2:$C$260,2,FALSE)</f>
        <v>1220007</v>
      </c>
      <c r="C12" s="154" t="s">
        <v>916</v>
      </c>
      <c r="D12" s="189">
        <v>3.8999999999999999E-4</v>
      </c>
      <c r="E12" s="72">
        <v>8.2148499210110582E-2</v>
      </c>
      <c r="F12" s="896">
        <f>VLOOKUP(B12,[2]Hoja1!$C$2:$E$279,3,FALSE)</f>
        <v>60081.72</v>
      </c>
      <c r="G12" s="193">
        <f t="shared" si="0"/>
        <v>23.431870799999999</v>
      </c>
      <c r="H12" s="106">
        <v>56748.6</v>
      </c>
      <c r="I12" s="73">
        <f t="shared" si="1"/>
        <v>22.131954</v>
      </c>
      <c r="J12" s="536">
        <f t="shared" si="2"/>
        <v>5.8734841035726078</v>
      </c>
      <c r="K12" s="845">
        <f t="shared" si="3"/>
        <v>3.8999999999999999E-4</v>
      </c>
    </row>
    <row r="13" spans="2:11" s="42" customFormat="1" ht="16.5" x14ac:dyDescent="0.25">
      <c r="B13" s="154">
        <f>VLOOKUP(C13,[1]Hoja1!$B$2:$C$260,2,FALSE)</f>
        <v>1220014</v>
      </c>
      <c r="C13" s="154" t="s">
        <v>1146</v>
      </c>
      <c r="D13" s="190">
        <v>5.4596250000000001E-3</v>
      </c>
      <c r="E13" s="72">
        <v>1.1499999999999999</v>
      </c>
      <c r="F13" s="896">
        <f>VLOOKUP(B13,[2]Hoja1!$C$2:$E$279,3,FALSE)</f>
        <v>14060</v>
      </c>
      <c r="G13" s="193">
        <f t="shared" si="0"/>
        <v>76.762327499999998</v>
      </c>
      <c r="H13" s="914">
        <v>13300.01</v>
      </c>
      <c r="I13" s="73">
        <f t="shared" si="1"/>
        <v>72.613067096250006</v>
      </c>
      <c r="J13" s="536">
        <f t="shared" si="2"/>
        <v>5.7142062299201086</v>
      </c>
      <c r="K13" s="845">
        <f t="shared" si="3"/>
        <v>5.4596250000000001E-3</v>
      </c>
    </row>
    <row r="14" spans="2:11" s="42" customFormat="1" ht="16.5" x14ac:dyDescent="0.25">
      <c r="B14" s="154">
        <f>VLOOKUP(C14,[1]Hoja1!$B$2:$C$260,2,FALSE)</f>
        <v>1220011</v>
      </c>
      <c r="C14" s="154" t="s">
        <v>1167</v>
      </c>
      <c r="D14" s="190">
        <v>9.0202500000000005E-3</v>
      </c>
      <c r="E14" s="72">
        <v>1.9</v>
      </c>
      <c r="F14" s="896">
        <f>VLOOKUP(B14,[2]Hoja1!$C$2:$E$279,3,FALSE)</f>
        <v>9773</v>
      </c>
      <c r="G14" s="193">
        <f t="shared" si="0"/>
        <v>88.154903250000004</v>
      </c>
      <c r="H14" s="923">
        <v>9772.9599999999991</v>
      </c>
      <c r="I14" s="73">
        <f t="shared" si="1"/>
        <v>88.15454244</v>
      </c>
      <c r="J14" s="536">
        <f t="shared" si="2"/>
        <v>4.0929257872335256E-4</v>
      </c>
      <c r="K14" s="845">
        <f t="shared" si="3"/>
        <v>9.0202500000000005E-3</v>
      </c>
    </row>
    <row r="15" spans="2:11" s="42" customFormat="1" ht="16.5" x14ac:dyDescent="0.25">
      <c r="B15" s="154">
        <v>1260008</v>
      </c>
      <c r="C15" s="154" t="s">
        <v>1044</v>
      </c>
      <c r="D15" s="190">
        <v>1.0349550000000001E-2</v>
      </c>
      <c r="E15" s="72">
        <v>2.1800000000000002</v>
      </c>
      <c r="F15" s="896">
        <f>VLOOKUP(B15,[2]Hoja1!$C$2:$E$279,3,FALSE)</f>
        <v>10202.790000000001</v>
      </c>
      <c r="G15" s="193">
        <f t="shared" si="0"/>
        <v>105.59428524450001</v>
      </c>
      <c r="H15" s="1712"/>
      <c r="I15" s="73"/>
      <c r="J15" s="536"/>
      <c r="K15" s="845">
        <f t="shared" si="3"/>
        <v>1.0349550000000001E-2</v>
      </c>
    </row>
    <row r="16" spans="2:11" s="42" customFormat="1" ht="16.5" x14ac:dyDescent="0.25">
      <c r="B16" s="154">
        <f>VLOOKUP(C16,[1]Hoja1!$B$2:$C$260,2,FALSE)</f>
        <v>1260010</v>
      </c>
      <c r="C16" s="154" t="s">
        <v>1043</v>
      </c>
      <c r="D16" s="190">
        <v>1.870515E-2</v>
      </c>
      <c r="E16" s="72">
        <v>3.94</v>
      </c>
      <c r="F16" s="896">
        <f>VLOOKUP(B16,[2]Hoja1!$C$2:$E$279,3,FALSE)</f>
        <v>6959.71</v>
      </c>
      <c r="G16" s="193">
        <f t="shared" si="0"/>
        <v>130.1824195065</v>
      </c>
      <c r="H16" s="106">
        <v>8234.27</v>
      </c>
      <c r="I16" s="73">
        <f t="shared" si="1"/>
        <v>154.02325549050002</v>
      </c>
      <c r="J16" s="536">
        <f t="shared" si="2"/>
        <v>-15.478724890002397</v>
      </c>
      <c r="K16" s="845">
        <f t="shared" si="3"/>
        <v>1.870515E-2</v>
      </c>
    </row>
    <row r="17" spans="1:11" s="42" customFormat="1" ht="16.5" x14ac:dyDescent="0.25">
      <c r="B17" s="154">
        <v>1122008</v>
      </c>
      <c r="C17" s="154" t="s">
        <v>1142</v>
      </c>
      <c r="D17" s="190">
        <v>9.0629774999999996E-2</v>
      </c>
      <c r="E17" s="72">
        <v>19.09</v>
      </c>
      <c r="F17" s="896">
        <f>VLOOKUP(B17,[2]Hoja1!$C$2:$E$279,3,FALSE)</f>
        <v>12059.2</v>
      </c>
      <c r="G17" s="193">
        <f t="shared" si="0"/>
        <v>1092.92258268</v>
      </c>
      <c r="H17" s="879">
        <v>12498.76</v>
      </c>
      <c r="I17" s="73">
        <f t="shared" si="1"/>
        <v>1132.759806579</v>
      </c>
      <c r="J17" s="536">
        <f t="shared" si="2"/>
        <v>-3.5168288694238328</v>
      </c>
      <c r="K17" s="845">
        <f t="shared" si="3"/>
        <v>9.0629774999999996E-2</v>
      </c>
    </row>
    <row r="18" spans="1:11" s="42" customFormat="1" ht="16.5" x14ac:dyDescent="0.25">
      <c r="B18" s="154">
        <f>VLOOKUP(C18,[1]Hoja1!$B$2:$C$260,2,FALSE)</f>
        <v>1260015</v>
      </c>
      <c r="C18" s="154" t="s">
        <v>785</v>
      </c>
      <c r="D18" s="189">
        <v>3.74103E-2</v>
      </c>
      <c r="E18" s="72">
        <v>7.88</v>
      </c>
      <c r="F18" s="896">
        <f>VLOOKUP(B18,[2]Hoja1!$C$2:$E$279,3,FALSE)</f>
        <v>3450.01</v>
      </c>
      <c r="G18" s="193">
        <f t="shared" si="0"/>
        <v>129.06590910300002</v>
      </c>
      <c r="H18" s="96">
        <v>3400.01</v>
      </c>
      <c r="I18" s="73">
        <f t="shared" si="1"/>
        <v>127.19539410300001</v>
      </c>
      <c r="J18" s="536">
        <f>((F18/H18)*100)-100</f>
        <v>1.4705839100473241</v>
      </c>
      <c r="K18" s="845">
        <f t="shared" si="3"/>
        <v>3.74103E-2</v>
      </c>
    </row>
    <row r="19" spans="1:11" s="42" customFormat="1" ht="16.5" x14ac:dyDescent="0.25">
      <c r="B19" s="154">
        <f>VLOOKUP(C19,[1]Hoja1!$B$2:$C$260,2,FALSE)</f>
        <v>1210005</v>
      </c>
      <c r="C19" s="154" t="s">
        <v>1155</v>
      </c>
      <c r="D19" s="191">
        <v>3.13335E-3</v>
      </c>
      <c r="E19" s="72">
        <v>0.66</v>
      </c>
      <c r="F19" s="896">
        <f>VLOOKUP(B19,[2]Hoja1!$C$2:$E$279,3,FALSE)</f>
        <v>1356</v>
      </c>
      <c r="G19" s="193">
        <f t="shared" si="0"/>
        <v>4.2488226000000004</v>
      </c>
      <c r="H19" s="880">
        <v>1360</v>
      </c>
      <c r="I19" s="73">
        <f t="shared" si="1"/>
        <v>4.2613560000000001</v>
      </c>
      <c r="J19" s="536">
        <f>((F19/H19)*100)-100</f>
        <v>-0.29411764705882604</v>
      </c>
      <c r="K19" s="845">
        <f t="shared" si="3"/>
        <v>3.13335E-3</v>
      </c>
    </row>
    <row r="20" spans="1:11" s="42" customFormat="1" ht="16.5" x14ac:dyDescent="0.25">
      <c r="B20" s="1777"/>
      <c r="C20" s="1778"/>
      <c r="D20" s="1330">
        <f>SUM(D5:D19)</f>
        <v>0.47482530000000006</v>
      </c>
      <c r="E20" s="1459">
        <f>SUM(E5:E19)</f>
        <v>100.01586097946289</v>
      </c>
      <c r="F20" s="1382"/>
      <c r="G20" s="1382">
        <f>SUM(G5:G19)</f>
        <v>2597.3904504765005</v>
      </c>
      <c r="H20" s="1383"/>
      <c r="I20" s="1354">
        <f>SUM(I5:I19)</f>
        <v>2640.9030462915002</v>
      </c>
      <c r="J20" s="1331">
        <f>((G20/I20)*100)-100</f>
        <v>-1.6476407899980501</v>
      </c>
      <c r="K20" s="1399"/>
    </row>
    <row r="22" spans="1:11" ht="25.5" x14ac:dyDescent="0.25">
      <c r="A22" s="120"/>
      <c r="B22" s="1765" t="s">
        <v>50</v>
      </c>
      <c r="C22" s="1766"/>
      <c r="D22" s="38">
        <f>+C25+(C25*C31%)</f>
        <v>474.75</v>
      </c>
      <c r="E22" s="195"/>
      <c r="F22" s="195"/>
      <c r="G22" s="195"/>
      <c r="H22" s="195"/>
      <c r="I22" s="195"/>
    </row>
    <row r="23" spans="1:11" x14ac:dyDescent="0.25">
      <c r="A23" s="120"/>
      <c r="B23" s="1284" t="s">
        <v>38</v>
      </c>
      <c r="C23" s="161" t="s">
        <v>90</v>
      </c>
      <c r="F23" s="178"/>
      <c r="H23" s="146"/>
    </row>
    <row r="24" spans="1:11" x14ac:dyDescent="0.25">
      <c r="A24" s="120"/>
      <c r="B24" s="1285" t="s">
        <v>39</v>
      </c>
      <c r="C24" s="163" t="s">
        <v>321</v>
      </c>
      <c r="H24" s="146"/>
    </row>
    <row r="25" spans="1:11" x14ac:dyDescent="0.25">
      <c r="A25" s="120"/>
      <c r="B25" s="1285" t="s">
        <v>40</v>
      </c>
      <c r="C25" s="163">
        <v>450</v>
      </c>
      <c r="F25" s="915"/>
      <c r="H25" s="146"/>
    </row>
    <row r="26" spans="1:11" x14ac:dyDescent="0.25">
      <c r="A26" s="120"/>
      <c r="B26" s="1285" t="s">
        <v>41</v>
      </c>
      <c r="C26" s="163">
        <v>0.5</v>
      </c>
      <c r="H26" s="146"/>
    </row>
    <row r="27" spans="1:11" x14ac:dyDescent="0.25">
      <c r="A27" s="120"/>
      <c r="B27" s="1285" t="s">
        <v>42</v>
      </c>
      <c r="C27" s="163">
        <v>0</v>
      </c>
      <c r="H27" s="146"/>
    </row>
    <row r="28" spans="1:11" x14ac:dyDescent="0.25">
      <c r="A28" s="120"/>
      <c r="B28" s="1285" t="s">
        <v>43</v>
      </c>
      <c r="C28" s="163">
        <v>4</v>
      </c>
      <c r="H28" s="146"/>
    </row>
    <row r="29" spans="1:11" x14ac:dyDescent="0.25">
      <c r="A29" s="120"/>
      <c r="B29" s="1285" t="s">
        <v>44</v>
      </c>
      <c r="C29" s="163">
        <v>0</v>
      </c>
      <c r="H29" s="146"/>
    </row>
    <row r="30" spans="1:11" x14ac:dyDescent="0.25">
      <c r="A30" s="120"/>
      <c r="B30" s="1285" t="s">
        <v>45</v>
      </c>
      <c r="C30" s="163">
        <v>1</v>
      </c>
      <c r="H30" s="146"/>
    </row>
    <row r="31" spans="1:11" x14ac:dyDescent="0.25">
      <c r="A31" s="120"/>
      <c r="B31" s="1285" t="s">
        <v>46</v>
      </c>
      <c r="C31" s="196">
        <f>SUM(C26:C30)</f>
        <v>5.5</v>
      </c>
      <c r="H31" s="146"/>
    </row>
    <row r="33" spans="1:11" ht="25.5" x14ac:dyDescent="0.25">
      <c r="A33" s="120"/>
      <c r="B33" s="1810" t="s">
        <v>47</v>
      </c>
      <c r="C33" s="1811"/>
      <c r="D33" s="1811"/>
      <c r="E33" s="1811"/>
      <c r="F33" s="1811"/>
      <c r="G33" s="1811"/>
      <c r="H33" s="1811"/>
      <c r="I33" s="1811"/>
    </row>
    <row r="34" spans="1:11" ht="25.5" x14ac:dyDescent="0.25">
      <c r="A34" s="120"/>
      <c r="B34" s="1266" t="s">
        <v>0</v>
      </c>
      <c r="C34" s="1266" t="s">
        <v>1</v>
      </c>
      <c r="D34" s="1286" t="s">
        <v>2</v>
      </c>
      <c r="E34" s="1243" t="str">
        <f>+'CIF Y PV'!$F$4</f>
        <v xml:space="preserve">JUN-COP/UMB </v>
      </c>
      <c r="F34" s="1243" t="str">
        <f>+'CIF Y PV'!$G$4</f>
        <v>JUN-COP/APP</v>
      </c>
      <c r="G34" s="1243" t="str">
        <f>+'CIF Y PV'!$H$4</f>
        <v xml:space="preserve">MAY-COP/UMB </v>
      </c>
      <c r="H34" s="1243" t="str">
        <f>+'CIF Y PV'!$I$4</f>
        <v>MAY-COP/APP</v>
      </c>
      <c r="I34" s="1326" t="s">
        <v>3</v>
      </c>
      <c r="J34" s="146">
        <v>2783</v>
      </c>
    </row>
    <row r="35" spans="1:11" ht="14.25" x14ac:dyDescent="0.25">
      <c r="A35" s="120"/>
      <c r="B35" s="165">
        <f>VLOOKUP(C35,[1]Hoja1!$B$2:$C$260,2,FALSE)</f>
        <v>1360003</v>
      </c>
      <c r="C35" s="165" t="s">
        <v>1054</v>
      </c>
      <c r="D35" s="166">
        <v>5</v>
      </c>
      <c r="E35" s="167">
        <f>VLOOKUP(B35,[2]Hoja1!$C$2:$E$279,3,FALSE)</f>
        <v>22.53</v>
      </c>
      <c r="F35" s="167">
        <f>E35*D35</f>
        <v>112.65</v>
      </c>
      <c r="G35" s="167">
        <v>24.5</v>
      </c>
      <c r="H35" s="167">
        <v>109.94999999999999</v>
      </c>
      <c r="I35" s="872">
        <f>((F35/H35)*100)-100</f>
        <v>2.4556616643929203</v>
      </c>
      <c r="J35" s="146">
        <f>J34*D35</f>
        <v>13915</v>
      </c>
    </row>
    <row r="36" spans="1:11" ht="14.25" x14ac:dyDescent="0.25">
      <c r="A36" s="120"/>
      <c r="B36" s="165">
        <f>VLOOKUP(C36,[1]Hoja1!$B$2:$C$260,2,FALSE)</f>
        <v>1340006</v>
      </c>
      <c r="C36" s="165" t="s">
        <v>1202</v>
      </c>
      <c r="D36" s="166">
        <v>1</v>
      </c>
      <c r="E36" s="167">
        <f>VLOOKUP(B36,[2]Hoja1!$C$2:$E$279,3,FALSE)</f>
        <v>677.01</v>
      </c>
      <c r="F36" s="167">
        <f>E36*D36</f>
        <v>677.01</v>
      </c>
      <c r="G36" s="167">
        <v>621.91</v>
      </c>
      <c r="H36" s="167">
        <v>483.62</v>
      </c>
      <c r="I36" s="872">
        <f>((F36/H36)*100)-100</f>
        <v>39.988007113022604</v>
      </c>
      <c r="J36" s="146">
        <f>J34*D36</f>
        <v>2783</v>
      </c>
    </row>
    <row r="37" spans="1:11" ht="16.899999999999999" customHeight="1" x14ac:dyDescent="0.25">
      <c r="A37" s="120"/>
      <c r="B37" s="1266"/>
      <c r="C37" s="1266" t="s">
        <v>37</v>
      </c>
      <c r="D37" s="1286"/>
      <c r="E37" s="1267"/>
      <c r="F37" s="1267">
        <f>SUM(F35:F36)</f>
        <v>789.66</v>
      </c>
      <c r="G37" s="1267"/>
      <c r="H37" s="1267">
        <f>SUM(H35:H36)</f>
        <v>593.56999999999994</v>
      </c>
      <c r="I37" s="270">
        <f>((F37/H37)*100)-100</f>
        <v>33.035699243560146</v>
      </c>
    </row>
    <row r="38" spans="1:11" x14ac:dyDescent="0.25">
      <c r="H38" s="1" t="str">
        <f>+'CIF Y PV'!$G$1</f>
        <v>MAYO</v>
      </c>
    </row>
    <row r="39" spans="1:11" x14ac:dyDescent="0.25">
      <c r="A39" s="120"/>
      <c r="B39" s="1735" t="s">
        <v>400</v>
      </c>
      <c r="C39" s="1735"/>
      <c r="E39" s="884"/>
      <c r="F39" s="884"/>
      <c r="G39" s="884"/>
      <c r="H39" s="884">
        <f>+F37+G20</f>
        <v>3387.0504504765004</v>
      </c>
      <c r="I39" s="194"/>
      <c r="J39" s="884"/>
      <c r="K39" s="194"/>
    </row>
    <row r="40" spans="1:11" x14ac:dyDescent="0.25">
      <c r="A40" s="120"/>
      <c r="B40" s="1736" t="s">
        <v>48</v>
      </c>
      <c r="C40" s="1737"/>
      <c r="E40" s="884"/>
      <c r="F40" s="884"/>
      <c r="G40" s="884"/>
      <c r="H40" s="884">
        <f>+('CIF Y PV'!C3/1000)*450</f>
        <v>850.5</v>
      </c>
      <c r="I40" s="197"/>
      <c r="J40" s="884"/>
      <c r="K40" s="197"/>
    </row>
    <row r="41" spans="1:11" x14ac:dyDescent="0.25">
      <c r="A41" s="120"/>
      <c r="B41" s="1736" t="s">
        <v>482</v>
      </c>
      <c r="C41" s="1737"/>
      <c r="E41" s="884"/>
      <c r="F41" s="884"/>
      <c r="G41" s="884"/>
      <c r="H41" s="884">
        <f>+H40+H39</f>
        <v>4237.5504504765004</v>
      </c>
      <c r="I41" s="198"/>
      <c r="J41" s="884"/>
      <c r="K41" s="198"/>
    </row>
    <row r="42" spans="1:11" x14ac:dyDescent="0.25">
      <c r="A42" s="120"/>
      <c r="B42" s="1735" t="s">
        <v>49</v>
      </c>
      <c r="C42" s="1735"/>
      <c r="E42" s="884"/>
      <c r="F42" s="884"/>
      <c r="G42" s="884"/>
      <c r="H42" s="884">
        <f>'CIF Y PV'!C28</f>
        <v>9233.9568000000017</v>
      </c>
      <c r="J42" s="884"/>
      <c r="K42" s="300"/>
    </row>
    <row r="43" spans="1:11" x14ac:dyDescent="0.2">
      <c r="A43" s="120"/>
      <c r="B43" s="1735" t="s">
        <v>805</v>
      </c>
      <c r="C43" s="1735"/>
      <c r="E43" s="884"/>
      <c r="F43" s="884"/>
      <c r="G43" s="884"/>
      <c r="H43" s="928">
        <f>+(H42-H41)/H42</f>
        <v>0.54109050515847124</v>
      </c>
      <c r="I43" s="199"/>
      <c r="J43" s="146"/>
      <c r="K43" s="199"/>
    </row>
    <row r="54" spans="5:5" x14ac:dyDescent="0.25">
      <c r="E54" s="120">
        <v>49.48</v>
      </c>
    </row>
  </sheetData>
  <mergeCells count="9">
    <mergeCell ref="B43:C43"/>
    <mergeCell ref="B40:C40"/>
    <mergeCell ref="B41:C41"/>
    <mergeCell ref="B42:C42"/>
    <mergeCell ref="B2:J2"/>
    <mergeCell ref="B20:C20"/>
    <mergeCell ref="B22:C22"/>
    <mergeCell ref="B33:I33"/>
    <mergeCell ref="B39:C39"/>
  </mergeCells>
  <pageMargins left="0.7" right="0.7" top="0.75" bottom="0.75" header="0.3" footer="0.3"/>
  <pageSetup scale="42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24A6-99E8-417A-9365-FCF5B1E62E3F}">
  <sheetPr codeName="Hoja36"/>
  <dimension ref="A2:M45"/>
  <sheetViews>
    <sheetView view="pageBreakPreview" topLeftCell="A22" zoomScale="90" zoomScaleNormal="100" zoomScaleSheetLayoutView="90" workbookViewId="0">
      <selection activeCell="G20" sqref="G20"/>
    </sheetView>
  </sheetViews>
  <sheetFormatPr baseColWidth="10" defaultColWidth="11.5703125" defaultRowHeight="13.5" x14ac:dyDescent="0.25"/>
  <cols>
    <col min="1" max="1" width="20.42578125" style="1" bestFit="1" customWidth="1"/>
    <col min="2" max="2" width="11.5703125" style="120"/>
    <col min="3" max="3" width="67.42578125" style="120" bestFit="1" customWidth="1"/>
    <col min="4" max="4" width="11.5703125" style="119"/>
    <col min="5" max="5" width="11.5703125" style="120"/>
    <col min="6" max="7" width="13.5703125" style="120" bestFit="1" customWidth="1"/>
    <col min="8" max="8" width="12.5703125" style="120" bestFit="1" customWidth="1"/>
    <col min="9" max="9" width="17" style="120" customWidth="1"/>
    <col min="10" max="10" width="16.28515625" style="120" customWidth="1"/>
    <col min="11" max="11" width="13.5703125" style="120" customWidth="1"/>
    <col min="12" max="13" width="13.42578125" style="120" customWidth="1"/>
    <col min="14" max="16384" width="11.5703125" style="120"/>
  </cols>
  <sheetData>
    <row r="2" spans="2:12" s="42" customFormat="1" ht="26.25" customHeight="1" x14ac:dyDescent="0.25">
      <c r="B2" s="1743" t="s">
        <v>230</v>
      </c>
      <c r="C2" s="1743"/>
      <c r="D2" s="1743"/>
      <c r="E2" s="1743"/>
      <c r="F2" s="1743"/>
      <c r="G2" s="1743"/>
      <c r="H2" s="1743"/>
      <c r="I2" s="1743"/>
      <c r="J2" s="1743"/>
      <c r="K2" s="89"/>
      <c r="L2" s="89"/>
    </row>
    <row r="4" spans="2:12" s="42" customFormat="1" ht="25.5" x14ac:dyDescent="0.25">
      <c r="B4" s="1271" t="s">
        <v>0</v>
      </c>
      <c r="C4" s="1271" t="s">
        <v>1</v>
      </c>
      <c r="D4" s="1314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98" t="s">
        <v>3</v>
      </c>
      <c r="K4" s="1337">
        <f>+D22/1000</f>
        <v>0.94950000000000001</v>
      </c>
    </row>
    <row r="5" spans="2:12" s="42" customFormat="1" ht="16.5" x14ac:dyDescent="0.25">
      <c r="B5" s="154">
        <v>1112013</v>
      </c>
      <c r="C5" s="154" t="s">
        <v>503</v>
      </c>
      <c r="D5" s="189">
        <v>0.45462059999999999</v>
      </c>
      <c r="E5" s="72">
        <v>47.88</v>
      </c>
      <c r="F5" s="1403">
        <f>VLOOKUP(B5,[2]Hoja1!$C$2:$E$279,3,FALSE)</f>
        <v>3800</v>
      </c>
      <c r="G5" s="193">
        <f t="shared" ref="G5:G19" si="0">F6*D5</f>
        <v>0</v>
      </c>
      <c r="H5" s="896">
        <v>4222.72</v>
      </c>
      <c r="I5" s="73">
        <f>H5*D5</f>
        <v>1919.7355000320001</v>
      </c>
      <c r="J5" s="536">
        <f t="shared" ref="J5:J14" si="1">((F6/H5)*100)-100</f>
        <v>-100</v>
      </c>
      <c r="K5" s="336">
        <f>$K$4*E5%</f>
        <v>0.45462059999999999</v>
      </c>
    </row>
    <row r="6" spans="2:12" s="42" customFormat="1" ht="16.5" x14ac:dyDescent="0.25">
      <c r="B6" s="154">
        <f>VLOOKUP(C6,[1]Hoja1!$B$2:$C$260,2,FALSE)</f>
        <v>1131002</v>
      </c>
      <c r="C6" s="154" t="s">
        <v>663</v>
      </c>
      <c r="D6" s="190">
        <v>0.13644314999999999</v>
      </c>
      <c r="E6" s="72">
        <v>14.37</v>
      </c>
      <c r="F6" s="1403">
        <f>VLOOKUP(B6,[2]Hoja1!$C$2:$E$279,3,FALSE)</f>
        <v>0</v>
      </c>
      <c r="G6" s="193">
        <f t="shared" si="0"/>
        <v>6952.1591688884992</v>
      </c>
      <c r="H6" s="106">
        <v>0</v>
      </c>
      <c r="I6" s="73">
        <f t="shared" ref="I6:I19" si="2">H6*D6</f>
        <v>0</v>
      </c>
      <c r="J6" s="536" t="e">
        <f t="shared" si="1"/>
        <v>#DIV/0!</v>
      </c>
      <c r="K6" s="336">
        <f t="shared" ref="K6:K19" si="3">$K$4*E6%</f>
        <v>0.13644314999999999</v>
      </c>
    </row>
    <row r="7" spans="2:12" s="42" customFormat="1" ht="16.5" x14ac:dyDescent="0.25">
      <c r="B7" s="154">
        <f>VLOOKUP(C7,[1]Hoja1!$B$2:$C$260,2,FALSE)</f>
        <v>1250003</v>
      </c>
      <c r="C7" s="154" t="s">
        <v>914</v>
      </c>
      <c r="D7" s="190">
        <v>5.1000000000000004E-4</v>
      </c>
      <c r="E7" s="72">
        <v>5.3712480252764615E-2</v>
      </c>
      <c r="F7" s="1403">
        <f>VLOOKUP(B7,[2]Hoja1!$C$2:$E$279,3,FALSE)</f>
        <v>50952.79</v>
      </c>
      <c r="G7" s="193">
        <f t="shared" si="0"/>
        <v>2.5978889999999999</v>
      </c>
      <c r="H7" s="96">
        <v>47385.41</v>
      </c>
      <c r="I7" s="73">
        <f t="shared" si="2"/>
        <v>24.166559100000004</v>
      </c>
      <c r="J7" s="536">
        <f t="shared" si="1"/>
        <v>-89.250066634434518</v>
      </c>
      <c r="K7" s="336">
        <f t="shared" si="3"/>
        <v>5.1000000000000004E-4</v>
      </c>
    </row>
    <row r="8" spans="2:12" s="42" customFormat="1" ht="16.5" x14ac:dyDescent="0.25">
      <c r="B8" s="154">
        <f>VLOOKUP(C8,[1]Hoja1!$B$2:$C$260,2,FALSE)</f>
        <v>1250001</v>
      </c>
      <c r="C8" s="154" t="s">
        <v>1160</v>
      </c>
      <c r="D8" s="190">
        <v>4.3677000000000004E-3</v>
      </c>
      <c r="E8" s="72">
        <v>0.46</v>
      </c>
      <c r="F8" s="1403">
        <f>VLOOKUP(B8,[2]Hoja1!$C$2:$E$279,3,FALSE)</f>
        <v>5093.8999999999996</v>
      </c>
      <c r="G8" s="193">
        <f t="shared" si="0"/>
        <v>220.46489874</v>
      </c>
      <c r="H8" s="106">
        <v>4885.95</v>
      </c>
      <c r="I8" s="73">
        <f t="shared" si="2"/>
        <v>21.340363815</v>
      </c>
      <c r="J8" s="536">
        <f t="shared" si="1"/>
        <v>933.08875448991489</v>
      </c>
      <c r="K8" s="336">
        <f t="shared" si="3"/>
        <v>4.3677000000000004E-3</v>
      </c>
    </row>
    <row r="9" spans="2:12" s="42" customFormat="1" ht="16.5" x14ac:dyDescent="0.25">
      <c r="B9" s="154">
        <f>VLOOKUP(C9,[1]Hoja1!$B$2:$C$260,2,FALSE)</f>
        <v>1220008</v>
      </c>
      <c r="C9" s="154" t="s">
        <v>1157</v>
      </c>
      <c r="D9" s="190">
        <v>1.6141500000000002E-3</v>
      </c>
      <c r="E9" s="72">
        <v>0.17</v>
      </c>
      <c r="F9" s="1403">
        <f>VLOOKUP(B9,[2]Hoja1!$C$2:$E$279,3,FALSE)</f>
        <v>50476.2</v>
      </c>
      <c r="G9" s="193">
        <f t="shared" si="0"/>
        <v>28.134618358500006</v>
      </c>
      <c r="H9" s="949">
        <v>48608.39</v>
      </c>
      <c r="I9" s="73">
        <f t="shared" si="2"/>
        <v>78.461232718500014</v>
      </c>
      <c r="J9" s="536">
        <f t="shared" si="1"/>
        <v>-64.142013343786942</v>
      </c>
      <c r="K9" s="336">
        <f t="shared" si="3"/>
        <v>1.6141500000000002E-3</v>
      </c>
    </row>
    <row r="10" spans="2:12" s="42" customFormat="1" ht="16.5" x14ac:dyDescent="0.25">
      <c r="B10" s="154">
        <f>VLOOKUP(C10,[1]Hoja1!$B$2:$C$260,2,FALSE)</f>
        <v>1220005</v>
      </c>
      <c r="C10" s="154" t="s">
        <v>1135</v>
      </c>
      <c r="D10" s="189">
        <v>9.4950000000000004E-4</v>
      </c>
      <c r="E10" s="72">
        <v>0.1</v>
      </c>
      <c r="F10" s="1403">
        <f>VLOOKUP(B10,[2]Hoja1!$C$2:$E$279,3,FALSE)</f>
        <v>17429.990000000002</v>
      </c>
      <c r="G10" s="193">
        <f t="shared" si="0"/>
        <v>20.235895920000001</v>
      </c>
      <c r="H10" s="880">
        <v>17430</v>
      </c>
      <c r="I10" s="73">
        <f t="shared" si="2"/>
        <v>16.549785</v>
      </c>
      <c r="J10" s="536">
        <f t="shared" si="1"/>
        <v>22.272862880091807</v>
      </c>
      <c r="K10" s="336">
        <f t="shared" si="3"/>
        <v>9.4950000000000004E-4</v>
      </c>
    </row>
    <row r="11" spans="2:12" s="42" customFormat="1" ht="16.5" x14ac:dyDescent="0.25">
      <c r="B11" s="154">
        <f>VLOOKUP(C11,[1]Hoja1!$B$2:$C$260,2,FALSE)</f>
        <v>1220009</v>
      </c>
      <c r="C11" s="154" t="s">
        <v>1133</v>
      </c>
      <c r="D11" s="190">
        <v>9.4950000000000004E-4</v>
      </c>
      <c r="E11" s="72">
        <v>0.1</v>
      </c>
      <c r="F11" s="1403">
        <f>VLOOKUP(B11,[2]Hoja1!$C$2:$E$279,3,FALSE)</f>
        <v>21312.16</v>
      </c>
      <c r="G11" s="193">
        <f t="shared" si="0"/>
        <v>57.047593140000004</v>
      </c>
      <c r="H11" s="95">
        <v>20299</v>
      </c>
      <c r="I11" s="73">
        <f t="shared" si="2"/>
        <v>19.2739005</v>
      </c>
      <c r="J11" s="536">
        <f t="shared" si="1"/>
        <v>195.98364451450811</v>
      </c>
      <c r="K11" s="336">
        <f t="shared" si="3"/>
        <v>9.4950000000000004E-4</v>
      </c>
    </row>
    <row r="12" spans="2:12" s="42" customFormat="1" ht="16.5" x14ac:dyDescent="0.25">
      <c r="B12" s="154">
        <f>VLOOKUP(C12,[1]Hoja1!$B$2:$C$260,2,FALSE)</f>
        <v>1220007</v>
      </c>
      <c r="C12" s="154" t="s">
        <v>916</v>
      </c>
      <c r="D12" s="189">
        <v>7.7999999999999999E-4</v>
      </c>
      <c r="E12" s="72">
        <v>8.2148499210110582E-2</v>
      </c>
      <c r="F12" s="1403">
        <f>VLOOKUP(B12,[2]Hoja1!$C$2:$E$279,3,FALSE)</f>
        <v>60081.72</v>
      </c>
      <c r="G12" s="193">
        <f t="shared" si="0"/>
        <v>10.966799999999999</v>
      </c>
      <c r="H12" s="106">
        <v>56748.6</v>
      </c>
      <c r="I12" s="73">
        <f t="shared" si="2"/>
        <v>44.263908000000001</v>
      </c>
      <c r="J12" s="536">
        <f t="shared" si="1"/>
        <v>-75.224058390867796</v>
      </c>
      <c r="K12" s="336">
        <f t="shared" si="3"/>
        <v>7.7999999999999999E-4</v>
      </c>
    </row>
    <row r="13" spans="2:12" s="42" customFormat="1" ht="16.5" x14ac:dyDescent="0.25">
      <c r="B13" s="154">
        <f>VLOOKUP(C13,[1]Hoja1!$B$2:$C$260,2,FALSE)</f>
        <v>1220014</v>
      </c>
      <c r="C13" s="154" t="s">
        <v>1146</v>
      </c>
      <c r="D13" s="190">
        <v>1.091925E-2</v>
      </c>
      <c r="E13" s="72">
        <v>1.1499999999999999</v>
      </c>
      <c r="F13" s="1403">
        <f>VLOOKUP(B13,[2]Hoja1!$C$2:$E$279,3,FALSE)</f>
        <v>14060</v>
      </c>
      <c r="G13" s="193">
        <f t="shared" si="0"/>
        <v>106.71383025</v>
      </c>
      <c r="H13" s="914">
        <v>13300.01</v>
      </c>
      <c r="I13" s="73">
        <f t="shared" si="2"/>
        <v>145.22613419250001</v>
      </c>
      <c r="J13" s="536">
        <f t="shared" si="1"/>
        <v>-26.518852241464486</v>
      </c>
      <c r="K13" s="336">
        <f t="shared" si="3"/>
        <v>1.091925E-2</v>
      </c>
    </row>
    <row r="14" spans="2:12" s="42" customFormat="1" ht="16.5" x14ac:dyDescent="0.25">
      <c r="B14" s="154">
        <f>VLOOKUP(C14,[1]Hoja1!$B$2:$C$260,2,FALSE)</f>
        <v>1220011</v>
      </c>
      <c r="C14" s="154" t="s">
        <v>1167</v>
      </c>
      <c r="D14" s="190">
        <v>1.8040500000000001E-2</v>
      </c>
      <c r="E14" s="72">
        <v>1.9</v>
      </c>
      <c r="F14" s="1403">
        <f>VLOOKUP(B14,[2]Hoja1!$C$2:$E$279,3,FALSE)</f>
        <v>9773</v>
      </c>
      <c r="G14" s="193">
        <f t="shared" si="0"/>
        <v>184.06343299500003</v>
      </c>
      <c r="H14" s="923">
        <v>9772.9599999999991</v>
      </c>
      <c r="I14" s="73">
        <f t="shared" si="2"/>
        <v>176.30908488</v>
      </c>
      <c r="J14" s="536">
        <f t="shared" si="1"/>
        <v>4.398155727640372</v>
      </c>
      <c r="K14" s="336">
        <f t="shared" si="3"/>
        <v>1.8040500000000001E-2</v>
      </c>
    </row>
    <row r="15" spans="2:12" s="42" customFormat="1" ht="16.5" x14ac:dyDescent="0.25">
      <c r="B15" s="154">
        <v>1260008</v>
      </c>
      <c r="C15" s="154" t="s">
        <v>1044</v>
      </c>
      <c r="D15" s="190">
        <v>2.0699100000000002E-2</v>
      </c>
      <c r="E15" s="72">
        <v>2.1800000000000002</v>
      </c>
      <c r="F15" s="1403">
        <f>VLOOKUP(B15,[2]Hoja1!$C$2:$E$279,3,FALSE)</f>
        <v>10202.790000000001</v>
      </c>
      <c r="G15" s="193">
        <f t="shared" si="0"/>
        <v>144.05973326100002</v>
      </c>
      <c r="H15" s="1712"/>
      <c r="I15" s="73"/>
      <c r="J15" s="536"/>
      <c r="K15" s="336">
        <f t="shared" si="3"/>
        <v>2.0699100000000002E-2</v>
      </c>
    </row>
    <row r="16" spans="2:12" s="42" customFormat="1" ht="16.5" x14ac:dyDescent="0.25">
      <c r="B16" s="154">
        <f>VLOOKUP(C16,[1]Hoja1!$B$2:$C$260,2,FALSE)</f>
        <v>1260010</v>
      </c>
      <c r="C16" s="154" t="s">
        <v>1043</v>
      </c>
      <c r="D16" s="190">
        <v>3.74103E-2</v>
      </c>
      <c r="E16" s="72">
        <v>3.94</v>
      </c>
      <c r="F16" s="1403">
        <f>VLOOKUP(B16,[2]Hoja1!$C$2:$E$279,3,FALSE)</f>
        <v>6959.71</v>
      </c>
      <c r="G16" s="193">
        <f t="shared" si="0"/>
        <v>451.13828976000002</v>
      </c>
      <c r="H16" s="106">
        <v>8234.27</v>
      </c>
      <c r="I16" s="73">
        <f t="shared" si="2"/>
        <v>308.04651098100004</v>
      </c>
      <c r="J16" s="536">
        <f t="shared" ref="J16:J17" si="4">((F16/H16)*100)-100</f>
        <v>-15.478724890002397</v>
      </c>
      <c r="K16" s="336">
        <f t="shared" si="3"/>
        <v>3.74103E-2</v>
      </c>
    </row>
    <row r="17" spans="1:11" s="42" customFormat="1" ht="16.5" x14ac:dyDescent="0.25">
      <c r="B17" s="154">
        <v>1122008</v>
      </c>
      <c r="C17" s="154" t="s">
        <v>1142</v>
      </c>
      <c r="D17" s="190">
        <v>0.18125954999999999</v>
      </c>
      <c r="E17" s="72">
        <v>19.09</v>
      </c>
      <c r="F17" s="1403">
        <f>VLOOKUP(B17,[2]Hoja1!$C$2:$E$279,3,FALSE)</f>
        <v>12059.2</v>
      </c>
      <c r="G17" s="193">
        <f t="shared" si="0"/>
        <v>625.34726009550002</v>
      </c>
      <c r="H17" s="879">
        <v>12498.76</v>
      </c>
      <c r="I17" s="73">
        <f t="shared" si="2"/>
        <v>2265.5196131580001</v>
      </c>
      <c r="J17" s="536">
        <f t="shared" si="4"/>
        <v>-3.5168288694238328</v>
      </c>
      <c r="K17" s="336">
        <f t="shared" si="3"/>
        <v>0.18125954999999999</v>
      </c>
    </row>
    <row r="18" spans="1:11" s="42" customFormat="1" ht="16.5" x14ac:dyDescent="0.25">
      <c r="B18" s="154">
        <f>VLOOKUP(C18,[1]Hoja1!$B$2:$C$260,2,FALSE)</f>
        <v>1260015</v>
      </c>
      <c r="C18" s="154" t="s">
        <v>785</v>
      </c>
      <c r="D18" s="189">
        <v>7.4820600000000001E-2</v>
      </c>
      <c r="E18" s="72">
        <v>7.88</v>
      </c>
      <c r="F18" s="1403">
        <f>VLOOKUP(B18,[2]Hoja1!$C$2:$E$279,3,FALSE)</f>
        <v>3450.01</v>
      </c>
      <c r="G18" s="193">
        <f t="shared" si="0"/>
        <v>101.45673360000001</v>
      </c>
      <c r="H18" s="96">
        <v>3400.01</v>
      </c>
      <c r="I18" s="73">
        <f t="shared" si="2"/>
        <v>254.39078820600002</v>
      </c>
      <c r="J18" s="536">
        <f>((F18/H18)*100)-100</f>
        <v>1.4705839100473241</v>
      </c>
      <c r="K18" s="336">
        <f t="shared" si="3"/>
        <v>7.4820600000000001E-2</v>
      </c>
    </row>
    <row r="19" spans="1:11" s="42" customFormat="1" ht="16.5" x14ac:dyDescent="0.25">
      <c r="B19" s="154">
        <f>VLOOKUP(C19,[1]Hoja1!$B$2:$C$260,2,FALSE)</f>
        <v>1210005</v>
      </c>
      <c r="C19" s="154" t="s">
        <v>1155</v>
      </c>
      <c r="D19" s="191">
        <v>6.2667E-3</v>
      </c>
      <c r="E19" s="72">
        <v>0.66</v>
      </c>
      <c r="F19" s="1403">
        <f>VLOOKUP(B19,[2]Hoja1!$C$2:$E$279,3,FALSE)</f>
        <v>1356</v>
      </c>
      <c r="G19" s="193">
        <f t="shared" si="0"/>
        <v>0</v>
      </c>
      <c r="H19" s="880">
        <v>1360</v>
      </c>
      <c r="I19" s="73">
        <f t="shared" si="2"/>
        <v>8.5227120000000003</v>
      </c>
      <c r="J19" s="536">
        <f>((F19/H19)*100)-100</f>
        <v>-0.29411764705882604</v>
      </c>
      <c r="K19" s="336">
        <f t="shared" si="3"/>
        <v>6.2667E-3</v>
      </c>
    </row>
    <row r="20" spans="1:11" s="42" customFormat="1" ht="16.5" x14ac:dyDescent="0.25">
      <c r="B20" s="1777"/>
      <c r="C20" s="1778"/>
      <c r="D20" s="1329">
        <f>SUM(D5:D19)</f>
        <v>0.94965060000000012</v>
      </c>
      <c r="E20" s="1382">
        <f>SUM(E5:E19)</f>
        <v>100.01586097946289</v>
      </c>
      <c r="F20" s="1382"/>
      <c r="G20" s="1382">
        <f>SUM(G5:G19)</f>
        <v>8904.3861440084966</v>
      </c>
      <c r="H20" s="1383"/>
      <c r="I20" s="1354">
        <f>SUM(I5:I19)</f>
        <v>5281.8060925830005</v>
      </c>
      <c r="J20" s="1331">
        <f>((G20/I20)*100)-100</f>
        <v>68.586009935361318</v>
      </c>
      <c r="K20" s="1337"/>
    </row>
    <row r="22" spans="1:11" ht="25.5" x14ac:dyDescent="0.25">
      <c r="A22" s="120"/>
      <c r="B22" s="1765" t="s">
        <v>50</v>
      </c>
      <c r="C22" s="1766"/>
      <c r="D22" s="38">
        <f>+C25+(C25*C31%)</f>
        <v>949.5</v>
      </c>
      <c r="E22" s="195"/>
      <c r="F22" s="195"/>
      <c r="G22" s="195"/>
      <c r="H22" s="195"/>
      <c r="I22" s="195"/>
    </row>
    <row r="23" spans="1:11" x14ac:dyDescent="0.25">
      <c r="A23" s="120"/>
      <c r="B23" s="1284" t="s">
        <v>38</v>
      </c>
      <c r="C23" s="161" t="s">
        <v>90</v>
      </c>
      <c r="H23" s="146"/>
    </row>
    <row r="24" spans="1:11" x14ac:dyDescent="0.25">
      <c r="A24" s="120"/>
      <c r="B24" s="1285" t="s">
        <v>39</v>
      </c>
      <c r="C24" s="163" t="s">
        <v>221</v>
      </c>
      <c r="H24" s="146"/>
    </row>
    <row r="25" spans="1:11" x14ac:dyDescent="0.25">
      <c r="A25" s="120"/>
      <c r="B25" s="1285" t="s">
        <v>40</v>
      </c>
      <c r="C25" s="163">
        <v>900</v>
      </c>
      <c r="H25" s="146"/>
    </row>
    <row r="26" spans="1:11" x14ac:dyDescent="0.25">
      <c r="A26" s="120"/>
      <c r="B26" s="1285" t="s">
        <v>41</v>
      </c>
      <c r="C26" s="163">
        <v>0.5</v>
      </c>
      <c r="H26" s="146"/>
    </row>
    <row r="27" spans="1:11" x14ac:dyDescent="0.25">
      <c r="A27" s="120"/>
      <c r="B27" s="1285" t="s">
        <v>42</v>
      </c>
      <c r="C27" s="163">
        <v>0</v>
      </c>
      <c r="H27" s="146"/>
    </row>
    <row r="28" spans="1:11" x14ac:dyDescent="0.25">
      <c r="A28" s="120"/>
      <c r="B28" s="1285" t="s">
        <v>43</v>
      </c>
      <c r="C28" s="163">
        <v>4</v>
      </c>
      <c r="H28" s="146"/>
    </row>
    <row r="29" spans="1:11" x14ac:dyDescent="0.25">
      <c r="A29" s="120"/>
      <c r="B29" s="1285" t="s">
        <v>44</v>
      </c>
      <c r="C29" s="163">
        <v>0</v>
      </c>
      <c r="H29" s="146"/>
    </row>
    <row r="30" spans="1:11" x14ac:dyDescent="0.25">
      <c r="A30" s="120"/>
      <c r="B30" s="1285" t="s">
        <v>45</v>
      </c>
      <c r="C30" s="163">
        <v>1</v>
      </c>
      <c r="H30" s="146"/>
    </row>
    <row r="31" spans="1:11" x14ac:dyDescent="0.25">
      <c r="A31" s="120"/>
      <c r="B31" s="1285" t="s">
        <v>46</v>
      </c>
      <c r="C31" s="196">
        <f>SUM(C26:C30)</f>
        <v>5.5</v>
      </c>
      <c r="H31" s="146"/>
    </row>
    <row r="33" spans="1:13" ht="25.5" x14ac:dyDescent="0.25">
      <c r="A33" s="120"/>
      <c r="B33" s="1810" t="s">
        <v>47</v>
      </c>
      <c r="C33" s="1811"/>
      <c r="D33" s="1811"/>
      <c r="E33" s="1811"/>
      <c r="F33" s="1811"/>
      <c r="G33" s="1811"/>
      <c r="H33" s="1811"/>
      <c r="I33" s="1811"/>
      <c r="J33" s="414" t="s">
        <v>541</v>
      </c>
      <c r="K33" s="415" t="s">
        <v>542</v>
      </c>
    </row>
    <row r="34" spans="1:13" ht="25.5" x14ac:dyDescent="0.25">
      <c r="A34" s="120"/>
      <c r="B34" s="1266" t="s">
        <v>0</v>
      </c>
      <c r="C34" s="1266" t="s">
        <v>1</v>
      </c>
      <c r="D34" s="1286" t="s">
        <v>2</v>
      </c>
      <c r="E34" s="1243" t="str">
        <f>+'CIF Y PV'!$F$4</f>
        <v xml:space="preserve">JUN-COP/UMB </v>
      </c>
      <c r="F34" s="1243" t="str">
        <f>+'CIF Y PV'!$G$4</f>
        <v>JUN-COP/APP</v>
      </c>
      <c r="G34" s="1243" t="str">
        <f>+'CIF Y PV'!$H$4</f>
        <v xml:space="preserve">MAY-COP/UMB </v>
      </c>
      <c r="H34" s="1243" t="str">
        <f>+'CIF Y PV'!$I$4</f>
        <v>MAY-COP/APP</v>
      </c>
      <c r="I34" s="1326" t="s">
        <v>3</v>
      </c>
      <c r="J34" s="146">
        <v>7599</v>
      </c>
      <c r="K34" s="146">
        <v>2722</v>
      </c>
    </row>
    <row r="35" spans="1:13" x14ac:dyDescent="0.25">
      <c r="A35" s="120"/>
      <c r="B35" s="165">
        <f>VLOOKUP(C35,[1]Hoja1!$B$2:$C$260,2,FALSE)</f>
        <v>1360003</v>
      </c>
      <c r="C35" s="165" t="s">
        <v>1054</v>
      </c>
      <c r="D35" s="166">
        <v>10</v>
      </c>
      <c r="E35" s="167">
        <f>VLOOKUP(B35,[2]Hoja1!$C$2:$E$279,3,FALSE)</f>
        <v>22.53</v>
      </c>
      <c r="F35" s="167">
        <f>E35*D35</f>
        <v>225.3</v>
      </c>
      <c r="G35" s="167">
        <v>24.5</v>
      </c>
      <c r="H35" s="167">
        <f>G35*D35</f>
        <v>245</v>
      </c>
      <c r="I35" s="167">
        <f>((G35/E35)*100)-100</f>
        <v>8.7438970261872981</v>
      </c>
      <c r="J35" s="146">
        <f>J34*D35</f>
        <v>75990</v>
      </c>
      <c r="K35" s="146">
        <f>K34*D35</f>
        <v>27220</v>
      </c>
    </row>
    <row r="36" spans="1:13" ht="15" x14ac:dyDescent="0.25">
      <c r="A36" s="120"/>
      <c r="B36" s="165">
        <f>VLOOKUP(C36,[1]Hoja1!$B$2:$C$260,2,FALSE)</f>
        <v>1340005</v>
      </c>
      <c r="C36" s="165" t="s">
        <v>1203</v>
      </c>
      <c r="D36" s="166">
        <v>1</v>
      </c>
      <c r="E36" s="167">
        <f>VLOOKUP(B36,[2]Hoja1!$C$2:$E$279,3,FALSE)</f>
        <v>482.97</v>
      </c>
      <c r="F36" s="167">
        <f>E36*D36</f>
        <v>482.97</v>
      </c>
      <c r="G36" s="866">
        <v>459.98</v>
      </c>
      <c r="H36" s="167">
        <f>G36*D36</f>
        <v>459.98</v>
      </c>
      <c r="I36" s="167">
        <f>((G36/E36)*100)-100</f>
        <v>-4.760130028780253</v>
      </c>
      <c r="J36" s="146">
        <f>J34*D36</f>
        <v>7599</v>
      </c>
      <c r="K36" s="146">
        <f>K34*D36</f>
        <v>2722</v>
      </c>
    </row>
    <row r="37" spans="1:13" ht="16.899999999999999" customHeight="1" x14ac:dyDescent="0.25">
      <c r="A37" s="120"/>
      <c r="B37" s="1266"/>
      <c r="C37" s="1266" t="s">
        <v>37</v>
      </c>
      <c r="D37" s="1286"/>
      <c r="E37" s="1267"/>
      <c r="F37" s="1267">
        <f>SUM(F35:F36)</f>
        <v>708.27</v>
      </c>
      <c r="G37" s="1267"/>
      <c r="H37" s="1267">
        <f>SUM(H35:H36)</f>
        <v>704.98</v>
      </c>
      <c r="I37" s="1267">
        <f>((F37/H37)*100)-100</f>
        <v>0.46667990581292429</v>
      </c>
    </row>
    <row r="38" spans="1:13" x14ac:dyDescent="0.25">
      <c r="H38" s="1" t="str">
        <f>+'CIF Y PV'!$G$1</f>
        <v>MAYO</v>
      </c>
    </row>
    <row r="39" spans="1:13" x14ac:dyDescent="0.25">
      <c r="A39" s="120"/>
      <c r="B39" s="1735" t="s">
        <v>301</v>
      </c>
      <c r="C39" s="1735"/>
      <c r="E39" s="884"/>
      <c r="F39" s="884"/>
      <c r="G39" s="884"/>
      <c r="H39" s="884">
        <f>+G20+F37</f>
        <v>9612.656144008497</v>
      </c>
      <c r="I39" s="194"/>
      <c r="K39" s="884"/>
      <c r="L39" s="194"/>
    </row>
    <row r="40" spans="1:13" x14ac:dyDescent="0.25">
      <c r="A40" s="120"/>
      <c r="B40" s="1736" t="s">
        <v>48</v>
      </c>
      <c r="C40" s="1737"/>
      <c r="E40" s="884"/>
      <c r="F40" s="884"/>
      <c r="G40" s="884"/>
      <c r="H40" s="884">
        <f>+('CIF Y PV'!C3/1000)*900</f>
        <v>1701</v>
      </c>
      <c r="I40" s="796"/>
      <c r="J40" s="942"/>
      <c r="K40" s="884"/>
      <c r="L40" s="796"/>
      <c r="M40" s="942"/>
    </row>
    <row r="41" spans="1:13" x14ac:dyDescent="0.25">
      <c r="A41" s="120"/>
      <c r="B41" s="1736" t="s">
        <v>305</v>
      </c>
      <c r="C41" s="1737"/>
      <c r="E41" s="884"/>
      <c r="F41" s="884"/>
      <c r="G41" s="884"/>
      <c r="H41" s="884">
        <f>+H40+H39</f>
        <v>11313.656144008497</v>
      </c>
      <c r="I41" s="796" t="s">
        <v>805</v>
      </c>
      <c r="J41" s="173"/>
      <c r="K41" s="884"/>
      <c r="L41" s="412"/>
      <c r="M41" s="173"/>
    </row>
    <row r="42" spans="1:13" x14ac:dyDescent="0.2">
      <c r="A42" s="120"/>
      <c r="B42" s="1735" t="s">
        <v>49</v>
      </c>
      <c r="C42" s="1735"/>
      <c r="E42" s="884"/>
      <c r="F42" s="884"/>
      <c r="G42" s="414" t="s">
        <v>541</v>
      </c>
      <c r="H42" s="884">
        <f>'CIF Y PV'!C25</f>
        <v>14331.751200000001</v>
      </c>
      <c r="I42" s="928">
        <f>+(H42-H41)/H42</f>
        <v>0.2105880163473326</v>
      </c>
      <c r="J42" s="646"/>
      <c r="K42" s="884"/>
      <c r="L42" s="647"/>
      <c r="M42" s="646"/>
    </row>
    <row r="43" spans="1:13" x14ac:dyDescent="0.2">
      <c r="A43" s="120"/>
      <c r="B43" s="1735" t="s">
        <v>49</v>
      </c>
      <c r="C43" s="1735"/>
      <c r="G43" s="415" t="s">
        <v>542</v>
      </c>
      <c r="H43" s="217">
        <f>'CIF Y PV'!C25</f>
        <v>14331.751200000001</v>
      </c>
      <c r="I43" s="928">
        <f>+(H43-H41)/H43</f>
        <v>0.2105880163473326</v>
      </c>
      <c r="J43" s="413"/>
      <c r="K43" s="146"/>
      <c r="L43" s="199">
        <f>1-L42</f>
        <v>1</v>
      </c>
      <c r="M43" s="413">
        <f>1-M42</f>
        <v>1</v>
      </c>
    </row>
    <row r="44" spans="1:13" x14ac:dyDescent="0.25">
      <c r="I44" s="890"/>
      <c r="J44" s="890"/>
    </row>
    <row r="45" spans="1:13" x14ac:dyDescent="0.25">
      <c r="I45" s="890"/>
      <c r="J45" s="890"/>
    </row>
  </sheetData>
  <mergeCells count="9">
    <mergeCell ref="B43:C43"/>
    <mergeCell ref="B42:C42"/>
    <mergeCell ref="B2:J2"/>
    <mergeCell ref="B40:C40"/>
    <mergeCell ref="B41:C41"/>
    <mergeCell ref="B20:C20"/>
    <mergeCell ref="B22:C22"/>
    <mergeCell ref="B39:C39"/>
    <mergeCell ref="B33:I33"/>
  </mergeCells>
  <pageMargins left="0.7" right="0.7" top="0.75" bottom="0.75" header="0.3" footer="0.3"/>
  <pageSetup scale="40" orientation="portrait" r:id="rId1"/>
  <colBreaks count="1" manualBreakCount="1">
    <brk id="12" max="49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3F84-641C-444C-9C75-BB75307B020F}">
  <sheetPr codeName="Hoja37"/>
  <dimension ref="B2:L48"/>
  <sheetViews>
    <sheetView view="pageBreakPreview" topLeftCell="A10" zoomScale="90" zoomScaleNormal="100" zoomScaleSheetLayoutView="90" workbookViewId="0">
      <selection activeCell="F22" sqref="F22"/>
    </sheetView>
  </sheetViews>
  <sheetFormatPr baseColWidth="10" defaultColWidth="11.5703125" defaultRowHeight="13.5" x14ac:dyDescent="0.25"/>
  <cols>
    <col min="1" max="1" width="21.5703125" style="120" bestFit="1" customWidth="1"/>
    <col min="2" max="2" width="11.5703125" style="120"/>
    <col min="3" max="3" width="67.42578125" style="120" bestFit="1" customWidth="1"/>
    <col min="4" max="4" width="13.85546875" style="120" bestFit="1" customWidth="1"/>
    <col min="5" max="5" width="11.5703125" style="120"/>
    <col min="6" max="6" width="13.5703125" style="120" bestFit="1" customWidth="1"/>
    <col min="7" max="7" width="15" style="120" customWidth="1"/>
    <col min="8" max="8" width="12.5703125" style="120" bestFit="1" customWidth="1"/>
    <col min="9" max="9" width="15" style="120" bestFit="1" customWidth="1"/>
    <col min="10" max="10" width="11.28515625" style="120" bestFit="1" customWidth="1"/>
    <col min="11" max="11" width="14.140625" style="119" bestFit="1" customWidth="1"/>
    <col min="12" max="16384" width="11.5703125" style="120"/>
  </cols>
  <sheetData>
    <row r="2" spans="2:12" s="42" customFormat="1" ht="26.25" customHeight="1" x14ac:dyDescent="0.25">
      <c r="B2" s="1743" t="s">
        <v>211</v>
      </c>
      <c r="C2" s="1743"/>
      <c r="D2" s="1743"/>
      <c r="E2" s="1743"/>
      <c r="F2" s="1743"/>
      <c r="G2" s="1743"/>
      <c r="H2" s="1743"/>
      <c r="I2" s="1743"/>
      <c r="J2" s="89"/>
      <c r="K2" s="346"/>
      <c r="L2" s="89"/>
    </row>
    <row r="4" spans="2:12" s="42" customFormat="1" ht="25.5" x14ac:dyDescent="0.25">
      <c r="B4" s="1271" t="s">
        <v>0</v>
      </c>
      <c r="C4" s="1271" t="s">
        <v>1</v>
      </c>
      <c r="D4" s="1271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98" t="s">
        <v>3</v>
      </c>
      <c r="K4" s="1341">
        <f>+D25/1000</f>
        <v>2.8485</v>
      </c>
    </row>
    <row r="5" spans="2:12" s="42" customFormat="1" ht="16.5" x14ac:dyDescent="0.25">
      <c r="B5" s="154">
        <v>1112013</v>
      </c>
      <c r="C5" s="154" t="s">
        <v>503</v>
      </c>
      <c r="D5" s="189">
        <v>1.4445000000000001</v>
      </c>
      <c r="E5" s="72">
        <v>50.710900473933648</v>
      </c>
      <c r="F5" s="896">
        <f>VLOOKUP(B5,[2]Hoja1!$C$2:$E$279,3,FALSE)</f>
        <v>3800</v>
      </c>
      <c r="G5" s="193">
        <f>F5*D5</f>
        <v>5489.1</v>
      </c>
      <c r="H5" s="896">
        <v>4222.72</v>
      </c>
      <c r="I5" s="73">
        <f>H5*D5</f>
        <v>6099.7190400000009</v>
      </c>
      <c r="J5" s="536">
        <f>((F5/H5)*100)-100</f>
        <v>-10.010609275538059</v>
      </c>
      <c r="K5" s="191">
        <f>$K$4*E5%</f>
        <v>1.4445000000000001</v>
      </c>
    </row>
    <row r="6" spans="2:12" s="42" customFormat="1" ht="16.5" x14ac:dyDescent="0.25">
      <c r="B6" s="154">
        <f>VLOOKUP(C6,[1]Hoja1!$B$2:$C$260,2,FALSE)</f>
        <v>1131002</v>
      </c>
      <c r="C6" s="154" t="s">
        <v>663</v>
      </c>
      <c r="D6" s="543">
        <v>0.517428</v>
      </c>
      <c r="E6" s="874">
        <v>18.164928909952604</v>
      </c>
      <c r="F6" s="896">
        <f>VLOOKUP(B6,[2]Hoja1!$C$2:$E$279,3,FALSE)</f>
        <v>0</v>
      </c>
      <c r="G6" s="193">
        <f t="shared" ref="G6:G22" si="0">F6*D6</f>
        <v>0</v>
      </c>
      <c r="H6" s="106">
        <v>0</v>
      </c>
      <c r="I6" s="73">
        <f t="shared" ref="I6:I22" si="1">H6*D6</f>
        <v>0</v>
      </c>
      <c r="J6" s="536"/>
      <c r="K6" s="191">
        <f t="shared" ref="K6:K22" si="2">$K$4*E6%</f>
        <v>0.517428</v>
      </c>
    </row>
    <row r="7" spans="2:12" s="42" customFormat="1" ht="16.5" x14ac:dyDescent="0.25">
      <c r="B7" s="154">
        <f>VLOOKUP(C7,[1]Hoja1!$B$2:$C$260,2,FALSE)</f>
        <v>1250003</v>
      </c>
      <c r="C7" s="154" t="s">
        <v>914</v>
      </c>
      <c r="D7" s="190">
        <v>1.5300000000000001E-3</v>
      </c>
      <c r="E7" s="72">
        <v>5.3712480252764615E-2</v>
      </c>
      <c r="F7" s="896">
        <f>VLOOKUP(B7,[2]Hoja1!$C$2:$E$279,3,FALSE)</f>
        <v>50952.79</v>
      </c>
      <c r="G7" s="193">
        <f t="shared" si="0"/>
        <v>77.957768700000003</v>
      </c>
      <c r="H7" s="96">
        <v>47385.41</v>
      </c>
      <c r="I7" s="73">
        <f t="shared" si="1"/>
        <v>72.499677300000016</v>
      </c>
      <c r="J7" s="536">
        <f t="shared" ref="J7:J18" si="3">((F7/H7)*100)-100</f>
        <v>7.5284354403602123</v>
      </c>
      <c r="K7" s="191">
        <f t="shared" si="2"/>
        <v>1.5300000000000001E-3</v>
      </c>
    </row>
    <row r="8" spans="2:12" s="42" customFormat="1" ht="16.5" x14ac:dyDescent="0.25">
      <c r="B8" s="154">
        <f>VLOOKUP(C8,[1]Hoja1!$B$2:$C$260,2,FALSE)</f>
        <v>1250001</v>
      </c>
      <c r="C8" s="154" t="s">
        <v>1160</v>
      </c>
      <c r="D8" s="190">
        <v>1.3500000000000002E-2</v>
      </c>
      <c r="E8" s="72">
        <v>0.47393364928909953</v>
      </c>
      <c r="F8" s="896">
        <f>VLOOKUP(B8,[2]Hoja1!$C$2:$E$279,3,FALSE)</f>
        <v>5093.8999999999996</v>
      </c>
      <c r="G8" s="193">
        <f t="shared" si="0"/>
        <v>68.767650000000003</v>
      </c>
      <c r="H8" s="106">
        <v>4885.95</v>
      </c>
      <c r="I8" s="73">
        <f t="shared" si="1"/>
        <v>65.960325000000012</v>
      </c>
      <c r="J8" s="536">
        <f t="shared" si="3"/>
        <v>4.256081212456138</v>
      </c>
      <c r="K8" s="191">
        <f>$K$4*E8%</f>
        <v>1.3500000000000002E-2</v>
      </c>
    </row>
    <row r="9" spans="2:12" s="42" customFormat="1" ht="16.5" x14ac:dyDescent="0.25">
      <c r="B9" s="154">
        <f>VLOOKUP(C9,[1]Hoja1!$B$2:$C$260,2,FALSE)</f>
        <v>121007</v>
      </c>
      <c r="C9" s="154" t="s">
        <v>821</v>
      </c>
      <c r="D9" s="190">
        <v>5.3999999999999994E-3</v>
      </c>
      <c r="E9" s="72">
        <v>0.1895734597156398</v>
      </c>
      <c r="F9" s="896">
        <f>VLOOKUP(B9,[2]Hoja1!$C$2:$E$279,3,FALSE)</f>
        <v>16905</v>
      </c>
      <c r="G9" s="193">
        <f t="shared" si="0"/>
        <v>91.286999999999992</v>
      </c>
      <c r="H9" s="880">
        <v>16100</v>
      </c>
      <c r="I9" s="73">
        <f t="shared" si="1"/>
        <v>86.94</v>
      </c>
      <c r="J9" s="536">
        <f t="shared" si="3"/>
        <v>5</v>
      </c>
      <c r="K9" s="191">
        <f t="shared" si="2"/>
        <v>5.3999999999999994E-3</v>
      </c>
    </row>
    <row r="10" spans="2:12" s="42" customFormat="1" ht="16.5" x14ac:dyDescent="0.25">
      <c r="B10" s="154">
        <f>VLOOKUP(C10,[1]Hoja1!$B$2:$C$260,2,FALSE)</f>
        <v>1220008</v>
      </c>
      <c r="C10" s="154" t="s">
        <v>1157</v>
      </c>
      <c r="D10" s="190">
        <v>5.3999999999999994E-3</v>
      </c>
      <c r="E10" s="72">
        <v>0.1895734597156398</v>
      </c>
      <c r="F10" s="896">
        <f>VLOOKUP(B10,[2]Hoja1!$C$2:$E$279,3,FALSE)</f>
        <v>50476.2</v>
      </c>
      <c r="G10" s="193">
        <f t="shared" si="0"/>
        <v>272.57147999999995</v>
      </c>
      <c r="H10" s="949">
        <v>48608.39</v>
      </c>
      <c r="I10" s="73">
        <f t="shared" si="1"/>
        <v>262.48530599999998</v>
      </c>
      <c r="J10" s="536">
        <f t="shared" si="3"/>
        <v>3.8425670959272509</v>
      </c>
      <c r="K10" s="191">
        <f t="shared" si="2"/>
        <v>5.3999999999999994E-3</v>
      </c>
    </row>
    <row r="11" spans="2:12" s="42" customFormat="1" ht="16.5" x14ac:dyDescent="0.25">
      <c r="B11" s="154">
        <f>VLOOKUP(C11,[1]Hoja1!$B$2:$C$260,2,FALSE)</f>
        <v>1220005</v>
      </c>
      <c r="C11" s="154" t="s">
        <v>1135</v>
      </c>
      <c r="D11" s="189">
        <v>3.1499999999999996E-3</v>
      </c>
      <c r="E11" s="72">
        <v>0.11058451816745654</v>
      </c>
      <c r="F11" s="896">
        <f>VLOOKUP(B11,[2]Hoja1!$C$2:$E$279,3,FALSE)</f>
        <v>17429.990000000002</v>
      </c>
      <c r="G11" s="193">
        <f t="shared" si="0"/>
        <v>54.9044685</v>
      </c>
      <c r="H11" s="880">
        <v>17430</v>
      </c>
      <c r="I11" s="73">
        <f t="shared" si="1"/>
        <v>54.904499999999992</v>
      </c>
      <c r="J11" s="536">
        <f t="shared" si="3"/>
        <v>-5.7372346518036466E-5</v>
      </c>
      <c r="K11" s="191">
        <f t="shared" si="2"/>
        <v>3.1499999999999996E-3</v>
      </c>
    </row>
    <row r="12" spans="2:12" s="42" customFormat="1" ht="16.5" x14ac:dyDescent="0.25">
      <c r="B12" s="154">
        <f>VLOOKUP(C12,[1]Hoja1!$B$2:$C$260,2,FALSE)</f>
        <v>1220009</v>
      </c>
      <c r="C12" s="154" t="s">
        <v>1133</v>
      </c>
      <c r="D12" s="190">
        <v>3.1499999999999996E-3</v>
      </c>
      <c r="E12" s="72">
        <v>0.11058451816745654</v>
      </c>
      <c r="F12" s="896">
        <f>VLOOKUP(B12,[2]Hoja1!$C$2:$E$279,3,FALSE)</f>
        <v>21312.16</v>
      </c>
      <c r="G12" s="193">
        <f t="shared" si="0"/>
        <v>67.133303999999995</v>
      </c>
      <c r="H12" s="95">
        <v>20299</v>
      </c>
      <c r="I12" s="73">
        <f t="shared" si="1"/>
        <v>63.941849999999995</v>
      </c>
      <c r="J12" s="536">
        <f t="shared" si="3"/>
        <v>4.9911818316173253</v>
      </c>
      <c r="K12" s="191">
        <f t="shared" si="2"/>
        <v>3.1499999999999996E-3</v>
      </c>
    </row>
    <row r="13" spans="2:12" s="42" customFormat="1" ht="16.5" x14ac:dyDescent="0.25">
      <c r="B13" s="154">
        <f>VLOOKUP(C13,[1]Hoja1!$B$2:$C$260,2,FALSE)</f>
        <v>1220007</v>
      </c>
      <c r="C13" s="154" t="s">
        <v>916</v>
      </c>
      <c r="D13" s="189">
        <v>2.3400000000000001E-3</v>
      </c>
      <c r="E13" s="72">
        <v>8.2148499210110582E-2</v>
      </c>
      <c r="F13" s="896">
        <f>VLOOKUP(B13,[2]Hoja1!$C$2:$E$279,3,FALSE)</f>
        <v>60081.72</v>
      </c>
      <c r="G13" s="193">
        <f t="shared" si="0"/>
        <v>140.59122480000002</v>
      </c>
      <c r="H13" s="106">
        <v>56748.6</v>
      </c>
      <c r="I13" s="73">
        <f t="shared" si="1"/>
        <v>132.79172399999999</v>
      </c>
      <c r="J13" s="536">
        <f t="shared" si="3"/>
        <v>5.8734841035726078</v>
      </c>
      <c r="K13" s="191">
        <f t="shared" si="2"/>
        <v>2.3400000000000001E-3</v>
      </c>
    </row>
    <row r="14" spans="2:12" s="42" customFormat="1" ht="16.5" x14ac:dyDescent="0.25">
      <c r="B14" s="154">
        <f>VLOOKUP(C14,[1]Hoja1!$B$2:$C$260,2,FALSE)</f>
        <v>1220014</v>
      </c>
      <c r="C14" s="154" t="s">
        <v>1146</v>
      </c>
      <c r="D14" s="190">
        <v>3.4200000000000001E-2</v>
      </c>
      <c r="E14" s="72">
        <v>1.2006319115323854</v>
      </c>
      <c r="F14" s="896">
        <f>VLOOKUP(B14,[2]Hoja1!$C$2:$E$279,3,FALSE)</f>
        <v>14060</v>
      </c>
      <c r="G14" s="193">
        <f t="shared" si="0"/>
        <v>480.85200000000003</v>
      </c>
      <c r="H14" s="914">
        <v>13300.01</v>
      </c>
      <c r="I14" s="73">
        <f t="shared" si="1"/>
        <v>454.860342</v>
      </c>
      <c r="J14" s="536">
        <f t="shared" si="3"/>
        <v>5.7142062299201086</v>
      </c>
      <c r="K14" s="191">
        <f t="shared" si="2"/>
        <v>3.4200000000000001E-2</v>
      </c>
    </row>
    <row r="15" spans="2:12" s="42" customFormat="1" ht="16.5" x14ac:dyDescent="0.25">
      <c r="B15" s="154">
        <f>VLOOKUP(C15,[1]Hoja1!$B$2:$C$260,2,FALSE)</f>
        <v>1220011</v>
      </c>
      <c r="C15" s="154" t="s">
        <v>1167</v>
      </c>
      <c r="D15" s="190">
        <v>5.697E-2</v>
      </c>
      <c r="E15" s="72">
        <v>2</v>
      </c>
      <c r="F15" s="896">
        <f>VLOOKUP(B15,[2]Hoja1!$C$2:$E$279,3,FALSE)</f>
        <v>9773</v>
      </c>
      <c r="G15" s="193">
        <f t="shared" si="0"/>
        <v>556.76781000000005</v>
      </c>
      <c r="H15" s="923">
        <v>9772.9599999999991</v>
      </c>
      <c r="I15" s="73">
        <f t="shared" si="1"/>
        <v>556.76553119999994</v>
      </c>
      <c r="J15" s="536">
        <f t="shared" si="3"/>
        <v>4.0929257872335256E-4</v>
      </c>
      <c r="K15" s="191">
        <f t="shared" si="2"/>
        <v>5.697E-2</v>
      </c>
    </row>
    <row r="16" spans="2:12" s="42" customFormat="1" ht="16.5" x14ac:dyDescent="0.25">
      <c r="B16" s="154">
        <f>VLOOKUP(C16,[1]Hoja1!$B$2:$C$260,2,FALSE)</f>
        <v>1260008</v>
      </c>
      <c r="C16" s="154" t="s">
        <v>1044</v>
      </c>
      <c r="D16" s="190">
        <v>6.3E-2</v>
      </c>
      <c r="E16" s="72">
        <v>2.2116903633491312</v>
      </c>
      <c r="F16" s="896">
        <f>VLOOKUP(B16,[2]Hoja1!$C$2:$E$279,3,FALSE)</f>
        <v>10202.790000000001</v>
      </c>
      <c r="G16" s="193">
        <f t="shared" si="0"/>
        <v>642.77577000000008</v>
      </c>
      <c r="H16" s="96">
        <v>12670.44</v>
      </c>
      <c r="I16" s="73">
        <f t="shared" si="1"/>
        <v>798.23772000000008</v>
      </c>
      <c r="J16" s="536">
        <f t="shared" si="3"/>
        <v>-19.475645676077548</v>
      </c>
      <c r="K16" s="191">
        <f t="shared" si="2"/>
        <v>6.3E-2</v>
      </c>
    </row>
    <row r="17" spans="2:11" s="42" customFormat="1" ht="16.5" x14ac:dyDescent="0.25">
      <c r="B17" s="154">
        <f>VLOOKUP(C17,[1]Hoja1!$B$2:$C$260,2,FALSE)</f>
        <v>1260010</v>
      </c>
      <c r="C17" s="154" t="s">
        <v>1043</v>
      </c>
      <c r="D17" s="190">
        <v>0.11699999999999999</v>
      </c>
      <c r="E17" s="72">
        <v>4.1074249605055293</v>
      </c>
      <c r="F17" s="896">
        <f>VLOOKUP(B17,[2]Hoja1!$C$2:$E$279,3,FALSE)</f>
        <v>6959.71</v>
      </c>
      <c r="G17" s="193">
        <f t="shared" si="0"/>
        <v>814.28607</v>
      </c>
      <c r="H17" s="106">
        <v>8234.27</v>
      </c>
      <c r="I17" s="73">
        <f t="shared" si="1"/>
        <v>963.40958999999998</v>
      </c>
      <c r="J17" s="536">
        <f t="shared" si="3"/>
        <v>-15.478724890002397</v>
      </c>
      <c r="K17" s="191">
        <f t="shared" si="2"/>
        <v>0.11699999999999999</v>
      </c>
    </row>
    <row r="18" spans="2:11" s="42" customFormat="1" ht="16.5" x14ac:dyDescent="0.25">
      <c r="B18" s="154">
        <f>VLOOKUP(C18,[1]Hoja1!$B$2:$C$260,2,FALSE)</f>
        <v>1122001</v>
      </c>
      <c r="C18" s="154" t="s">
        <v>1030</v>
      </c>
      <c r="D18" s="190">
        <v>0.22500000000000001</v>
      </c>
      <c r="E18" s="72">
        <v>7.8988941548183256</v>
      </c>
      <c r="F18" s="896">
        <f>VLOOKUP(B18,[2]Hoja1!$C$2:$E$279,3,FALSE)</f>
        <v>11506.13</v>
      </c>
      <c r="G18" s="193">
        <f t="shared" si="0"/>
        <v>2588.87925</v>
      </c>
      <c r="H18" s="38">
        <v>14000</v>
      </c>
      <c r="I18" s="73">
        <f t="shared" si="1"/>
        <v>3150</v>
      </c>
      <c r="J18" s="536">
        <f t="shared" si="3"/>
        <v>-17.813357142857143</v>
      </c>
      <c r="K18" s="191">
        <f t="shared" si="2"/>
        <v>0.22500000000000001</v>
      </c>
    </row>
    <row r="19" spans="2:11" s="42" customFormat="1" ht="16.5" x14ac:dyDescent="0.25">
      <c r="B19" s="154">
        <f>VLOOKUP(C19,[1]Hoja1!$B$2:$C$260,2,FALSE)</f>
        <v>1121009</v>
      </c>
      <c r="C19" s="154" t="s">
        <v>1272</v>
      </c>
      <c r="D19" s="189">
        <v>0.19800000000000001</v>
      </c>
      <c r="E19" s="72">
        <v>6.9510268562401265</v>
      </c>
      <c r="F19" s="896">
        <f>VLOOKUP(B19,[2]Hoja1!$C$2:$E$279,3,FALSE)</f>
        <v>8741.6200000000008</v>
      </c>
      <c r="G19" s="193">
        <f t="shared" si="0"/>
        <v>1730.8407600000003</v>
      </c>
      <c r="H19" s="879">
        <v>8754.2800000000007</v>
      </c>
      <c r="I19" s="73">
        <f t="shared" si="1"/>
        <v>1733.3474400000002</v>
      </c>
      <c r="J19" s="536">
        <f>((F19/H19)*100)-100</f>
        <v>-0.14461497690273006</v>
      </c>
      <c r="K19" s="191">
        <f t="shared" si="2"/>
        <v>0.19800000000000001</v>
      </c>
    </row>
    <row r="20" spans="2:11" s="42" customFormat="1" ht="16.5" x14ac:dyDescent="0.25">
      <c r="B20" s="154">
        <f>VLOOKUP(C20,[1]Hoja1!$B$2:$C$260,2,FALSE)</f>
        <v>1260015</v>
      </c>
      <c r="C20" s="154" t="s">
        <v>785</v>
      </c>
      <c r="D20" s="86">
        <v>9.9000000000000005E-2</v>
      </c>
      <c r="E20" s="72">
        <v>3.4755134281200633</v>
      </c>
      <c r="F20" s="896">
        <f>VLOOKUP(B20,[2]Hoja1!$C$2:$E$279,3,FALSE)</f>
        <v>3450.01</v>
      </c>
      <c r="G20" s="193">
        <f t="shared" si="0"/>
        <v>341.55099000000001</v>
      </c>
      <c r="H20" s="96">
        <v>3400.01</v>
      </c>
      <c r="I20" s="73">
        <f t="shared" si="1"/>
        <v>336.60099000000002</v>
      </c>
      <c r="J20" s="536">
        <f>((F20/H20)*100)-100</f>
        <v>1.4705839100473241</v>
      </c>
      <c r="K20" s="191">
        <f t="shared" si="2"/>
        <v>9.9000000000000005E-2</v>
      </c>
    </row>
    <row r="21" spans="2:11" s="42" customFormat="1" ht="16.5" x14ac:dyDescent="0.25">
      <c r="B21" s="154">
        <f>VLOOKUP(C21,[1]Hoja1!$B$2:$C$260,2,FALSE)</f>
        <v>1210005</v>
      </c>
      <c r="C21" s="154" t="s">
        <v>1155</v>
      </c>
      <c r="D21" s="86">
        <v>1.3932E-2</v>
      </c>
      <c r="E21" s="72">
        <v>0.48909952606635065</v>
      </c>
      <c r="F21" s="896">
        <f>VLOOKUP(B21,[2]Hoja1!$C$2:$E$279,3,FALSE)</f>
        <v>1356</v>
      </c>
      <c r="G21" s="193">
        <f t="shared" si="0"/>
        <v>18.891791999999999</v>
      </c>
      <c r="H21" s="880">
        <v>1360</v>
      </c>
      <c r="I21" s="73">
        <f t="shared" si="1"/>
        <v>18.947520000000001</v>
      </c>
      <c r="J21" s="536">
        <f>((F21/H21)*100)-100</f>
        <v>-0.29411764705882604</v>
      </c>
      <c r="K21" s="191">
        <f t="shared" si="2"/>
        <v>1.3932E-2</v>
      </c>
    </row>
    <row r="22" spans="2:11" s="42" customFormat="1" ht="16.5" x14ac:dyDescent="0.25">
      <c r="B22" s="154">
        <f>VLOOKUP(C22,[1]Hoja1!$B$2:$C$260,2,FALSE)</f>
        <v>1260013</v>
      </c>
      <c r="C22" s="154" t="s">
        <v>1053</v>
      </c>
      <c r="D22" s="191">
        <v>4.4999999999999998E-2</v>
      </c>
      <c r="E22" s="72">
        <v>1.5797788309636649</v>
      </c>
      <c r="F22" s="896">
        <f>VLOOKUP(B22,[2]Hoja1!$C$2:$E$279,3,FALSE)</f>
        <v>25359.43</v>
      </c>
      <c r="G22" s="193">
        <f t="shared" si="0"/>
        <v>1141.17435</v>
      </c>
      <c r="H22" s="42">
        <v>23706</v>
      </c>
      <c r="I22" s="73">
        <f t="shared" si="1"/>
        <v>1066.77</v>
      </c>
      <c r="J22" s="536">
        <f>((F22/H22)*100)-100</f>
        <v>6.9747321353244018</v>
      </c>
      <c r="K22" s="191">
        <f t="shared" si="2"/>
        <v>4.4999999999999998E-2</v>
      </c>
    </row>
    <row r="23" spans="2:11" s="42" customFormat="1" ht="16.5" x14ac:dyDescent="0.25">
      <c r="B23" s="1777"/>
      <c r="C23" s="1778"/>
      <c r="D23" s="1329">
        <f>SUM(D5:D22)</f>
        <v>2.8485000000000009</v>
      </c>
      <c r="E23" s="1330">
        <f>SUM(E5:E22)</f>
        <v>100</v>
      </c>
      <c r="F23" s="1382"/>
      <c r="G23" s="1382">
        <f>SUM(G5:G22)</f>
        <v>14578.331688</v>
      </c>
      <c r="H23" s="1383"/>
      <c r="I23" s="1354">
        <f>SUM(I5:I22)</f>
        <v>15918.181555499999</v>
      </c>
      <c r="J23" s="1331">
        <f>((G23/I23)*100)-100</f>
        <v>-8.4171038182251294</v>
      </c>
      <c r="K23" s="1400"/>
    </row>
    <row r="25" spans="2:11" ht="25.5" x14ac:dyDescent="0.25">
      <c r="B25" s="1765" t="s">
        <v>50</v>
      </c>
      <c r="C25" s="1766"/>
      <c r="D25" s="38">
        <f>+C28+(C28*C34%)</f>
        <v>2848.5</v>
      </c>
      <c r="E25" s="195"/>
      <c r="F25" s="195"/>
      <c r="G25" s="195"/>
      <c r="H25" s="195"/>
      <c r="I25" s="195"/>
    </row>
    <row r="26" spans="2:11" x14ac:dyDescent="0.25">
      <c r="B26" s="1284" t="s">
        <v>38</v>
      </c>
      <c r="C26" s="161" t="s">
        <v>90</v>
      </c>
      <c r="D26" s="146"/>
      <c r="H26" s="146"/>
    </row>
    <row r="27" spans="2:11" x14ac:dyDescent="0.25">
      <c r="B27" s="1285" t="s">
        <v>39</v>
      </c>
      <c r="C27" s="163" t="s">
        <v>221</v>
      </c>
      <c r="D27" s="146"/>
      <c r="H27" s="146"/>
    </row>
    <row r="28" spans="2:11" x14ac:dyDescent="0.25">
      <c r="B28" s="1285" t="s">
        <v>40</v>
      </c>
      <c r="C28" s="163">
        <v>2700</v>
      </c>
      <c r="D28" s="146"/>
      <c r="H28" s="146"/>
    </row>
    <row r="29" spans="2:11" x14ac:dyDescent="0.25">
      <c r="B29" s="1285" t="s">
        <v>41</v>
      </c>
      <c r="C29" s="163">
        <v>0.5</v>
      </c>
      <c r="D29" s="146"/>
      <c r="H29" s="146"/>
    </row>
    <row r="30" spans="2:11" x14ac:dyDescent="0.25">
      <c r="B30" s="1285" t="s">
        <v>42</v>
      </c>
      <c r="C30" s="163">
        <v>0</v>
      </c>
      <c r="D30" s="146"/>
      <c r="H30" s="146"/>
    </row>
    <row r="31" spans="2:11" x14ac:dyDescent="0.25">
      <c r="B31" s="1285" t="s">
        <v>43</v>
      </c>
      <c r="C31" s="163">
        <v>4</v>
      </c>
      <c r="D31" s="146"/>
      <c r="H31" s="146"/>
    </row>
    <row r="32" spans="2:11" x14ac:dyDescent="0.25">
      <c r="B32" s="1285" t="s">
        <v>44</v>
      </c>
      <c r="C32" s="163">
        <v>0</v>
      </c>
      <c r="D32" s="146"/>
      <c r="H32" s="146"/>
    </row>
    <row r="33" spans="2:11" x14ac:dyDescent="0.25">
      <c r="B33" s="1285" t="s">
        <v>45</v>
      </c>
      <c r="C33" s="163">
        <v>1</v>
      </c>
      <c r="D33" s="146"/>
      <c r="H33" s="146"/>
    </row>
    <row r="34" spans="2:11" x14ac:dyDescent="0.25">
      <c r="B34" s="1285" t="s">
        <v>46</v>
      </c>
      <c r="C34" s="196">
        <f>SUM(C29:C33)</f>
        <v>5.5</v>
      </c>
      <c r="D34" s="146"/>
      <c r="H34" s="146"/>
    </row>
    <row r="36" spans="2:11" ht="25.5" x14ac:dyDescent="0.25">
      <c r="B36" s="1742" t="s">
        <v>47</v>
      </c>
      <c r="C36" s="1742"/>
      <c r="D36" s="1742"/>
      <c r="E36" s="1742"/>
      <c r="F36" s="1742"/>
      <c r="G36" s="1742"/>
      <c r="H36" s="1742"/>
      <c r="I36" s="1742"/>
    </row>
    <row r="37" spans="2:11" ht="25.5" x14ac:dyDescent="0.25">
      <c r="B37" s="1255" t="s">
        <v>0</v>
      </c>
      <c r="C37" s="1255" t="s">
        <v>1</v>
      </c>
      <c r="D37" s="1275" t="s">
        <v>2</v>
      </c>
      <c r="E37" s="1243" t="str">
        <f>+'CIF Y PV'!$F$4</f>
        <v xml:space="preserve">JUN-COP/UMB </v>
      </c>
      <c r="F37" s="1243" t="str">
        <f>+'CIF Y PV'!$G$4</f>
        <v>JUN-COP/APP</v>
      </c>
      <c r="G37" s="1243" t="str">
        <f>+'CIF Y PV'!$H$4</f>
        <v xml:space="preserve">MAY-COP/UMB </v>
      </c>
      <c r="H37" s="1243" t="str">
        <f>+'CIF Y PV'!$I$4</f>
        <v>MAY-COP/APP</v>
      </c>
      <c r="I37" s="1243" t="s">
        <v>3</v>
      </c>
      <c r="J37" s="146">
        <v>3800</v>
      </c>
    </row>
    <row r="38" spans="2:11" x14ac:dyDescent="0.25">
      <c r="B38" s="165">
        <f>VLOOKUP(C38,[1]Hoja1!$B$2:$C$260,2,FALSE)</f>
        <v>1360003</v>
      </c>
      <c r="C38" s="165" t="s">
        <v>1054</v>
      </c>
      <c r="D38" s="166">
        <v>30</v>
      </c>
      <c r="E38" s="167">
        <f>VLOOKUP(B38,[2]Hoja1!$C$2:$E$279,3,FALSE)</f>
        <v>22.53</v>
      </c>
      <c r="F38" s="245">
        <f>E38*D38</f>
        <v>675.90000000000009</v>
      </c>
      <c r="G38" s="167">
        <v>24.5</v>
      </c>
      <c r="H38" s="167">
        <f>G38*D38</f>
        <v>735</v>
      </c>
      <c r="I38" s="167">
        <f>((E38/G38)*100)-100</f>
        <v>-8.040816326530603</v>
      </c>
      <c r="J38" s="146">
        <f>J37*D38</f>
        <v>114000</v>
      </c>
    </row>
    <row r="39" spans="2:11" x14ac:dyDescent="0.25">
      <c r="B39" s="165">
        <v>1350006</v>
      </c>
      <c r="C39" s="165" t="s">
        <v>1361</v>
      </c>
      <c r="D39" s="166">
        <v>1</v>
      </c>
      <c r="E39" s="167">
        <f>VLOOKUP(B39,[2]Hoja1!$C$2:$E$279,3,FALSE)</f>
        <v>1448.78</v>
      </c>
      <c r="F39" s="167">
        <f>E39*D39</f>
        <v>1448.78</v>
      </c>
      <c r="G39" s="167">
        <v>1325.04</v>
      </c>
      <c r="H39" s="167">
        <f>G39*D39</f>
        <v>1325.04</v>
      </c>
      <c r="I39" s="167">
        <f>((E39/G39)*100)-100</f>
        <v>9.3385860049507841</v>
      </c>
      <c r="J39" s="146">
        <f>J37*D39</f>
        <v>3800</v>
      </c>
    </row>
    <row r="40" spans="2:11" x14ac:dyDescent="0.25">
      <c r="B40" s="165">
        <f>VLOOKUP(C40,[1]Hoja1!$B$2:$C$260,2,FALSE)</f>
        <v>1340001</v>
      </c>
      <c r="C40" s="165" t="s">
        <v>1204</v>
      </c>
      <c r="D40" s="166">
        <v>3</v>
      </c>
      <c r="E40" s="167">
        <f>VLOOKUP(B40,[2]Hoja1!$C$2:$E$279,3,FALSE)</f>
        <v>62</v>
      </c>
      <c r="F40" s="167">
        <f>E40*D40</f>
        <v>186</v>
      </c>
      <c r="G40" s="167">
        <v>58</v>
      </c>
      <c r="H40" s="167">
        <f>G40*D40</f>
        <v>174</v>
      </c>
      <c r="I40" s="167">
        <f>((E40/G40)*100)-100</f>
        <v>6.8965517241379217</v>
      </c>
      <c r="J40" s="146">
        <f>J37*D40</f>
        <v>11400</v>
      </c>
    </row>
    <row r="41" spans="2:11" x14ac:dyDescent="0.25">
      <c r="B41" s="165">
        <f>VLOOKUP(C41,[1]Hoja1!$B$2:$C$260,2,FALSE)</f>
        <v>1340012</v>
      </c>
      <c r="C41" s="1145" t="s">
        <v>955</v>
      </c>
      <c r="D41" s="386">
        <v>2</v>
      </c>
      <c r="E41" s="167">
        <f>VLOOKUP(B41,[2]Hoja1!$C$2:$E$279,3,FALSE)</f>
        <v>255.5</v>
      </c>
      <c r="F41" s="167">
        <f>E41*D41</f>
        <v>511</v>
      </c>
      <c r="G41" s="672">
        <v>247</v>
      </c>
      <c r="H41" s="167">
        <f>G41*D41</f>
        <v>494</v>
      </c>
      <c r="I41" s="672"/>
      <c r="J41" s="146"/>
    </row>
    <row r="42" spans="2:11" ht="16.899999999999999" customHeight="1" x14ac:dyDescent="0.25">
      <c r="B42" s="1266"/>
      <c r="C42" s="1266" t="s">
        <v>37</v>
      </c>
      <c r="D42" s="1286"/>
      <c r="E42" s="1267"/>
      <c r="F42" s="1267">
        <f>SUM(F38:F41)</f>
        <v>2821.6800000000003</v>
      </c>
      <c r="G42" s="1267"/>
      <c r="H42" s="1267">
        <f>SUM(H38:H41)</f>
        <v>2728.04</v>
      </c>
      <c r="I42" s="1267">
        <f>((F42/H42)*100)-100</f>
        <v>3.4325009897215608</v>
      </c>
    </row>
    <row r="43" spans="2:11" x14ac:dyDescent="0.25">
      <c r="H43" s="1" t="str">
        <f>+'CIF Y PV'!$G$1</f>
        <v>MAYO</v>
      </c>
      <c r="K43" s="120"/>
    </row>
    <row r="44" spans="2:11" x14ac:dyDescent="0.25">
      <c r="B44" s="1735" t="s">
        <v>228</v>
      </c>
      <c r="C44" s="1735"/>
      <c r="E44" s="884"/>
      <c r="F44" s="884"/>
      <c r="G44" s="884"/>
      <c r="H44" s="884">
        <f>+F42+G23</f>
        <v>17400.011687999999</v>
      </c>
      <c r="I44" s="202"/>
      <c r="J44" s="884"/>
      <c r="K44" s="202"/>
    </row>
    <row r="45" spans="2:11" x14ac:dyDescent="0.25">
      <c r="B45" s="1736" t="s">
        <v>48</v>
      </c>
      <c r="C45" s="1737"/>
      <c r="E45" s="884"/>
      <c r="F45" s="884"/>
      <c r="G45" s="884"/>
      <c r="H45" s="884">
        <f>+('CIF Y PV'!C3/1000)*2700</f>
        <v>5103</v>
      </c>
      <c r="I45" s="202"/>
      <c r="J45" s="884"/>
      <c r="K45" s="202"/>
    </row>
    <row r="46" spans="2:11" x14ac:dyDescent="0.25">
      <c r="B46" s="1736" t="s">
        <v>229</v>
      </c>
      <c r="C46" s="1737"/>
      <c r="E46" s="884"/>
      <c r="F46" s="884"/>
      <c r="G46" s="884"/>
      <c r="H46" s="884">
        <f>+H44+H45</f>
        <v>22503.011687999999</v>
      </c>
      <c r="I46" s="202"/>
      <c r="J46" s="884"/>
      <c r="K46" s="202"/>
    </row>
    <row r="47" spans="2:11" x14ac:dyDescent="0.25">
      <c r="B47" s="1735" t="s">
        <v>49</v>
      </c>
      <c r="C47" s="1735"/>
      <c r="D47" s="178"/>
      <c r="E47" s="884"/>
      <c r="F47" s="884"/>
      <c r="G47" s="884"/>
      <c r="H47" s="884">
        <f>'CIF Y PV'!C23</f>
        <v>45961.812000000005</v>
      </c>
      <c r="J47" s="884"/>
      <c r="K47" s="342"/>
    </row>
    <row r="48" spans="2:11" x14ac:dyDescent="0.2">
      <c r="B48" s="1735" t="s">
        <v>805</v>
      </c>
      <c r="C48" s="1735"/>
      <c r="E48" s="884"/>
      <c r="F48" s="884"/>
      <c r="G48" s="884"/>
      <c r="H48" s="928">
        <f>+(H47-H46)/H47</f>
        <v>0.51039763863095744</v>
      </c>
      <c r="I48" s="203"/>
      <c r="J48" s="146"/>
      <c r="K48" s="203"/>
    </row>
  </sheetData>
  <mergeCells count="9">
    <mergeCell ref="B48:C48"/>
    <mergeCell ref="B45:C45"/>
    <mergeCell ref="B46:C46"/>
    <mergeCell ref="B47:C47"/>
    <mergeCell ref="B2:I2"/>
    <mergeCell ref="B23:C23"/>
    <mergeCell ref="B25:C25"/>
    <mergeCell ref="B44:C44"/>
    <mergeCell ref="B36:I36"/>
  </mergeCells>
  <pageMargins left="0.7" right="0.7" top="0.75" bottom="0.75" header="0.3" footer="0.3"/>
  <pageSetup scale="41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C87A-7BCD-4089-9276-0649FEA4622F}">
  <sheetPr codeName="Hoja38"/>
  <dimension ref="A2:L56"/>
  <sheetViews>
    <sheetView view="pageBreakPreview" topLeftCell="A2" zoomScale="90" zoomScaleNormal="90" zoomScaleSheetLayoutView="90" workbookViewId="0">
      <selection activeCell="C37" sqref="C37"/>
    </sheetView>
  </sheetViews>
  <sheetFormatPr baseColWidth="10" defaultColWidth="11.5703125" defaultRowHeight="13.5" x14ac:dyDescent="0.25"/>
  <cols>
    <col min="1" max="1" width="16.85546875" style="1" customWidth="1"/>
    <col min="2" max="2" width="11.5703125" style="120"/>
    <col min="3" max="3" width="57.140625" style="120" customWidth="1"/>
    <col min="4" max="4" width="20.140625" style="119" bestFit="1" customWidth="1"/>
    <col min="5" max="5" width="11.5703125" style="120" customWidth="1"/>
    <col min="6" max="6" width="13.7109375" style="120" customWidth="1"/>
    <col min="7" max="7" width="20.140625" style="120" bestFit="1" customWidth="1"/>
    <col min="8" max="8" width="13.7109375" style="120" customWidth="1"/>
    <col min="9" max="9" width="20.140625" style="120" bestFit="1" customWidth="1"/>
    <col min="10" max="10" width="13.7109375" style="120" customWidth="1"/>
    <col min="11" max="11" width="15.28515625" style="120" bestFit="1" customWidth="1"/>
    <col min="12" max="12" width="12.42578125" style="120" bestFit="1" customWidth="1"/>
    <col min="13" max="16384" width="11.5703125" style="120"/>
  </cols>
  <sheetData>
    <row r="2" spans="2:12" s="42" customFormat="1" ht="26.25" customHeight="1" x14ac:dyDescent="0.25">
      <c r="B2" s="1743" t="s">
        <v>770</v>
      </c>
      <c r="C2" s="1743"/>
      <c r="D2" s="1743"/>
      <c r="E2" s="1743"/>
      <c r="F2" s="1743"/>
      <c r="G2" s="1743"/>
      <c r="H2" s="1743"/>
      <c r="I2" s="1743"/>
      <c r="J2" s="1743"/>
      <c r="K2" s="89"/>
    </row>
    <row r="3" spans="2:12" x14ac:dyDescent="0.25">
      <c r="K3" s="120" t="s">
        <v>784</v>
      </c>
    </row>
    <row r="4" spans="2:12" s="42" customFormat="1" ht="16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4" t="s">
        <v>3</v>
      </c>
      <c r="K4" s="1272">
        <f>+D22/1000</f>
        <v>1.5674999999999999</v>
      </c>
    </row>
    <row r="5" spans="2:12" s="42" customFormat="1" ht="16.5" x14ac:dyDescent="0.25">
      <c r="B5" s="165">
        <v>1112001</v>
      </c>
      <c r="C5" s="154" t="s">
        <v>797</v>
      </c>
      <c r="D5" s="794">
        <v>0.49526066350710896</v>
      </c>
      <c r="E5" s="495">
        <v>31.595576619273302</v>
      </c>
      <c r="F5" s="896">
        <v>4479.0200000000004</v>
      </c>
      <c r="G5" s="495">
        <f>F5*D5</f>
        <v>2218.2824170616113</v>
      </c>
      <c r="H5" s="896">
        <v>4424.63</v>
      </c>
      <c r="I5" s="498">
        <f>H5*D5</f>
        <v>2191.3451895734597</v>
      </c>
      <c r="J5" s="905">
        <f t="shared" ref="J5:J19" si="0">((F5/H5)*100)-100</f>
        <v>1.2292553275641325</v>
      </c>
      <c r="K5" s="191">
        <f>+$K$4*E5%</f>
        <v>0.49526066350710896</v>
      </c>
      <c r="L5" s="345">
        <v>431.5</v>
      </c>
    </row>
    <row r="6" spans="2:12" s="42" customFormat="1" ht="16.5" x14ac:dyDescent="0.25">
      <c r="B6" s="165">
        <v>1131002</v>
      </c>
      <c r="C6" s="154" t="s">
        <v>663</v>
      </c>
      <c r="D6" s="190">
        <v>0.3031985781990521</v>
      </c>
      <c r="E6" s="495">
        <v>19.342812006319114</v>
      </c>
      <c r="F6" s="896">
        <v>0</v>
      </c>
      <c r="G6" s="495">
        <f t="shared" ref="G6:G19" si="1">F6*D6</f>
        <v>0</v>
      </c>
      <c r="H6" s="106">
        <v>0</v>
      </c>
      <c r="I6" s="498">
        <f t="shared" ref="I6:I19" si="2">H6*D6</f>
        <v>0</v>
      </c>
      <c r="J6" s="905" t="e">
        <f t="shared" si="0"/>
        <v>#DIV/0!</v>
      </c>
      <c r="K6" s="191">
        <f t="shared" ref="K6:K19" si="3">+$K$4*E6%</f>
        <v>0.3031985781990521</v>
      </c>
      <c r="L6" s="345">
        <v>228.5</v>
      </c>
    </row>
    <row r="7" spans="2:12" s="42" customFormat="1" ht="16.5" x14ac:dyDescent="0.25">
      <c r="B7" s="165">
        <v>1250003</v>
      </c>
      <c r="C7" s="154" t="s">
        <v>914</v>
      </c>
      <c r="D7" s="190">
        <v>9.9052132701421807E-4</v>
      </c>
      <c r="E7" s="495">
        <v>6.3191153238546613E-2</v>
      </c>
      <c r="F7" s="896">
        <v>48746.18</v>
      </c>
      <c r="G7" s="1169">
        <f t="shared" si="1"/>
        <v>48.28413090047394</v>
      </c>
      <c r="H7" s="96">
        <v>50917.99</v>
      </c>
      <c r="I7" s="498">
        <f t="shared" si="2"/>
        <v>50.435355023696687</v>
      </c>
      <c r="J7" s="906">
        <f t="shared" si="0"/>
        <v>-4.2653097657625523</v>
      </c>
      <c r="K7" s="191">
        <f t="shared" si="3"/>
        <v>9.9052132701421807E-4</v>
      </c>
      <c r="L7" s="345">
        <v>214</v>
      </c>
    </row>
    <row r="8" spans="2:12" s="42" customFormat="1" ht="16.5" x14ac:dyDescent="0.25">
      <c r="B8" s="165">
        <v>1250001</v>
      </c>
      <c r="C8" s="154" t="s">
        <v>1160</v>
      </c>
      <c r="D8" s="190">
        <v>7.9241706161137446E-3</v>
      </c>
      <c r="E8" s="495">
        <v>0.5055292259083729</v>
      </c>
      <c r="F8" s="896">
        <v>4700.38</v>
      </c>
      <c r="G8" s="1169">
        <f t="shared" si="1"/>
        <v>37.246613080568721</v>
      </c>
      <c r="H8" s="106">
        <v>4717.3500000000004</v>
      </c>
      <c r="I8" s="498">
        <f t="shared" si="2"/>
        <v>37.381086255924174</v>
      </c>
      <c r="J8" s="905">
        <f t="shared" si="0"/>
        <v>-0.35973586865507912</v>
      </c>
      <c r="K8" s="191">
        <f t="shared" si="3"/>
        <v>7.9241706161137446E-3</v>
      </c>
      <c r="L8" s="345">
        <v>163</v>
      </c>
    </row>
    <row r="9" spans="2:12" s="42" customFormat="1" ht="16.5" x14ac:dyDescent="0.25">
      <c r="B9" s="165">
        <v>121007</v>
      </c>
      <c r="C9" s="154" t="s">
        <v>821</v>
      </c>
      <c r="D9" s="190">
        <v>2.9715639810426538E-3</v>
      </c>
      <c r="E9" s="495">
        <v>0.1895734597156398</v>
      </c>
      <c r="F9" s="896">
        <v>16100</v>
      </c>
      <c r="G9" s="1169">
        <f t="shared" si="1"/>
        <v>47.842180094786727</v>
      </c>
      <c r="H9" s="880">
        <v>16100</v>
      </c>
      <c r="I9" s="498">
        <f t="shared" si="2"/>
        <v>47.842180094786727</v>
      </c>
      <c r="J9" s="905">
        <f t="shared" si="0"/>
        <v>0</v>
      </c>
      <c r="K9" s="191">
        <f t="shared" si="3"/>
        <v>2.9715639810426538E-3</v>
      </c>
      <c r="L9" s="345">
        <v>137</v>
      </c>
    </row>
    <row r="10" spans="2:12" s="42" customFormat="1" ht="16.5" x14ac:dyDescent="0.25">
      <c r="B10" s="165">
        <v>1220005</v>
      </c>
      <c r="C10" s="154" t="s">
        <v>1135</v>
      </c>
      <c r="D10" s="190">
        <v>2.9715639810426538E-3</v>
      </c>
      <c r="E10" s="495">
        <v>0.1895734597156398</v>
      </c>
      <c r="F10" s="896">
        <v>16600</v>
      </c>
      <c r="G10" s="1169">
        <f t="shared" si="1"/>
        <v>49.327962085308052</v>
      </c>
      <c r="H10" s="949">
        <v>16606.02</v>
      </c>
      <c r="I10" s="498">
        <f t="shared" si="2"/>
        <v>49.345850900473934</v>
      </c>
      <c r="J10" s="905">
        <f t="shared" si="0"/>
        <v>-3.6251913462720609E-2</v>
      </c>
      <c r="K10" s="191">
        <f>+$K$4*E10%</f>
        <v>2.9715639810426538E-3</v>
      </c>
      <c r="L10" s="345">
        <v>30</v>
      </c>
    </row>
    <row r="11" spans="2:12" s="42" customFormat="1" ht="16.5" x14ac:dyDescent="0.25">
      <c r="B11" s="165">
        <v>1220009</v>
      </c>
      <c r="C11" s="154" t="s">
        <v>1133</v>
      </c>
      <c r="D11" s="189">
        <v>2.9715639810426538E-3</v>
      </c>
      <c r="E11" s="495">
        <v>0.1895734597156398</v>
      </c>
      <c r="F11" s="896">
        <v>19150</v>
      </c>
      <c r="G11" s="1169">
        <f t="shared" si="1"/>
        <v>56.905450236966821</v>
      </c>
      <c r="H11" s="880">
        <v>19152.419999999998</v>
      </c>
      <c r="I11" s="498">
        <f t="shared" si="2"/>
        <v>56.912641421800934</v>
      </c>
      <c r="J11" s="906">
        <f t="shared" si="0"/>
        <v>-1.263547896296302E-2</v>
      </c>
      <c r="K11" s="191">
        <f t="shared" si="3"/>
        <v>2.9715639810426538E-3</v>
      </c>
      <c r="L11" s="345">
        <v>24</v>
      </c>
    </row>
    <row r="12" spans="2:12" s="42" customFormat="1" ht="16.5" x14ac:dyDescent="0.25">
      <c r="B12" s="165">
        <v>1220007</v>
      </c>
      <c r="C12" s="154" t="s">
        <v>916</v>
      </c>
      <c r="D12" s="189">
        <v>1.2381516587677724E-3</v>
      </c>
      <c r="E12" s="495">
        <v>7.8988941548183256E-2</v>
      </c>
      <c r="F12" s="896">
        <v>56094.400000000001</v>
      </c>
      <c r="G12" s="1169">
        <f t="shared" si="1"/>
        <v>69.453374407582928</v>
      </c>
      <c r="H12" s="95">
        <v>55283.54</v>
      </c>
      <c r="I12" s="498">
        <f t="shared" si="2"/>
        <v>68.449406753554499</v>
      </c>
      <c r="J12" s="905">
        <f t="shared" si="0"/>
        <v>1.4667295184063818</v>
      </c>
      <c r="K12" s="191">
        <f t="shared" si="3"/>
        <v>1.2381516587677724E-3</v>
      </c>
      <c r="L12" s="345">
        <v>12.5</v>
      </c>
    </row>
    <row r="13" spans="2:12" s="42" customFormat="1" ht="16.5" x14ac:dyDescent="0.25">
      <c r="B13" s="165">
        <v>1220014</v>
      </c>
      <c r="C13" s="154" t="s">
        <v>1146</v>
      </c>
      <c r="D13" s="190">
        <v>1.485781990521327E-2</v>
      </c>
      <c r="E13" s="495">
        <v>0.94786729857819907</v>
      </c>
      <c r="F13" s="896">
        <v>12278</v>
      </c>
      <c r="G13" s="1169">
        <f t="shared" si="1"/>
        <v>182.42431279620854</v>
      </c>
      <c r="H13" s="106">
        <v>12278</v>
      </c>
      <c r="I13" s="498">
        <f t="shared" si="2"/>
        <v>182.42431279620854</v>
      </c>
      <c r="J13" s="905">
        <f t="shared" si="0"/>
        <v>0</v>
      </c>
      <c r="K13" s="191">
        <f t="shared" si="3"/>
        <v>1.485781990521327E-2</v>
      </c>
      <c r="L13" s="345">
        <v>6</v>
      </c>
    </row>
    <row r="14" spans="2:12" s="42" customFormat="1" ht="16.5" x14ac:dyDescent="0.25">
      <c r="B14" s="165">
        <v>1220011</v>
      </c>
      <c r="C14" s="154" t="s">
        <v>1167</v>
      </c>
      <c r="D14" s="190">
        <v>3.1349999999999996E-2</v>
      </c>
      <c r="E14" s="495">
        <v>2</v>
      </c>
      <c r="F14" s="896">
        <v>9301</v>
      </c>
      <c r="G14" s="1169">
        <f t="shared" si="1"/>
        <v>291.58634999999998</v>
      </c>
      <c r="H14" s="914">
        <v>9301</v>
      </c>
      <c r="I14" s="498">
        <f t="shared" si="2"/>
        <v>291.58634999999998</v>
      </c>
      <c r="J14" s="905">
        <f t="shared" si="0"/>
        <v>0</v>
      </c>
      <c r="K14" s="191">
        <f t="shared" si="3"/>
        <v>3.1349999999999996E-2</v>
      </c>
      <c r="L14" s="345">
        <v>5.14</v>
      </c>
    </row>
    <row r="15" spans="2:12" s="42" customFormat="1" ht="16.5" x14ac:dyDescent="0.25">
      <c r="B15" s="165">
        <v>1260008</v>
      </c>
      <c r="C15" s="154" t="s">
        <v>1044</v>
      </c>
      <c r="D15" s="190">
        <v>0.17829383886255926</v>
      </c>
      <c r="E15" s="495">
        <v>11.374407582938389</v>
      </c>
      <c r="F15" s="896">
        <v>12879.89</v>
      </c>
      <c r="G15" s="1169">
        <f t="shared" si="1"/>
        <v>2296.4050322274884</v>
      </c>
      <c r="H15" s="923">
        <v>14480.28</v>
      </c>
      <c r="I15" s="498">
        <f t="shared" si="2"/>
        <v>2581.7447090047399</v>
      </c>
      <c r="J15" s="905">
        <f t="shared" si="0"/>
        <v>-11.052203410431289</v>
      </c>
      <c r="K15" s="191">
        <f t="shared" si="3"/>
        <v>0.17829383886255926</v>
      </c>
      <c r="L15" s="345">
        <v>3.63</v>
      </c>
    </row>
    <row r="16" spans="2:12" s="42" customFormat="1" ht="16.5" x14ac:dyDescent="0.25">
      <c r="B16" s="165">
        <v>1260010</v>
      </c>
      <c r="C16" s="154" t="s">
        <v>1043</v>
      </c>
      <c r="D16" s="190">
        <v>2.971563981042654E-2</v>
      </c>
      <c r="E16" s="495">
        <v>1.8957345971563981</v>
      </c>
      <c r="F16" s="896">
        <v>9280.4599999999991</v>
      </c>
      <c r="G16" s="1169">
        <f t="shared" si="1"/>
        <v>275.77480663507106</v>
      </c>
      <c r="H16" s="106">
        <v>9462.44</v>
      </c>
      <c r="I16" s="498">
        <f t="shared" si="2"/>
        <v>281.18245876777252</v>
      </c>
      <c r="J16" s="905">
        <f t="shared" si="0"/>
        <v>-1.9231826040640811</v>
      </c>
      <c r="K16" s="191">
        <f t="shared" si="3"/>
        <v>2.971563981042654E-2</v>
      </c>
      <c r="L16" s="345">
        <v>2.42</v>
      </c>
    </row>
    <row r="17" spans="1:12" s="42" customFormat="1" ht="16.5" x14ac:dyDescent="0.25">
      <c r="B17" s="165">
        <v>1122004</v>
      </c>
      <c r="C17" s="154" t="s">
        <v>1142</v>
      </c>
      <c r="D17" s="190">
        <v>0.4853554502369668</v>
      </c>
      <c r="E17" s="495">
        <v>30.963665086887836</v>
      </c>
      <c r="F17" s="896">
        <v>12500</v>
      </c>
      <c r="G17" s="1169">
        <f t="shared" si="1"/>
        <v>6066.9431279620849</v>
      </c>
      <c r="H17" s="270">
        <v>12000</v>
      </c>
      <c r="I17" s="498">
        <f t="shared" si="2"/>
        <v>5824.2654028436018</v>
      </c>
      <c r="J17" s="905">
        <f t="shared" si="0"/>
        <v>4.1666666666666714</v>
      </c>
      <c r="K17" s="191">
        <f t="shared" si="3"/>
        <v>0.4853554502369668</v>
      </c>
      <c r="L17" s="345">
        <v>2.42</v>
      </c>
    </row>
    <row r="18" spans="1:12" s="42" customFormat="1" ht="16.5" x14ac:dyDescent="0.25">
      <c r="B18" s="165">
        <v>1210005</v>
      </c>
      <c r="C18" s="154" t="s">
        <v>1155</v>
      </c>
      <c r="D18" s="190">
        <v>9.905213270142179E-3</v>
      </c>
      <c r="E18" s="495">
        <v>0.63191153238546605</v>
      </c>
      <c r="F18" s="896">
        <v>1359.99</v>
      </c>
      <c r="G18" s="1169">
        <f t="shared" si="1"/>
        <v>13.470990995260662</v>
      </c>
      <c r="H18" s="880">
        <v>1209.99</v>
      </c>
      <c r="I18" s="498">
        <f t="shared" si="2"/>
        <v>11.985209004739335</v>
      </c>
      <c r="J18" s="905">
        <f t="shared" si="0"/>
        <v>12.396796667741057</v>
      </c>
      <c r="K18" s="191">
        <f t="shared" si="3"/>
        <v>9.905213270142179E-3</v>
      </c>
      <c r="L18" s="345">
        <v>1.2</v>
      </c>
    </row>
    <row r="19" spans="1:12" s="42" customFormat="1" ht="16.5" x14ac:dyDescent="0.25">
      <c r="B19" s="165">
        <v>1270001</v>
      </c>
      <c r="C19" s="154" t="s">
        <v>1134</v>
      </c>
      <c r="D19" s="190">
        <v>4.9526066350710904E-4</v>
      </c>
      <c r="E19" s="495">
        <v>3.1595576619273306E-2</v>
      </c>
      <c r="F19" s="896">
        <v>73920.02</v>
      </c>
      <c r="G19" s="1169">
        <f t="shared" si="1"/>
        <v>36.60967815165877</v>
      </c>
      <c r="H19" s="106">
        <v>73920.02</v>
      </c>
      <c r="I19" s="498">
        <f t="shared" si="2"/>
        <v>36.60967815165877</v>
      </c>
      <c r="J19" s="905">
        <f t="shared" si="0"/>
        <v>0</v>
      </c>
      <c r="K19" s="191">
        <f t="shared" si="3"/>
        <v>4.9526066350710904E-4</v>
      </c>
      <c r="L19" s="345">
        <v>1</v>
      </c>
    </row>
    <row r="20" spans="1:12" s="42" customFormat="1" ht="16.5" x14ac:dyDescent="0.25">
      <c r="B20" s="1777"/>
      <c r="C20" s="1778"/>
      <c r="D20" s="1329">
        <f>SUM(D5:D19)</f>
        <v>1.5675000000000003</v>
      </c>
      <c r="E20" s="1382">
        <f>SUM(E5:E19)</f>
        <v>99.999999999999986</v>
      </c>
      <c r="F20" s="1382"/>
      <c r="G20" s="1382">
        <f>SUM(G5:G19)</f>
        <v>11690.55642663507</v>
      </c>
      <c r="H20" s="1383"/>
      <c r="I20" s="1354">
        <f>SUM(I5:I19)</f>
        <v>11711.509830592417</v>
      </c>
      <c r="J20" s="1331">
        <f>((G20/I20)*100)-100</f>
        <v>-0.1789129178085318</v>
      </c>
      <c r="K20" s="1337"/>
      <c r="L20" s="1337"/>
    </row>
    <row r="22" spans="1:12" ht="25.5" x14ac:dyDescent="0.25">
      <c r="A22" s="120"/>
      <c r="B22" s="1765" t="s">
        <v>50</v>
      </c>
      <c r="C22" s="1766"/>
      <c r="D22" s="38">
        <f>+C25+(C25*C31%)</f>
        <v>1567.5</v>
      </c>
      <c r="E22" s="195"/>
      <c r="F22" s="195"/>
      <c r="G22" s="195"/>
      <c r="H22" s="195"/>
      <c r="I22" s="195"/>
    </row>
    <row r="23" spans="1:12" x14ac:dyDescent="0.25">
      <c r="A23" s="120"/>
      <c r="B23" s="1284" t="s">
        <v>38</v>
      </c>
      <c r="C23" s="161" t="s">
        <v>90</v>
      </c>
      <c r="H23" s="146"/>
    </row>
    <row r="24" spans="1:12" x14ac:dyDescent="0.25">
      <c r="A24" s="120"/>
      <c r="B24" s="1285" t="s">
        <v>39</v>
      </c>
      <c r="C24" s="163" t="s">
        <v>776</v>
      </c>
      <c r="H24" s="146"/>
    </row>
    <row r="25" spans="1:12" x14ac:dyDescent="0.25">
      <c r="A25" s="120"/>
      <c r="B25" s="1285" t="s">
        <v>40</v>
      </c>
      <c r="C25" s="163">
        <v>1425</v>
      </c>
      <c r="H25" s="146"/>
    </row>
    <row r="26" spans="1:12" x14ac:dyDescent="0.25">
      <c r="A26" s="120"/>
      <c r="B26" s="1285" t="s">
        <v>41</v>
      </c>
      <c r="C26" s="163">
        <v>0.5</v>
      </c>
      <c r="H26" s="146"/>
    </row>
    <row r="27" spans="1:12" x14ac:dyDescent="0.25">
      <c r="A27" s="120"/>
      <c r="B27" s="1285" t="s">
        <v>42</v>
      </c>
      <c r="C27" s="163">
        <v>0</v>
      </c>
      <c r="H27" s="146"/>
    </row>
    <row r="28" spans="1:12" x14ac:dyDescent="0.25">
      <c r="A28" s="120"/>
      <c r="B28" s="1285" t="s">
        <v>43</v>
      </c>
      <c r="C28" s="163">
        <v>4</v>
      </c>
      <c r="H28" s="146"/>
    </row>
    <row r="29" spans="1:12" x14ac:dyDescent="0.25">
      <c r="A29" s="120"/>
      <c r="B29" s="1285" t="s">
        <v>44</v>
      </c>
      <c r="C29" s="163">
        <v>0</v>
      </c>
      <c r="H29" s="146"/>
    </row>
    <row r="30" spans="1:12" x14ac:dyDescent="0.25">
      <c r="A30" s="120"/>
      <c r="B30" s="1285" t="s">
        <v>45</v>
      </c>
      <c r="C30" s="163">
        <v>1</v>
      </c>
      <c r="H30" s="146"/>
      <c r="J30" s="170"/>
    </row>
    <row r="31" spans="1:12" x14ac:dyDescent="0.25">
      <c r="A31" s="120"/>
      <c r="B31" s="1285" t="s">
        <v>46</v>
      </c>
      <c r="C31" s="196">
        <v>10</v>
      </c>
      <c r="H31" s="146"/>
      <c r="J31" s="170"/>
    </row>
    <row r="32" spans="1:12" x14ac:dyDescent="0.25">
      <c r="J32" s="170"/>
    </row>
    <row r="33" spans="1:12" ht="25.5" x14ac:dyDescent="0.25">
      <c r="A33" s="120"/>
      <c r="B33" s="1810" t="s">
        <v>47</v>
      </c>
      <c r="C33" s="1811"/>
      <c r="D33" s="1811"/>
      <c r="E33" s="1811"/>
      <c r="F33" s="1811"/>
      <c r="G33" s="1811"/>
      <c r="H33" s="1811"/>
      <c r="I33" s="1811"/>
      <c r="J33" s="795"/>
    </row>
    <row r="34" spans="1:12" ht="25.5" x14ac:dyDescent="0.25">
      <c r="A34" s="120"/>
      <c r="B34" s="1266" t="s">
        <v>0</v>
      </c>
      <c r="C34" s="1266" t="s">
        <v>1</v>
      </c>
      <c r="D34" s="1286" t="s">
        <v>2</v>
      </c>
      <c r="E34" s="1243" t="str">
        <f>+'CIF Y PV'!$F$4</f>
        <v xml:space="preserve">JUN-COP/UMB </v>
      </c>
      <c r="F34" s="1243" t="str">
        <f>+'CIF Y PV'!$G$4</f>
        <v>JUN-COP/APP</v>
      </c>
      <c r="G34" s="1243" t="str">
        <f>+'CIF Y PV'!$H$4</f>
        <v xml:space="preserve">MAY-COP/UMB </v>
      </c>
      <c r="H34" s="1243" t="str">
        <f>+'CIF Y PV'!$I$4</f>
        <v>MAY-COP/APP</v>
      </c>
      <c r="I34" s="1326" t="s">
        <v>3</v>
      </c>
      <c r="J34" s="473">
        <v>38090</v>
      </c>
    </row>
    <row r="35" spans="1:12" x14ac:dyDescent="0.25">
      <c r="A35" s="120"/>
      <c r="B35" s="165">
        <v>1360003</v>
      </c>
      <c r="C35" s="165" t="s">
        <v>1054</v>
      </c>
      <c r="D35" s="166">
        <v>15</v>
      </c>
      <c r="E35" s="167">
        <v>24.5</v>
      </c>
      <c r="F35" s="167">
        <f>E35*D35</f>
        <v>367.5</v>
      </c>
      <c r="G35" s="167">
        <v>24.5</v>
      </c>
      <c r="H35" s="167">
        <v>367.5</v>
      </c>
      <c r="I35" s="167">
        <f>((G35/E35)*100)-100</f>
        <v>0</v>
      </c>
      <c r="J35" s="473">
        <f>J34*D35</f>
        <v>571350</v>
      </c>
    </row>
    <row r="36" spans="1:12" x14ac:dyDescent="0.25">
      <c r="A36" s="120"/>
      <c r="B36" s="165">
        <v>1330022</v>
      </c>
      <c r="C36" s="165" t="s">
        <v>943</v>
      </c>
      <c r="D36" s="166">
        <v>1</v>
      </c>
      <c r="E36" s="167">
        <v>35.81</v>
      </c>
      <c r="F36" s="167">
        <f>E36*D36</f>
        <v>35.81</v>
      </c>
      <c r="G36" s="167">
        <v>37.130000000000003</v>
      </c>
      <c r="H36" s="167">
        <v>39.22</v>
      </c>
      <c r="I36" s="167"/>
      <c r="J36" s="473">
        <f>J34*D36</f>
        <v>38090</v>
      </c>
    </row>
    <row r="37" spans="1:12" x14ac:dyDescent="0.25">
      <c r="A37" s="120"/>
      <c r="B37" s="165">
        <v>1340008</v>
      </c>
      <c r="C37" s="165" t="s">
        <v>1205</v>
      </c>
      <c r="D37" s="166">
        <v>1</v>
      </c>
      <c r="E37" s="167">
        <v>293</v>
      </c>
      <c r="F37" s="167">
        <f>E37*D37</f>
        <v>293</v>
      </c>
      <c r="G37" s="167">
        <v>293</v>
      </c>
      <c r="H37" s="167">
        <v>293</v>
      </c>
      <c r="I37" s="167">
        <f>((G37/E37)*100)-100</f>
        <v>0</v>
      </c>
      <c r="J37" s="473">
        <f>J34*D37</f>
        <v>38090</v>
      </c>
    </row>
    <row r="38" spans="1:12" ht="16.899999999999999" customHeight="1" x14ac:dyDescent="0.25">
      <c r="A38" s="120"/>
      <c r="B38" s="1266"/>
      <c r="C38" s="1266" t="s">
        <v>37</v>
      </c>
      <c r="D38" s="1286"/>
      <c r="E38" s="1267"/>
      <c r="F38" s="1267">
        <f>SUM(F37,F36,F35)</f>
        <v>696.31</v>
      </c>
      <c r="G38" s="1267"/>
      <c r="H38" s="1267">
        <f>SUM(H35:H37)</f>
        <v>699.72</v>
      </c>
      <c r="I38" s="1267">
        <f>((F38/H38)*100)-100</f>
        <v>-0.48733779225976548</v>
      </c>
      <c r="J38" s="170"/>
    </row>
    <row r="39" spans="1:12" x14ac:dyDescent="0.25">
      <c r="H39" s="1" t="str">
        <f>+'CIF Y PV'!$G$1</f>
        <v>MAYO</v>
      </c>
    </row>
    <row r="40" spans="1:12" x14ac:dyDescent="0.25">
      <c r="A40" s="120"/>
      <c r="B40" s="1736" t="s">
        <v>775</v>
      </c>
      <c r="C40" s="1737"/>
      <c r="E40" s="899"/>
      <c r="F40" s="899"/>
      <c r="G40" s="899"/>
      <c r="H40" s="898">
        <f>+F38+G20</f>
        <v>12386.86642663507</v>
      </c>
      <c r="I40" s="194"/>
      <c r="J40" s="898"/>
      <c r="K40" s="194"/>
      <c r="L40" s="304"/>
    </row>
    <row r="41" spans="1:12" x14ac:dyDescent="0.25">
      <c r="A41" s="120"/>
      <c r="B41" s="1736" t="s">
        <v>48</v>
      </c>
      <c r="C41" s="1737"/>
      <c r="E41" s="899"/>
      <c r="F41" s="899"/>
      <c r="G41" s="899"/>
      <c r="H41" s="898">
        <f>+('CIF Y PV'!C3/1000)*1425</f>
        <v>2693.25</v>
      </c>
      <c r="I41" s="796"/>
      <c r="J41" s="898"/>
      <c r="K41" s="796"/>
    </row>
    <row r="42" spans="1:12" x14ac:dyDescent="0.25">
      <c r="A42" s="120"/>
      <c r="B42" s="1736" t="s">
        <v>777</v>
      </c>
      <c r="C42" s="1737"/>
      <c r="D42" s="1146"/>
      <c r="E42" s="899"/>
      <c r="F42" s="899"/>
      <c r="G42" s="899"/>
      <c r="H42" s="898">
        <f>+H41+H40</f>
        <v>15080.11642663507</v>
      </c>
      <c r="I42" s="412"/>
      <c r="J42" s="898"/>
      <c r="K42" s="412"/>
    </row>
    <row r="43" spans="1:12" x14ac:dyDescent="0.25">
      <c r="A43" s="120"/>
      <c r="B43" s="1736" t="s">
        <v>49</v>
      </c>
      <c r="C43" s="1737"/>
      <c r="E43" s="899"/>
      <c r="F43" s="899"/>
      <c r="G43" s="899"/>
      <c r="H43" s="898" t="e">
        <f>'CIF Y PV'!#REF!</f>
        <v>#REF!</v>
      </c>
      <c r="J43" s="898"/>
      <c r="K43" s="647"/>
    </row>
    <row r="44" spans="1:12" x14ac:dyDescent="0.2">
      <c r="A44" s="120"/>
      <c r="B44" s="1736" t="s">
        <v>805</v>
      </c>
      <c r="C44" s="1737"/>
      <c r="E44" s="899"/>
      <c r="F44" s="899"/>
      <c r="G44" s="899"/>
      <c r="H44" s="928" t="e">
        <f>+(H43-H42)/H43</f>
        <v>#REF!</v>
      </c>
      <c r="I44" s="199"/>
      <c r="J44" s="146"/>
      <c r="K44" s="199">
        <f>1-K43</f>
        <v>1</v>
      </c>
    </row>
    <row r="45" spans="1:12" x14ac:dyDescent="0.25">
      <c r="J45" s="170"/>
    </row>
    <row r="46" spans="1:12" x14ac:dyDescent="0.25">
      <c r="J46" s="170"/>
    </row>
    <row r="47" spans="1:12" x14ac:dyDescent="0.25">
      <c r="J47" s="170"/>
    </row>
    <row r="48" spans="1:12" x14ac:dyDescent="0.25">
      <c r="J48" s="170"/>
    </row>
    <row r="49" spans="5:10" x14ac:dyDescent="0.25">
      <c r="J49" s="170"/>
    </row>
    <row r="50" spans="5:10" x14ac:dyDescent="0.25">
      <c r="J50" s="170"/>
    </row>
    <row r="51" spans="5:10" x14ac:dyDescent="0.25">
      <c r="J51" s="170"/>
    </row>
    <row r="52" spans="5:10" x14ac:dyDescent="0.25">
      <c r="J52" s="170"/>
    </row>
    <row r="53" spans="5:10" x14ac:dyDescent="0.25">
      <c r="J53" s="170"/>
    </row>
    <row r="54" spans="5:10" x14ac:dyDescent="0.25">
      <c r="J54" s="170"/>
    </row>
    <row r="56" spans="5:10" x14ac:dyDescent="0.25">
      <c r="E56" s="120">
        <v>29.45</v>
      </c>
    </row>
  </sheetData>
  <autoFilter ref="B4:K4" xr:uid="{A3D0C87A-7BCD-4089-9276-0649FEA4622F}">
    <sortState xmlns:xlrd2="http://schemas.microsoft.com/office/spreadsheetml/2017/richdata2" ref="B5:K21">
      <sortCondition descending="1" ref="K4"/>
    </sortState>
  </autoFilter>
  <mergeCells count="9">
    <mergeCell ref="B44:C44"/>
    <mergeCell ref="B41:C41"/>
    <mergeCell ref="B42:C42"/>
    <mergeCell ref="B43:C43"/>
    <mergeCell ref="B2:J2"/>
    <mergeCell ref="B20:C20"/>
    <mergeCell ref="B22:C22"/>
    <mergeCell ref="B33:I33"/>
    <mergeCell ref="B40:C40"/>
  </mergeCells>
  <pageMargins left="0.7" right="0.7" top="0.75" bottom="0.75" header="0.3" footer="0.3"/>
  <colBreaks count="1" manualBreakCount="1">
    <brk id="11" max="53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5304-C721-481A-98DC-A548EA307342}">
  <sheetPr codeName="Hoja39"/>
  <dimension ref="A2:L72"/>
  <sheetViews>
    <sheetView view="pageBreakPreview" topLeftCell="A59" zoomScale="70" zoomScaleNormal="85" zoomScaleSheetLayoutView="70" workbookViewId="0">
      <selection activeCell="L71" sqref="L71"/>
    </sheetView>
  </sheetViews>
  <sheetFormatPr baseColWidth="10" defaultColWidth="11.5703125" defaultRowHeight="13.5" x14ac:dyDescent="0.25"/>
  <cols>
    <col min="1" max="2" width="11.5703125" style="120"/>
    <col min="3" max="3" width="67.42578125" style="120" bestFit="1" customWidth="1"/>
    <col min="4" max="6" width="11.5703125" style="120"/>
    <col min="7" max="7" width="13.7109375" style="120" customWidth="1"/>
    <col min="8" max="9" width="11.140625" style="120" customWidth="1"/>
    <col min="10" max="16384" width="11.5703125" style="120"/>
  </cols>
  <sheetData>
    <row r="2" spans="1:12" s="42" customFormat="1" ht="26.25" customHeight="1" x14ac:dyDescent="0.25">
      <c r="B2" s="1743" t="s">
        <v>497</v>
      </c>
      <c r="C2" s="1743"/>
      <c r="D2" s="1743"/>
      <c r="E2" s="89"/>
      <c r="F2" s="89"/>
      <c r="G2" s="89"/>
      <c r="H2" s="89"/>
      <c r="I2" s="89"/>
      <c r="J2" s="89"/>
      <c r="K2" s="89"/>
      <c r="L2" s="89"/>
    </row>
    <row r="4" spans="1:12" s="42" customFormat="1" ht="25.5" x14ac:dyDescent="0.25">
      <c r="B4" s="117" t="s">
        <v>0</v>
      </c>
      <c r="C4" s="117" t="s">
        <v>1</v>
      </c>
      <c r="D4" s="117" t="s">
        <v>2</v>
      </c>
      <c r="E4" s="117" t="s">
        <v>3</v>
      </c>
      <c r="F4" s="183" t="s">
        <v>626</v>
      </c>
      <c r="G4" s="149" t="s">
        <v>627</v>
      </c>
      <c r="H4" s="118" t="s">
        <v>500</v>
      </c>
      <c r="I4" s="118" t="s">
        <v>512</v>
      </c>
      <c r="J4" s="118" t="s">
        <v>3</v>
      </c>
      <c r="K4" s="418">
        <v>0.47499999999999998</v>
      </c>
    </row>
    <row r="5" spans="1:12" s="42" customFormat="1" ht="16.5" x14ac:dyDescent="0.25">
      <c r="A5" s="42" t="s">
        <v>495</v>
      </c>
      <c r="B5" s="154" t="s">
        <v>212</v>
      </c>
      <c r="C5" s="154" t="s">
        <v>77</v>
      </c>
      <c r="D5" s="407">
        <v>0.24039616865567748</v>
      </c>
      <c r="E5" s="72">
        <f>(D5*100)/$D$22</f>
        <v>50.609719716984735</v>
      </c>
      <c r="F5" s="72">
        <v>7012.5</v>
      </c>
      <c r="G5" s="72">
        <f>F5*D5</f>
        <v>1685.7781326979384</v>
      </c>
      <c r="H5" s="95">
        <v>6993</v>
      </c>
      <c r="I5" s="73">
        <f>H5*D5</f>
        <v>1681.0904074091527</v>
      </c>
      <c r="J5" s="540">
        <f>((F5/H5)*100)-100</f>
        <v>0.27885027885028535</v>
      </c>
      <c r="K5" s="419">
        <f>$K$4*E5%</f>
        <v>0.24039616865567748</v>
      </c>
    </row>
    <row r="6" spans="1:12" s="42" customFormat="1" ht="16.5" x14ac:dyDescent="0.25">
      <c r="A6" s="42" t="s">
        <v>495</v>
      </c>
      <c r="B6" s="154" t="s">
        <v>116</v>
      </c>
      <c r="C6" s="154" t="s">
        <v>117</v>
      </c>
      <c r="D6" s="408">
        <v>3.9845244811556331E-2</v>
      </c>
      <c r="E6" s="72">
        <f>(D6*100)/$D$22</f>
        <v>8.3884725919065968</v>
      </c>
      <c r="F6" s="72">
        <v>1600</v>
      </c>
      <c r="G6" s="72">
        <f t="shared" ref="G6:G20" si="0">F6*D6</f>
        <v>63.752391698490129</v>
      </c>
      <c r="H6" s="88">
        <v>1600</v>
      </c>
      <c r="I6" s="73">
        <f t="shared" ref="I6:I20" si="1">H6*D6</f>
        <v>63.752391698490129</v>
      </c>
      <c r="J6" s="536">
        <f t="shared" ref="J6:J20" si="2">((F6/H6)*100)-100</f>
        <v>0</v>
      </c>
      <c r="K6" s="419">
        <f t="shared" ref="K6:K20" si="3">$K$4*E6%</f>
        <v>3.9845244811556331E-2</v>
      </c>
    </row>
    <row r="7" spans="1:12" s="42" customFormat="1" ht="16.5" x14ac:dyDescent="0.25">
      <c r="A7" s="42" t="s">
        <v>495</v>
      </c>
      <c r="B7" s="154"/>
      <c r="C7" s="154" t="s">
        <v>454</v>
      </c>
      <c r="D7" s="408">
        <v>5.6749288064943865E-2</v>
      </c>
      <c r="E7" s="72">
        <f>(D7*100)/$D$22</f>
        <v>11.947218539988182</v>
      </c>
      <c r="F7" s="72">
        <v>11000</v>
      </c>
      <c r="G7" s="72">
        <f t="shared" si="0"/>
        <v>624.2421687143825</v>
      </c>
      <c r="H7" s="88">
        <v>11000</v>
      </c>
      <c r="I7" s="73">
        <f t="shared" si="1"/>
        <v>624.2421687143825</v>
      </c>
      <c r="J7" s="536">
        <f t="shared" si="2"/>
        <v>0</v>
      </c>
      <c r="K7" s="419">
        <f t="shared" si="3"/>
        <v>5.6749288064943858E-2</v>
      </c>
    </row>
    <row r="8" spans="1:12" s="42" customFormat="1" ht="16.5" x14ac:dyDescent="0.25">
      <c r="A8" s="42" t="s">
        <v>496</v>
      </c>
      <c r="B8" s="154" t="s">
        <v>4</v>
      </c>
      <c r="C8" s="154" t="s">
        <v>53</v>
      </c>
      <c r="D8" s="408">
        <v>6.5455797188770801E-2</v>
      </c>
      <c r="E8" s="72">
        <f t="shared" ref="E8:E20" si="4">(D8*100)/$D$22</f>
        <v>13.780167829214905</v>
      </c>
      <c r="F8" s="72">
        <v>7</v>
      </c>
      <c r="G8" s="72">
        <f t="shared" si="0"/>
        <v>0.45819058032139559</v>
      </c>
      <c r="H8" s="88">
        <v>7</v>
      </c>
      <c r="I8" s="73">
        <f t="shared" si="1"/>
        <v>0.45819058032139559</v>
      </c>
      <c r="J8" s="536">
        <f t="shared" si="2"/>
        <v>0</v>
      </c>
      <c r="K8" s="419">
        <f t="shared" si="3"/>
        <v>6.5455797188770801E-2</v>
      </c>
    </row>
    <row r="9" spans="1:12" s="42" customFormat="1" ht="16.5" x14ac:dyDescent="0.25">
      <c r="A9" s="42" t="s">
        <v>496</v>
      </c>
      <c r="B9" s="154" t="s">
        <v>11</v>
      </c>
      <c r="C9" s="154" t="s">
        <v>12</v>
      </c>
      <c r="D9" s="408">
        <v>1.9372784961530366E-2</v>
      </c>
      <c r="E9" s="72">
        <f t="shared" si="4"/>
        <v>4.0784810445327091</v>
      </c>
      <c r="F9" s="72">
        <v>16693.95</v>
      </c>
      <c r="G9" s="72">
        <f t="shared" si="0"/>
        <v>323.40830350853986</v>
      </c>
      <c r="H9" s="88">
        <v>16084</v>
      </c>
      <c r="I9" s="73">
        <f t="shared" si="1"/>
        <v>311.59187332125441</v>
      </c>
      <c r="J9" s="540">
        <f t="shared" si="2"/>
        <v>3.7922780402884939</v>
      </c>
      <c r="K9" s="419">
        <f t="shared" si="3"/>
        <v>1.9372784961530366E-2</v>
      </c>
    </row>
    <row r="10" spans="1:12" s="42" customFormat="1" ht="16.5" x14ac:dyDescent="0.25">
      <c r="A10" s="42" t="s">
        <v>496</v>
      </c>
      <c r="B10" s="154" t="s">
        <v>9</v>
      </c>
      <c r="C10" s="154" t="s">
        <v>10</v>
      </c>
      <c r="D10" s="408">
        <v>1.6224707405281695E-2</v>
      </c>
      <c r="E10" s="72">
        <f t="shared" si="4"/>
        <v>3.4157278747961466</v>
      </c>
      <c r="F10" s="72">
        <v>5975</v>
      </c>
      <c r="G10" s="72">
        <f t="shared" si="0"/>
        <v>96.942626746558133</v>
      </c>
      <c r="H10" s="95">
        <v>5975</v>
      </c>
      <c r="I10" s="73">
        <f t="shared" si="1"/>
        <v>96.942626746558133</v>
      </c>
      <c r="J10" s="536">
        <f t="shared" si="2"/>
        <v>0</v>
      </c>
      <c r="K10" s="419">
        <f t="shared" si="3"/>
        <v>1.6224707405281695E-2</v>
      </c>
    </row>
    <row r="11" spans="1:12" s="42" customFormat="1" ht="16.5" x14ac:dyDescent="0.25">
      <c r="A11" s="42" t="s">
        <v>496</v>
      </c>
      <c r="B11" s="154" t="s">
        <v>213</v>
      </c>
      <c r="C11" s="154" t="s">
        <v>214</v>
      </c>
      <c r="D11" s="408">
        <v>1.4529588721147801E-2</v>
      </c>
      <c r="E11" s="72">
        <f t="shared" si="4"/>
        <v>3.0588607833995374</v>
      </c>
      <c r="F11" s="72">
        <v>11052</v>
      </c>
      <c r="G11" s="72">
        <f t="shared" si="0"/>
        <v>160.58101454612549</v>
      </c>
      <c r="H11" s="95">
        <v>11052</v>
      </c>
      <c r="I11" s="73">
        <f t="shared" si="1"/>
        <v>160.58101454612549</v>
      </c>
      <c r="J11" s="536">
        <f t="shared" si="2"/>
        <v>0</v>
      </c>
      <c r="K11" s="419">
        <f t="shared" si="3"/>
        <v>1.4529588721147801E-2</v>
      </c>
    </row>
    <row r="12" spans="1:12" s="42" customFormat="1" ht="16.5" x14ac:dyDescent="0.25">
      <c r="A12" s="42" t="s">
        <v>496</v>
      </c>
      <c r="B12" s="154" t="s">
        <v>215</v>
      </c>
      <c r="C12" s="154" t="s">
        <v>216</v>
      </c>
      <c r="D12" s="407">
        <v>1.0897191540860844E-2</v>
      </c>
      <c r="E12" s="72">
        <f t="shared" si="4"/>
        <v>2.2941455875496515</v>
      </c>
      <c r="F12" s="72">
        <v>16768.689999999999</v>
      </c>
      <c r="G12" s="72">
        <f t="shared" si="0"/>
        <v>182.73162681931782</v>
      </c>
      <c r="H12" s="95">
        <v>16680</v>
      </c>
      <c r="I12" s="73">
        <f t="shared" si="1"/>
        <v>181.76515490155887</v>
      </c>
      <c r="J12" s="540">
        <f t="shared" si="2"/>
        <v>0.53171462829735106</v>
      </c>
      <c r="K12" s="419">
        <f t="shared" si="3"/>
        <v>1.0897191540860844E-2</v>
      </c>
    </row>
    <row r="13" spans="1:12" s="42" customFormat="1" ht="16.5" x14ac:dyDescent="0.25">
      <c r="A13" s="42" t="s">
        <v>496</v>
      </c>
      <c r="B13" s="154" t="s">
        <v>21</v>
      </c>
      <c r="C13" s="154" t="s">
        <v>22</v>
      </c>
      <c r="D13" s="408">
        <v>5.8118354884591182E-3</v>
      </c>
      <c r="E13" s="72">
        <f t="shared" si="4"/>
        <v>1.2235443133598145</v>
      </c>
      <c r="F13" s="72">
        <v>10412</v>
      </c>
      <c r="G13" s="72">
        <f t="shared" si="0"/>
        <v>60.512831105836341</v>
      </c>
      <c r="H13" s="88">
        <v>10412</v>
      </c>
      <c r="I13" s="73">
        <f t="shared" si="1"/>
        <v>60.512831105836341</v>
      </c>
      <c r="J13" s="536">
        <f t="shared" si="2"/>
        <v>0</v>
      </c>
      <c r="K13" s="419">
        <f t="shared" si="3"/>
        <v>5.8118354884591182E-3</v>
      </c>
    </row>
    <row r="14" spans="1:12" s="42" customFormat="1" ht="16.5" x14ac:dyDescent="0.25">
      <c r="A14" s="42" t="s">
        <v>496</v>
      </c>
      <c r="B14" s="154" t="s">
        <v>217</v>
      </c>
      <c r="C14" s="154" t="s">
        <v>218</v>
      </c>
      <c r="D14" s="407">
        <v>2.3005182141817341E-3</v>
      </c>
      <c r="E14" s="72">
        <f t="shared" si="4"/>
        <v>0.48431962403825984</v>
      </c>
      <c r="F14" s="72">
        <v>4561</v>
      </c>
      <c r="G14" s="72">
        <f t="shared" si="0"/>
        <v>10.492663574882888</v>
      </c>
      <c r="H14" s="88">
        <v>4561</v>
      </c>
      <c r="I14" s="73">
        <f t="shared" si="1"/>
        <v>10.492663574882888</v>
      </c>
      <c r="J14" s="536">
        <f t="shared" si="2"/>
        <v>0</v>
      </c>
      <c r="K14" s="419">
        <f t="shared" si="3"/>
        <v>2.3005182141817341E-3</v>
      </c>
    </row>
    <row r="15" spans="1:12" s="42" customFormat="1" ht="16.5" x14ac:dyDescent="0.25">
      <c r="A15" s="42" t="s">
        <v>496</v>
      </c>
      <c r="B15" s="154" t="s">
        <v>219</v>
      </c>
      <c r="C15" s="154" t="s">
        <v>220</v>
      </c>
      <c r="D15" s="408">
        <v>8.7782931856934549E-4</v>
      </c>
      <c r="E15" s="72">
        <f t="shared" si="4"/>
        <v>0.18480617233038851</v>
      </c>
      <c r="F15" s="72">
        <v>28330</v>
      </c>
      <c r="G15" s="72">
        <f t="shared" si="0"/>
        <v>24.868904595069559</v>
      </c>
      <c r="H15" s="88">
        <v>32511</v>
      </c>
      <c r="I15" s="73">
        <f t="shared" si="1"/>
        <v>28.539108976007991</v>
      </c>
      <c r="J15" s="641">
        <f t="shared" si="2"/>
        <v>-12.860262680323586</v>
      </c>
      <c r="K15" s="419">
        <f t="shared" si="3"/>
        <v>8.7782931856934538E-4</v>
      </c>
    </row>
    <row r="16" spans="1:12" s="42" customFormat="1" ht="16.5" x14ac:dyDescent="0.25">
      <c r="A16" s="42" t="s">
        <v>496</v>
      </c>
      <c r="B16" s="154" t="s">
        <v>80</v>
      </c>
      <c r="C16" s="154" t="s">
        <v>81</v>
      </c>
      <c r="D16" s="408">
        <v>8.4755934206695474E-4</v>
      </c>
      <c r="E16" s="72">
        <f t="shared" si="4"/>
        <v>0.17843354569830627</v>
      </c>
      <c r="F16" s="72">
        <v>21400</v>
      </c>
      <c r="G16" s="72">
        <f t="shared" si="0"/>
        <v>18.137769920232831</v>
      </c>
      <c r="H16" s="95">
        <v>21400</v>
      </c>
      <c r="I16" s="73">
        <f t="shared" si="1"/>
        <v>18.137769920232831</v>
      </c>
      <c r="J16" s="536">
        <f t="shared" si="2"/>
        <v>0</v>
      </c>
      <c r="K16" s="419">
        <f t="shared" si="3"/>
        <v>8.4755934206695474E-4</v>
      </c>
    </row>
    <row r="17" spans="1:11" s="42" customFormat="1" ht="16.5" x14ac:dyDescent="0.25">
      <c r="A17" s="42" t="s">
        <v>496</v>
      </c>
      <c r="B17" s="154" t="s">
        <v>61</v>
      </c>
      <c r="C17" s="154" t="s">
        <v>62</v>
      </c>
      <c r="D17" s="408">
        <v>5.2064359584112882E-4</v>
      </c>
      <c r="E17" s="72">
        <f t="shared" si="4"/>
        <v>0.1096091780718166</v>
      </c>
      <c r="F17" s="72">
        <v>30713</v>
      </c>
      <c r="G17" s="72">
        <f t="shared" si="0"/>
        <v>15.99052675906859</v>
      </c>
      <c r="H17" s="88">
        <v>30713</v>
      </c>
      <c r="I17" s="73">
        <f t="shared" si="1"/>
        <v>15.99052675906859</v>
      </c>
      <c r="J17" s="536">
        <f t="shared" si="2"/>
        <v>0</v>
      </c>
      <c r="K17" s="419">
        <f t="shared" si="3"/>
        <v>5.2064359584112882E-4</v>
      </c>
    </row>
    <row r="18" spans="1:11" s="42" customFormat="1" ht="16.5" x14ac:dyDescent="0.25">
      <c r="A18" s="42" t="s">
        <v>496</v>
      </c>
      <c r="B18" s="154" t="s">
        <v>65</v>
      </c>
      <c r="C18" s="154" t="s">
        <v>66</v>
      </c>
      <c r="D18" s="408">
        <v>5.2064359584112882E-4</v>
      </c>
      <c r="E18" s="72">
        <f t="shared" si="4"/>
        <v>0.1096091780718166</v>
      </c>
      <c r="F18" s="72">
        <v>24619</v>
      </c>
      <c r="G18" s="72">
        <f t="shared" si="0"/>
        <v>12.817724686012751</v>
      </c>
      <c r="H18" s="88">
        <v>24619</v>
      </c>
      <c r="I18" s="73">
        <f t="shared" si="1"/>
        <v>12.817724686012751</v>
      </c>
      <c r="J18" s="536">
        <f t="shared" si="2"/>
        <v>0</v>
      </c>
      <c r="K18" s="419">
        <f t="shared" si="3"/>
        <v>5.2064359584112882E-4</v>
      </c>
    </row>
    <row r="19" spans="1:11" s="42" customFormat="1" ht="16.5" x14ac:dyDescent="0.25">
      <c r="A19" s="42" t="s">
        <v>496</v>
      </c>
      <c r="B19" s="154" t="s">
        <v>121</v>
      </c>
      <c r="C19" s="154" t="s">
        <v>122</v>
      </c>
      <c r="D19" s="408">
        <v>3.8987729735079872E-4</v>
      </c>
      <c r="E19" s="72">
        <f t="shared" si="4"/>
        <v>8.2079431021220783E-2</v>
      </c>
      <c r="F19" s="72">
        <v>43120</v>
      </c>
      <c r="G19" s="72">
        <f t="shared" si="0"/>
        <v>16.81150906176644</v>
      </c>
      <c r="H19" s="88">
        <v>43120</v>
      </c>
      <c r="I19" s="73">
        <f t="shared" si="1"/>
        <v>16.81150906176644</v>
      </c>
      <c r="J19" s="536">
        <f t="shared" si="2"/>
        <v>0</v>
      </c>
      <c r="K19" s="419">
        <f t="shared" si="3"/>
        <v>3.8987729735079872E-4</v>
      </c>
    </row>
    <row r="20" spans="1:11" s="42" customFormat="1" ht="16.5" x14ac:dyDescent="0.25">
      <c r="A20" s="42" t="s">
        <v>496</v>
      </c>
      <c r="B20" s="154" t="s">
        <v>86</v>
      </c>
      <c r="C20" s="154" t="s">
        <v>87</v>
      </c>
      <c r="D20" s="407">
        <v>2.6032179792056441E-4</v>
      </c>
      <c r="E20" s="72">
        <f t="shared" si="4"/>
        <v>5.4804589035908298E-2</v>
      </c>
      <c r="F20" s="72">
        <v>53429</v>
      </c>
      <c r="G20" s="72">
        <f t="shared" si="0"/>
        <v>13.908733341097836</v>
      </c>
      <c r="H20" s="88">
        <v>51477</v>
      </c>
      <c r="I20" s="73">
        <f t="shared" si="1"/>
        <v>13.400585191556894</v>
      </c>
      <c r="J20" s="540">
        <f t="shared" si="2"/>
        <v>3.7919847698972404</v>
      </c>
      <c r="K20" s="419">
        <f t="shared" si="3"/>
        <v>2.6032179792056441E-4</v>
      </c>
    </row>
    <row r="21" spans="1:11" s="42" customFormat="1" ht="16.5" hidden="1" x14ac:dyDescent="0.25">
      <c r="K21" s="336">
        <f>$K$4*E21%</f>
        <v>0</v>
      </c>
    </row>
    <row r="22" spans="1:11" s="42" customFormat="1" ht="16.5" x14ac:dyDescent="0.25">
      <c r="B22" s="1814"/>
      <c r="C22" s="1815"/>
      <c r="D22" s="104">
        <f>SUM(D5:D20)</f>
        <v>0.47499999999999998</v>
      </c>
      <c r="E22" s="75">
        <f>SUM(E5:E20)</f>
        <v>100.00000000000001</v>
      </c>
      <c r="F22" s="75"/>
      <c r="G22" s="341">
        <f>SUM(G5:G20)</f>
        <v>3311.4351183556419</v>
      </c>
      <c r="H22" s="76"/>
      <c r="I22" s="90">
        <f>SUM(I5:I20)</f>
        <v>3297.1265471932088</v>
      </c>
      <c r="J22" s="640">
        <f>((G22/I22)*100)-100</f>
        <v>0.43397094280817328</v>
      </c>
      <c r="K22" s="42" t="s">
        <v>85</v>
      </c>
    </row>
    <row r="24" spans="1:11" ht="25.5" x14ac:dyDescent="0.25">
      <c r="B24" s="1793" t="s">
        <v>50</v>
      </c>
      <c r="C24" s="1794"/>
      <c r="D24" s="195"/>
      <c r="E24" s="195"/>
      <c r="F24" s="195"/>
      <c r="G24" s="195"/>
      <c r="H24" s="195"/>
      <c r="I24" s="195"/>
    </row>
    <row r="25" spans="1:11" x14ac:dyDescent="0.25">
      <c r="B25" s="160" t="s">
        <v>38</v>
      </c>
      <c r="C25" s="161" t="s">
        <v>90</v>
      </c>
      <c r="D25" s="146"/>
      <c r="H25" s="146"/>
    </row>
    <row r="26" spans="1:11" x14ac:dyDescent="0.25">
      <c r="B26" s="162" t="s">
        <v>39</v>
      </c>
      <c r="C26" s="163" t="s">
        <v>221</v>
      </c>
      <c r="D26" s="146"/>
      <c r="H26" s="146"/>
    </row>
    <row r="27" spans="1:11" x14ac:dyDescent="0.25">
      <c r="B27" s="162" t="s">
        <v>40</v>
      </c>
      <c r="C27" s="163">
        <v>2700</v>
      </c>
      <c r="D27" s="146"/>
      <c r="H27" s="146"/>
    </row>
    <row r="28" spans="1:11" x14ac:dyDescent="0.25">
      <c r="B28" s="162" t="s">
        <v>41</v>
      </c>
      <c r="C28" s="163">
        <v>0.5</v>
      </c>
      <c r="D28" s="146"/>
      <c r="H28" s="146"/>
      <c r="K28" s="120" t="s">
        <v>85</v>
      </c>
    </row>
    <row r="29" spans="1:11" x14ac:dyDescent="0.25">
      <c r="B29" s="162" t="s">
        <v>42</v>
      </c>
      <c r="C29" s="163">
        <v>0</v>
      </c>
      <c r="D29" s="146"/>
      <c r="H29" s="146"/>
    </row>
    <row r="30" spans="1:11" x14ac:dyDescent="0.25">
      <c r="B30" s="162" t="s">
        <v>43</v>
      </c>
      <c r="C30" s="163">
        <v>4</v>
      </c>
      <c r="D30" s="146"/>
      <c r="H30" s="146"/>
    </row>
    <row r="31" spans="1:11" x14ac:dyDescent="0.25">
      <c r="B31" s="162" t="s">
        <v>44</v>
      </c>
      <c r="C31" s="163">
        <v>0</v>
      </c>
      <c r="D31" s="146"/>
      <c r="H31" s="146"/>
    </row>
    <row r="32" spans="1:11" x14ac:dyDescent="0.25">
      <c r="B32" s="162" t="s">
        <v>45</v>
      </c>
      <c r="C32" s="163">
        <v>1</v>
      </c>
      <c r="D32" s="146"/>
      <c r="H32" s="146"/>
    </row>
    <row r="33" spans="2:10" x14ac:dyDescent="0.25">
      <c r="B33" s="162" t="s">
        <v>46</v>
      </c>
      <c r="C33" s="196">
        <f>SUM(C28:C32)</f>
        <v>5.5</v>
      </c>
      <c r="D33" s="146"/>
      <c r="H33" s="146"/>
    </row>
    <row r="35" spans="2:10" ht="25.5" x14ac:dyDescent="0.25">
      <c r="B35" s="1816" t="s">
        <v>494</v>
      </c>
      <c r="C35" s="1816"/>
      <c r="D35" s="1816"/>
      <c r="E35" s="1816"/>
      <c r="F35" s="1816"/>
      <c r="G35" s="1816"/>
      <c r="H35" s="1816"/>
      <c r="I35" s="1816"/>
      <c r="J35" s="146">
        <v>29100</v>
      </c>
    </row>
    <row r="36" spans="2:10" ht="25.5" x14ac:dyDescent="0.25">
      <c r="B36" s="127" t="s">
        <v>0</v>
      </c>
      <c r="C36" s="127" t="s">
        <v>1</v>
      </c>
      <c r="D36" s="145" t="s">
        <v>2</v>
      </c>
      <c r="E36" s="200" t="s">
        <v>626</v>
      </c>
      <c r="F36" s="201" t="s">
        <v>627</v>
      </c>
      <c r="G36" s="144" t="s">
        <v>501</v>
      </c>
      <c r="H36" s="144" t="s">
        <v>512</v>
      </c>
      <c r="I36" s="144" t="s">
        <v>3</v>
      </c>
    </row>
    <row r="37" spans="2:10" x14ac:dyDescent="0.25">
      <c r="B37" s="165" t="s">
        <v>222</v>
      </c>
      <c r="C37" s="165" t="s">
        <v>223</v>
      </c>
      <c r="D37" s="166">
        <v>30</v>
      </c>
      <c r="E37" s="167">
        <v>19</v>
      </c>
      <c r="F37" s="167">
        <f>E37*D37</f>
        <v>570</v>
      </c>
      <c r="G37" s="167">
        <v>19</v>
      </c>
      <c r="H37" s="167">
        <f>G37*D37</f>
        <v>570</v>
      </c>
      <c r="I37" s="167">
        <f>((E37/G37)*100)-100</f>
        <v>0</v>
      </c>
    </row>
    <row r="38" spans="2:10" x14ac:dyDescent="0.25">
      <c r="B38" s="165" t="s">
        <v>224</v>
      </c>
      <c r="C38" s="165" t="s">
        <v>225</v>
      </c>
      <c r="D38" s="166">
        <v>1</v>
      </c>
      <c r="E38" s="167">
        <v>1022</v>
      </c>
      <c r="F38" s="167">
        <f>E38*D38</f>
        <v>1022</v>
      </c>
      <c r="G38" s="167">
        <v>1022</v>
      </c>
      <c r="H38" s="167">
        <f>G38*D38</f>
        <v>1022</v>
      </c>
      <c r="I38" s="167">
        <f>((E38/G38)*100)-100</f>
        <v>0</v>
      </c>
    </row>
    <row r="39" spans="2:10" x14ac:dyDescent="0.25">
      <c r="B39" s="165" t="s">
        <v>226</v>
      </c>
      <c r="C39" s="165" t="s">
        <v>227</v>
      </c>
      <c r="D39" s="166">
        <v>3</v>
      </c>
      <c r="E39" s="167">
        <v>58</v>
      </c>
      <c r="F39" s="167">
        <f>E39*D39</f>
        <v>174</v>
      </c>
      <c r="G39" s="167">
        <v>58</v>
      </c>
      <c r="H39" s="167">
        <f>G39*D39</f>
        <v>174</v>
      </c>
      <c r="I39" s="167">
        <f>((E39/G39)*100)-100</f>
        <v>0</v>
      </c>
    </row>
    <row r="40" spans="2:10" ht="16.899999999999999" customHeight="1" x14ac:dyDescent="0.25">
      <c r="B40" s="132"/>
      <c r="C40" s="132" t="s">
        <v>37</v>
      </c>
      <c r="D40" s="164"/>
      <c r="E40" s="133"/>
      <c r="F40" s="134">
        <f>SUM(F37:F39)</f>
        <v>1766</v>
      </c>
      <c r="G40" s="133"/>
      <c r="H40" s="133">
        <f>SUM(H37:H39)</f>
        <v>1766</v>
      </c>
      <c r="I40" s="133">
        <f>((F40/H40)*100)-100</f>
        <v>0</v>
      </c>
    </row>
    <row r="42" spans="2:10" x14ac:dyDescent="0.25">
      <c r="B42" s="1798" t="s">
        <v>228</v>
      </c>
      <c r="C42" s="1798"/>
      <c r="D42" s="1799">
        <f>+F40+G22</f>
        <v>5077.4351183556419</v>
      </c>
      <c r="E42" s="1799"/>
      <c r="F42" s="1799"/>
      <c r="G42" s="1799"/>
      <c r="H42" s="1799"/>
      <c r="I42" s="202"/>
    </row>
    <row r="43" spans="2:10" x14ac:dyDescent="0.25">
      <c r="B43" s="1800" t="s">
        <v>48</v>
      </c>
      <c r="C43" s="1801"/>
      <c r="D43" s="1799">
        <f>+(921.6/1000)*2700</f>
        <v>2488.3199999999997</v>
      </c>
      <c r="E43" s="1799"/>
      <c r="F43" s="1799"/>
      <c r="G43" s="1799"/>
      <c r="H43" s="1799"/>
      <c r="I43" s="202"/>
    </row>
    <row r="44" spans="2:10" x14ac:dyDescent="0.25">
      <c r="B44" s="1800" t="s">
        <v>229</v>
      </c>
      <c r="C44" s="1801"/>
      <c r="D44" s="1799">
        <f>+D42+D43</f>
        <v>7565.7551183556416</v>
      </c>
      <c r="E44" s="1799"/>
      <c r="F44" s="1799"/>
      <c r="G44" s="1799"/>
      <c r="H44" s="1799"/>
      <c r="I44" s="202"/>
    </row>
    <row r="45" spans="2:10" x14ac:dyDescent="0.25">
      <c r="B45" s="1798" t="s">
        <v>49</v>
      </c>
      <c r="C45" s="1798"/>
      <c r="D45" s="1799">
        <f>D44/I46</f>
        <v>10529.930575303606</v>
      </c>
      <c r="E45" s="1799"/>
      <c r="F45" s="1799"/>
      <c r="G45" s="1799"/>
      <c r="H45" s="1799"/>
      <c r="I45" s="342">
        <v>0.28149999999999997</v>
      </c>
    </row>
    <row r="46" spans="2:10" x14ac:dyDescent="0.25">
      <c r="D46" s="146"/>
      <c r="H46" s="146"/>
      <c r="I46" s="203">
        <f>1-I45</f>
        <v>0.71850000000000003</v>
      </c>
    </row>
    <row r="49" spans="1:10" ht="25.5" x14ac:dyDescent="0.25">
      <c r="B49" s="1812" t="s">
        <v>492</v>
      </c>
      <c r="C49" s="1813"/>
      <c r="D49" s="1813"/>
      <c r="E49" s="1813"/>
      <c r="F49" s="1813"/>
      <c r="G49" s="1813"/>
      <c r="H49" s="1813"/>
      <c r="I49" s="1813"/>
    </row>
    <row r="50" spans="1:10" ht="25.5" x14ac:dyDescent="0.25">
      <c r="B50" s="132" t="s">
        <v>0</v>
      </c>
      <c r="C50" s="132" t="s">
        <v>1</v>
      </c>
      <c r="D50" s="164" t="s">
        <v>2</v>
      </c>
      <c r="E50" s="150" t="s">
        <v>536</v>
      </c>
      <c r="F50" s="150" t="s">
        <v>512</v>
      </c>
      <c r="G50" s="2" t="s">
        <v>306</v>
      </c>
      <c r="H50" s="2" t="s">
        <v>307</v>
      </c>
      <c r="I50" s="2" t="s">
        <v>3</v>
      </c>
      <c r="J50" s="146">
        <v>11100</v>
      </c>
    </row>
    <row r="51" spans="1:10" x14ac:dyDescent="0.25">
      <c r="B51" s="165" t="s">
        <v>222</v>
      </c>
      <c r="C51" s="165" t="s">
        <v>223</v>
      </c>
      <c r="D51" s="166">
        <v>10</v>
      </c>
      <c r="E51" s="167">
        <v>19</v>
      </c>
      <c r="F51" s="167">
        <f>E51*D51</f>
        <v>190</v>
      </c>
      <c r="G51" s="167">
        <v>19</v>
      </c>
      <c r="H51" s="167">
        <f>G51*D51</f>
        <v>190</v>
      </c>
      <c r="I51" s="167">
        <f>((G51/E51)*100)-100</f>
        <v>0</v>
      </c>
    </row>
    <row r="52" spans="1:10" x14ac:dyDescent="0.25">
      <c r="B52" s="165" t="s">
        <v>231</v>
      </c>
      <c r="C52" s="165" t="s">
        <v>232</v>
      </c>
      <c r="D52" s="166">
        <v>1</v>
      </c>
      <c r="E52" s="167">
        <v>437</v>
      </c>
      <c r="F52" s="167">
        <f>E52*D52</f>
        <v>437</v>
      </c>
      <c r="G52" s="167">
        <v>437</v>
      </c>
      <c r="H52" s="167">
        <f>G52*D52</f>
        <v>437</v>
      </c>
      <c r="I52" s="167">
        <f>((G52/E52)*100)-100</f>
        <v>0</v>
      </c>
    </row>
    <row r="53" spans="1:10" ht="16.899999999999999" customHeight="1" x14ac:dyDescent="0.25">
      <c r="B53" s="132"/>
      <c r="C53" s="132" t="s">
        <v>37</v>
      </c>
      <c r="D53" s="164"/>
      <c r="E53" s="133"/>
      <c r="F53" s="134">
        <f>SUM(F51:F52)</f>
        <v>627</v>
      </c>
      <c r="G53" s="133"/>
      <c r="H53" s="133">
        <f>SUM(H51:H52)</f>
        <v>627</v>
      </c>
      <c r="I53" s="133">
        <f>((F53/H53)*100)-100</f>
        <v>0</v>
      </c>
    </row>
    <row r="54" spans="1:10" x14ac:dyDescent="0.25">
      <c r="A54" s="1"/>
      <c r="D54" s="119"/>
    </row>
    <row r="55" spans="1:10" x14ac:dyDescent="0.25">
      <c r="B55" s="1798" t="s">
        <v>301</v>
      </c>
      <c r="C55" s="1798"/>
      <c r="D55" s="1799">
        <f>+F53+G22</f>
        <v>3938.4351183556419</v>
      </c>
      <c r="E55" s="1799"/>
      <c r="F55" s="1799"/>
      <c r="G55" s="1799"/>
      <c r="H55" s="1799"/>
      <c r="I55" s="194"/>
    </row>
    <row r="56" spans="1:10" x14ac:dyDescent="0.25">
      <c r="B56" s="1800" t="s">
        <v>48</v>
      </c>
      <c r="C56" s="1801"/>
      <c r="D56" s="1799">
        <f>+(921.6/1000)*900</f>
        <v>829.43999999999994</v>
      </c>
      <c r="E56" s="1799"/>
      <c r="F56" s="1799"/>
      <c r="G56" s="1799"/>
      <c r="H56" s="1799"/>
      <c r="I56" s="197"/>
    </row>
    <row r="57" spans="1:10" x14ac:dyDescent="0.25">
      <c r="B57" s="1800" t="s">
        <v>305</v>
      </c>
      <c r="C57" s="1801"/>
      <c r="D57" s="1799">
        <f>+D56+D55</f>
        <v>4767.8751183556415</v>
      </c>
      <c r="E57" s="1799"/>
      <c r="F57" s="1799"/>
      <c r="G57" s="1799"/>
      <c r="H57" s="1799"/>
      <c r="I57" s="198"/>
    </row>
    <row r="58" spans="1:10" x14ac:dyDescent="0.25">
      <c r="B58" s="1798" t="s">
        <v>49</v>
      </c>
      <c r="C58" s="1798"/>
      <c r="D58" s="1799">
        <f>D57/I59</f>
        <v>6553.7802314166893</v>
      </c>
      <c r="E58" s="1799"/>
      <c r="F58" s="1799"/>
      <c r="G58" s="1799"/>
      <c r="H58" s="1799"/>
      <c r="I58" s="349">
        <v>0.27250000000000002</v>
      </c>
    </row>
    <row r="59" spans="1:10" x14ac:dyDescent="0.25">
      <c r="D59" s="119"/>
      <c r="H59" s="146"/>
      <c r="I59" s="199">
        <f>1-I58</f>
        <v>0.72750000000000004</v>
      </c>
    </row>
    <row r="62" spans="1:10" ht="25.5" x14ac:dyDescent="0.25">
      <c r="B62" s="1812" t="s">
        <v>493</v>
      </c>
      <c r="C62" s="1813"/>
      <c r="D62" s="1813"/>
      <c r="E62" s="1813"/>
      <c r="F62" s="1813"/>
      <c r="G62" s="1813"/>
      <c r="H62" s="1813"/>
      <c r="I62" s="1813"/>
    </row>
    <row r="63" spans="1:10" ht="25.5" x14ac:dyDescent="0.25">
      <c r="B63" s="132" t="s">
        <v>0</v>
      </c>
      <c r="C63" s="132" t="s">
        <v>1</v>
      </c>
      <c r="D63" s="164" t="s">
        <v>2</v>
      </c>
      <c r="E63" s="150" t="s">
        <v>536</v>
      </c>
      <c r="F63" s="150" t="s">
        <v>512</v>
      </c>
      <c r="G63" s="2" t="s">
        <v>306</v>
      </c>
      <c r="H63" s="2" t="s">
        <v>307</v>
      </c>
      <c r="I63" s="2" t="s">
        <v>3</v>
      </c>
      <c r="J63" s="146">
        <v>6700</v>
      </c>
    </row>
    <row r="64" spans="1:10" x14ac:dyDescent="0.25">
      <c r="B64" s="165" t="s">
        <v>222</v>
      </c>
      <c r="C64" s="165" t="s">
        <v>223</v>
      </c>
      <c r="D64" s="166">
        <v>5</v>
      </c>
      <c r="E64" s="167">
        <v>19</v>
      </c>
      <c r="F64" s="167">
        <f>E64*D64</f>
        <v>95</v>
      </c>
      <c r="G64" s="167">
        <v>19</v>
      </c>
      <c r="H64" s="167">
        <f>G64*D64</f>
        <v>95</v>
      </c>
      <c r="I64" s="167">
        <f>((G64/E64)*100)-100</f>
        <v>0</v>
      </c>
    </row>
    <row r="65" spans="2:9" x14ac:dyDescent="0.25">
      <c r="B65" s="165" t="s">
        <v>322</v>
      </c>
      <c r="C65" s="165" t="s">
        <v>323</v>
      </c>
      <c r="D65" s="166">
        <v>1</v>
      </c>
      <c r="E65" s="167">
        <v>437</v>
      </c>
      <c r="F65" s="167">
        <f>E65*D65</f>
        <v>437</v>
      </c>
      <c r="G65" s="167">
        <v>437</v>
      </c>
      <c r="H65" s="167">
        <f>G65*D65</f>
        <v>437</v>
      </c>
      <c r="I65" s="167">
        <f>((G65/E65)*100)-100</f>
        <v>0</v>
      </c>
    </row>
    <row r="66" spans="2:9" ht="16.899999999999999" customHeight="1" x14ac:dyDescent="0.25">
      <c r="B66" s="132"/>
      <c r="C66" s="132" t="s">
        <v>37</v>
      </c>
      <c r="D66" s="164"/>
      <c r="E66" s="133"/>
      <c r="F66" s="134">
        <f>SUM(F64:F65)</f>
        <v>532</v>
      </c>
      <c r="G66" s="133"/>
      <c r="H66" s="133">
        <f>SUM(H64:H65)</f>
        <v>532</v>
      </c>
      <c r="I66" s="260">
        <f>((F66/H66)*100)-100</f>
        <v>0</v>
      </c>
    </row>
    <row r="68" spans="2:9" x14ac:dyDescent="0.25">
      <c r="B68" s="1798" t="s">
        <v>301</v>
      </c>
      <c r="C68" s="1798"/>
      <c r="D68" s="1799">
        <f>+F66+G22</f>
        <v>3843.4351183556419</v>
      </c>
      <c r="E68" s="1799"/>
      <c r="F68" s="1799"/>
      <c r="G68" s="1799"/>
      <c r="H68" s="1799"/>
      <c r="I68" s="194"/>
    </row>
    <row r="69" spans="2:9" x14ac:dyDescent="0.25">
      <c r="B69" s="1800" t="s">
        <v>48</v>
      </c>
      <c r="C69" s="1801"/>
      <c r="D69" s="1799">
        <f>+(921.6/1000)*450</f>
        <v>414.71999999999997</v>
      </c>
      <c r="E69" s="1799"/>
      <c r="F69" s="1799"/>
      <c r="G69" s="1799"/>
      <c r="H69" s="1799"/>
      <c r="I69" s="197"/>
    </row>
    <row r="70" spans="2:9" x14ac:dyDescent="0.25">
      <c r="B70" s="1800" t="s">
        <v>305</v>
      </c>
      <c r="C70" s="1801"/>
      <c r="D70" s="1799">
        <f>+D69+D68</f>
        <v>4258.1551183556421</v>
      </c>
      <c r="E70" s="1799"/>
      <c r="F70" s="1799"/>
      <c r="G70" s="1799"/>
      <c r="H70" s="1799"/>
      <c r="I70" s="198"/>
    </row>
    <row r="71" spans="2:9" x14ac:dyDescent="0.25">
      <c r="B71" s="1798" t="s">
        <v>49</v>
      </c>
      <c r="C71" s="1798"/>
      <c r="D71" s="1799">
        <f>D70/I72</f>
        <v>6705.7560918986492</v>
      </c>
      <c r="E71" s="1799"/>
      <c r="F71" s="1799"/>
      <c r="G71" s="1799"/>
      <c r="H71" s="1799"/>
      <c r="I71" s="300">
        <v>0.36499999999999999</v>
      </c>
    </row>
    <row r="72" spans="2:9" x14ac:dyDescent="0.25">
      <c r="I72" s="168">
        <f>1-I71</f>
        <v>0.63500000000000001</v>
      </c>
    </row>
  </sheetData>
  <autoFilter ref="A4:K22" xr:uid="{F6805304-C721-481A-98DC-A548EA307342}"/>
  <mergeCells count="30">
    <mergeCell ref="B22:C22"/>
    <mergeCell ref="B24:C24"/>
    <mergeCell ref="B35:I35"/>
    <mergeCell ref="B42:C42"/>
    <mergeCell ref="D42:H42"/>
    <mergeCell ref="D56:H56"/>
    <mergeCell ref="B57:C57"/>
    <mergeCell ref="D57:H57"/>
    <mergeCell ref="B43:C43"/>
    <mergeCell ref="D43:H43"/>
    <mergeCell ref="B44:C44"/>
    <mergeCell ref="D44:H44"/>
    <mergeCell ref="B45:C45"/>
    <mergeCell ref="D45:H45"/>
    <mergeCell ref="B70:C70"/>
    <mergeCell ref="D70:H70"/>
    <mergeCell ref="B71:C71"/>
    <mergeCell ref="D71:H71"/>
    <mergeCell ref="B2:D2"/>
    <mergeCell ref="B58:C58"/>
    <mergeCell ref="D58:H58"/>
    <mergeCell ref="B62:I62"/>
    <mergeCell ref="B68:C68"/>
    <mergeCell ref="D68:H68"/>
    <mergeCell ref="B69:C69"/>
    <mergeCell ref="D69:H69"/>
    <mergeCell ref="B49:I49"/>
    <mergeCell ref="B55:C55"/>
    <mergeCell ref="D55:H55"/>
    <mergeCell ref="B56:C56"/>
  </mergeCells>
  <pageMargins left="0.7" right="0.7" top="0.75" bottom="0.75" header="0.3" footer="0.3"/>
  <pageSetup scale="42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2722-7AB6-4F90-B3AD-67D8D34EAF50}">
  <sheetPr codeName="Hoja40"/>
  <dimension ref="A2:M47"/>
  <sheetViews>
    <sheetView view="pageBreakPreview" topLeftCell="A17" zoomScale="90" zoomScaleNormal="90" zoomScaleSheetLayoutView="90" workbookViewId="0">
      <selection activeCell="G5" sqref="G5:G12"/>
    </sheetView>
  </sheetViews>
  <sheetFormatPr baseColWidth="10" defaultColWidth="11.5703125" defaultRowHeight="13.5" x14ac:dyDescent="0.25"/>
  <cols>
    <col min="1" max="1" width="8.28515625" style="1" customWidth="1"/>
    <col min="2" max="2" width="11.5703125" style="120"/>
    <col min="3" max="3" width="57.140625" style="120" customWidth="1"/>
    <col min="4" max="4" width="20.140625" style="119" bestFit="1" customWidth="1"/>
    <col min="5" max="5" width="11.5703125" style="120" customWidth="1"/>
    <col min="6" max="6" width="13.7109375" style="120" customWidth="1"/>
    <col min="7" max="7" width="20.140625" style="120" bestFit="1" customWidth="1"/>
    <col min="8" max="8" width="13.7109375" style="120" customWidth="1"/>
    <col min="9" max="9" width="20.140625" style="120" bestFit="1" customWidth="1"/>
    <col min="10" max="10" width="13.7109375" style="120" customWidth="1"/>
    <col min="11" max="11" width="15.28515625" style="120" bestFit="1" customWidth="1"/>
    <col min="12" max="12" width="12.42578125" style="120" bestFit="1" customWidth="1"/>
    <col min="13" max="13" width="14.42578125" style="120" bestFit="1" customWidth="1"/>
    <col min="14" max="16384" width="11.5703125" style="120"/>
  </cols>
  <sheetData>
    <row r="2" spans="1:13" s="42" customFormat="1" ht="26.25" customHeight="1" x14ac:dyDescent="0.25">
      <c r="B2" s="1743" t="s">
        <v>874</v>
      </c>
      <c r="C2" s="1743"/>
      <c r="D2" s="1743"/>
      <c r="E2" s="1743"/>
      <c r="F2" s="1743"/>
      <c r="G2" s="1743"/>
      <c r="H2" s="1743"/>
      <c r="I2" s="1743"/>
      <c r="J2" s="1743"/>
      <c r="K2" s="89"/>
    </row>
    <row r="3" spans="1:13" x14ac:dyDescent="0.25">
      <c r="K3" s="120" t="s">
        <v>784</v>
      </c>
    </row>
    <row r="4" spans="1:13" s="42" customFormat="1" ht="16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4" t="s">
        <v>3</v>
      </c>
      <c r="K4" s="178">
        <f>D15/1000</f>
        <v>1.5674999999999999</v>
      </c>
      <c r="L4" s="42">
        <v>320</v>
      </c>
    </row>
    <row r="5" spans="1:13" s="42" customFormat="1" ht="16.5" x14ac:dyDescent="0.25">
      <c r="B5" s="165">
        <f>VLOOKUP(C5,[1]Hoja1!$B$2:$C$260,2,FALSE)</f>
        <v>1112005</v>
      </c>
      <c r="C5" s="154" t="s">
        <v>1168</v>
      </c>
      <c r="D5" s="794">
        <v>0.78374999999999984</v>
      </c>
      <c r="E5" s="495">
        <v>49.999999999999993</v>
      </c>
      <c r="F5" s="896">
        <f>VLOOKUP(B5,[2]Hoja1!$C$2:$E$279,3,FALSE)</f>
        <v>12700.23</v>
      </c>
      <c r="G5" s="495">
        <f>F5*D5</f>
        <v>9953.8052624999982</v>
      </c>
      <c r="H5" s="896">
        <v>14378.04</v>
      </c>
      <c r="I5" s="498">
        <f>H5*D5</f>
        <v>11268.788849999999</v>
      </c>
      <c r="J5" s="905">
        <f t="shared" ref="J5:J12" si="0">((F5/H5)*100)-100</f>
        <v>-11.669253945600374</v>
      </c>
      <c r="K5" s="191">
        <f>+$K$4*E5%</f>
        <v>0.78374999999999984</v>
      </c>
      <c r="L5" s="345">
        <f>$L$4*E5%</f>
        <v>159.99999999999997</v>
      </c>
      <c r="M5" s="185">
        <f>L5*F5</f>
        <v>2032036.7999999996</v>
      </c>
    </row>
    <row r="6" spans="1:13" s="42" customFormat="1" ht="16.5" x14ac:dyDescent="0.25">
      <c r="B6" s="165">
        <f>VLOOKUP(C6,[1]Hoja1!$B$2:$C$260,2,FALSE)</f>
        <v>1121009</v>
      </c>
      <c r="C6" s="154" t="s">
        <v>1272</v>
      </c>
      <c r="D6" s="190">
        <v>0.47024999999999989</v>
      </c>
      <c r="E6" s="495">
        <v>29.999999999999993</v>
      </c>
      <c r="F6" s="896">
        <f>VLOOKUP(B6,[2]Hoja1!$C$2:$E$279,3,FALSE)</f>
        <v>8741.6200000000008</v>
      </c>
      <c r="G6" s="495">
        <f t="shared" ref="G6:G12" si="1">F6*D6</f>
        <v>4110.7468049999998</v>
      </c>
      <c r="H6" s="879">
        <v>8754.2800000000007</v>
      </c>
      <c r="I6" s="498">
        <f t="shared" ref="I6:I12" si="2">H6*D6</f>
        <v>4116.7001699999992</v>
      </c>
      <c r="J6" s="905">
        <f t="shared" si="0"/>
        <v>-0.14461497690273006</v>
      </c>
      <c r="K6" s="191">
        <f t="shared" ref="K6:K12" si="3">+$K$4*E6%</f>
        <v>0.47024999999999989</v>
      </c>
      <c r="L6" s="345">
        <f t="shared" ref="L6:L12" si="4">$L$4*E6%</f>
        <v>95.999999999999972</v>
      </c>
      <c r="M6" s="185">
        <f t="shared" ref="M6:M12" si="5">L6*F6</f>
        <v>839195.51999999979</v>
      </c>
    </row>
    <row r="7" spans="1:13" s="42" customFormat="1" ht="16.5" x14ac:dyDescent="0.25">
      <c r="B7" s="165">
        <f>VLOOKUP(C7,[1]Hoja1!$B$2:$C$260,2,FALSE)</f>
        <v>1131002</v>
      </c>
      <c r="C7" s="154" t="s">
        <v>663</v>
      </c>
      <c r="D7" s="190">
        <v>0.20377499999999996</v>
      </c>
      <c r="E7" s="495">
        <v>12.999999999999998</v>
      </c>
      <c r="F7" s="896">
        <f>VLOOKUP(B7,[2]Hoja1!$C$2:$E$279,3,FALSE)</f>
        <v>0</v>
      </c>
      <c r="G7" s="495">
        <f t="shared" si="1"/>
        <v>0</v>
      </c>
      <c r="H7" s="914">
        <v>0</v>
      </c>
      <c r="I7" s="498">
        <f t="shared" si="2"/>
        <v>0</v>
      </c>
      <c r="J7" s="906" t="e">
        <f t="shared" si="0"/>
        <v>#DIV/0!</v>
      </c>
      <c r="K7" s="191">
        <f t="shared" si="3"/>
        <v>0.20377499999999996</v>
      </c>
      <c r="L7" s="345">
        <f t="shared" si="4"/>
        <v>41.599999999999994</v>
      </c>
      <c r="M7" s="185">
        <f t="shared" si="5"/>
        <v>0</v>
      </c>
    </row>
    <row r="8" spans="1:13" s="42" customFormat="1" ht="16.5" x14ac:dyDescent="0.25">
      <c r="B8" s="165">
        <f>VLOOKUP(C8,[1]Hoja1!$B$2:$C$260,2,FALSE)</f>
        <v>1260018</v>
      </c>
      <c r="C8" s="154" t="s">
        <v>1056</v>
      </c>
      <c r="D8" s="190">
        <v>7.8374999999999972E-2</v>
      </c>
      <c r="E8" s="495">
        <v>4.9999999999999991</v>
      </c>
      <c r="F8" s="896">
        <f>VLOOKUP(B8,[2]Hoja1!$C$2:$E$279,3,FALSE)</f>
        <v>25909</v>
      </c>
      <c r="G8" s="495">
        <f t="shared" si="1"/>
        <v>2030.6178749999992</v>
      </c>
      <c r="H8" s="914">
        <v>24213.99</v>
      </c>
      <c r="I8" s="498">
        <f t="shared" si="2"/>
        <v>1897.7714662499995</v>
      </c>
      <c r="J8" s="906">
        <f t="shared" si="0"/>
        <v>7.0001267862091083</v>
      </c>
      <c r="K8" s="191">
        <f t="shared" si="3"/>
        <v>7.8374999999999972E-2</v>
      </c>
      <c r="L8" s="345">
        <f t="shared" si="4"/>
        <v>15.999999999999996</v>
      </c>
      <c r="M8" s="185">
        <f t="shared" si="5"/>
        <v>414543.99999999988</v>
      </c>
    </row>
    <row r="9" spans="1:13" s="42" customFormat="1" ht="16.5" x14ac:dyDescent="0.25">
      <c r="B9" s="165">
        <f>VLOOKUP(C9,[1]Hoja1!$B$2:$C$260,2,FALSE)</f>
        <v>1210005</v>
      </c>
      <c r="C9" s="154" t="s">
        <v>1155</v>
      </c>
      <c r="D9" s="190">
        <v>1.3323749999999997E-2</v>
      </c>
      <c r="E9" s="495">
        <v>0.84999999999999987</v>
      </c>
      <c r="F9" s="896">
        <f>VLOOKUP(B9,[2]Hoja1!$C$2:$E$279,3,FALSE)</f>
        <v>1356</v>
      </c>
      <c r="G9" s="495">
        <f t="shared" si="1"/>
        <v>18.067004999999995</v>
      </c>
      <c r="H9" s="880">
        <v>1360</v>
      </c>
      <c r="I9" s="498">
        <f t="shared" si="2"/>
        <v>18.120299999999997</v>
      </c>
      <c r="J9" s="906">
        <f t="shared" si="0"/>
        <v>-0.29411764705882604</v>
      </c>
      <c r="K9" s="191">
        <f t="shared" si="3"/>
        <v>1.3323749999999997E-2</v>
      </c>
      <c r="L9" s="345">
        <f t="shared" si="4"/>
        <v>2.7199999999999998</v>
      </c>
      <c r="M9" s="185">
        <f t="shared" si="5"/>
        <v>3688.3199999999997</v>
      </c>
    </row>
    <row r="10" spans="1:13" s="42" customFormat="1" ht="16.5" x14ac:dyDescent="0.25">
      <c r="B10" s="165">
        <f>VLOOKUP(C10,[1]Hoja1!$B$2:$C$260,2,FALSE)</f>
        <v>1220014</v>
      </c>
      <c r="C10" s="154" t="s">
        <v>1146</v>
      </c>
      <c r="D10" s="190">
        <v>7.837499999999999E-3</v>
      </c>
      <c r="E10" s="495">
        <v>0.49999999999999989</v>
      </c>
      <c r="F10" s="896">
        <f>VLOOKUP(B10,[2]Hoja1!$C$2:$E$279,3,FALSE)</f>
        <v>14060</v>
      </c>
      <c r="G10" s="495">
        <f t="shared" si="1"/>
        <v>110.19524999999999</v>
      </c>
      <c r="H10" s="914">
        <v>13300.01</v>
      </c>
      <c r="I10" s="498">
        <f t="shared" si="2"/>
        <v>104.23882837499998</v>
      </c>
      <c r="J10" s="905">
        <f t="shared" si="0"/>
        <v>5.7142062299201086</v>
      </c>
      <c r="K10" s="191">
        <f t="shared" si="3"/>
        <v>7.837499999999999E-3</v>
      </c>
      <c r="L10" s="345">
        <f t="shared" si="4"/>
        <v>1.5999999999999996</v>
      </c>
      <c r="M10" s="185">
        <f t="shared" si="5"/>
        <v>22495.999999999996</v>
      </c>
    </row>
    <row r="11" spans="1:13" s="42" customFormat="1" ht="16.5" x14ac:dyDescent="0.25">
      <c r="B11" s="165">
        <f>VLOOKUP(C11,[1]Hoja1!$B$2:$C$260,2,FALSE)</f>
        <v>1220022</v>
      </c>
      <c r="C11" s="154" t="s">
        <v>1055</v>
      </c>
      <c r="D11" s="190">
        <v>6.2699999999999987E-3</v>
      </c>
      <c r="E11" s="495">
        <v>0.39999999999999991</v>
      </c>
      <c r="F11" s="896">
        <f>VLOOKUP(B11,[2]Hoja1!$C$2:$E$279,3,FALSE)</f>
        <v>65625</v>
      </c>
      <c r="G11" s="495">
        <f t="shared" si="1"/>
        <v>411.46874999999989</v>
      </c>
      <c r="H11" s="880">
        <v>59934.69</v>
      </c>
      <c r="I11" s="498">
        <f t="shared" si="2"/>
        <v>375.79050629999995</v>
      </c>
      <c r="J11" s="905">
        <f t="shared" si="0"/>
        <v>9.4941844197408756</v>
      </c>
      <c r="K11" s="191">
        <f t="shared" si="3"/>
        <v>6.2699999999999987E-3</v>
      </c>
      <c r="L11" s="345">
        <f t="shared" si="4"/>
        <v>1.2799999999999998</v>
      </c>
      <c r="M11" s="185">
        <f t="shared" si="5"/>
        <v>83999.999999999985</v>
      </c>
    </row>
    <row r="12" spans="1:13" s="42" customFormat="1" ht="16.5" x14ac:dyDescent="0.25">
      <c r="B12" s="165">
        <f>VLOOKUP(C12,[1]Hoja1!$B$2:$C$260,2,FALSE)</f>
        <v>121007</v>
      </c>
      <c r="C12" s="154" t="s">
        <v>821</v>
      </c>
      <c r="D12" s="190">
        <v>3.9187499999999995E-3</v>
      </c>
      <c r="E12" s="495">
        <v>0.24999999999999994</v>
      </c>
      <c r="F12" s="896">
        <f>VLOOKUP(B12,[2]Hoja1!$C$2:$E$279,3,FALSE)</f>
        <v>16905</v>
      </c>
      <c r="G12" s="495">
        <f t="shared" si="1"/>
        <v>66.246468749999991</v>
      </c>
      <c r="H12" s="880">
        <v>16100</v>
      </c>
      <c r="I12" s="498">
        <f t="shared" si="2"/>
        <v>63.091874999999995</v>
      </c>
      <c r="J12" s="905">
        <f t="shared" si="0"/>
        <v>5</v>
      </c>
      <c r="K12" s="191">
        <f t="shared" si="3"/>
        <v>3.9187499999999995E-3</v>
      </c>
      <c r="L12" s="345">
        <f t="shared" si="4"/>
        <v>0.79999999999999982</v>
      </c>
      <c r="M12" s="185">
        <f t="shared" si="5"/>
        <v>13523.999999999996</v>
      </c>
    </row>
    <row r="13" spans="1:13" s="42" customFormat="1" ht="16.5" x14ac:dyDescent="0.25">
      <c r="B13" s="1777"/>
      <c r="C13" s="1778"/>
      <c r="D13" s="1329">
        <f>SUM(D5:D12)</f>
        <v>1.5674999999999997</v>
      </c>
      <c r="E13" s="1382">
        <f>SUM(E5:E12)</f>
        <v>99.999999999999986</v>
      </c>
      <c r="F13" s="1382"/>
      <c r="G13" s="1382">
        <f>SUM(G5:G12)</f>
        <v>16701.147416249998</v>
      </c>
      <c r="H13" s="1383"/>
      <c r="I13" s="1354">
        <f>SUM(I5:I12)</f>
        <v>17844.501995924995</v>
      </c>
      <c r="J13" s="872">
        <f>((G13/I13)*100)-100</f>
        <v>-6.4073213135121136</v>
      </c>
      <c r="M13" s="1139">
        <f>SUM(M5:M12)</f>
        <v>3409484.6399999992</v>
      </c>
    </row>
    <row r="15" spans="1:13" ht="25.5" x14ac:dyDescent="0.25">
      <c r="A15" s="120"/>
      <c r="B15" s="1765" t="s">
        <v>50</v>
      </c>
      <c r="C15" s="1766"/>
      <c r="D15" s="38">
        <f>+C18+(C18*C24%)</f>
        <v>1567.5</v>
      </c>
      <c r="E15" s="195"/>
      <c r="F15" s="195"/>
      <c r="G15" s="195"/>
      <c r="H15" s="195"/>
      <c r="I15" s="195"/>
    </row>
    <row r="16" spans="1:13" x14ac:dyDescent="0.25">
      <c r="A16" s="120"/>
      <c r="B16" s="1284" t="s">
        <v>38</v>
      </c>
      <c r="C16" s="161" t="s">
        <v>90</v>
      </c>
      <c r="H16" s="146"/>
    </row>
    <row r="17" spans="1:10" x14ac:dyDescent="0.25">
      <c r="A17" s="120"/>
      <c r="B17" s="1285" t="s">
        <v>39</v>
      </c>
      <c r="C17" s="163" t="s">
        <v>776</v>
      </c>
      <c r="H17" s="146"/>
    </row>
    <row r="18" spans="1:10" x14ac:dyDescent="0.25">
      <c r="A18" s="120"/>
      <c r="B18" s="1285" t="s">
        <v>40</v>
      </c>
      <c r="C18" s="163">
        <v>1425</v>
      </c>
      <c r="H18" s="146"/>
    </row>
    <row r="19" spans="1:10" x14ac:dyDescent="0.25">
      <c r="A19" s="120"/>
      <c r="B19" s="1285" t="s">
        <v>41</v>
      </c>
      <c r="C19" s="163">
        <v>0.5</v>
      </c>
      <c r="H19" s="146"/>
    </row>
    <row r="20" spans="1:10" x14ac:dyDescent="0.25">
      <c r="A20" s="120"/>
      <c r="B20" s="1285" t="s">
        <v>42</v>
      </c>
      <c r="C20" s="163">
        <v>0</v>
      </c>
      <c r="H20" s="146"/>
    </row>
    <row r="21" spans="1:10" x14ac:dyDescent="0.25">
      <c r="A21" s="120"/>
      <c r="B21" s="1285" t="s">
        <v>43</v>
      </c>
      <c r="C21" s="163">
        <v>4</v>
      </c>
      <c r="H21" s="146"/>
    </row>
    <row r="22" spans="1:10" x14ac:dyDescent="0.25">
      <c r="A22" s="120"/>
      <c r="B22" s="1285" t="s">
        <v>44</v>
      </c>
      <c r="C22" s="163">
        <v>0</v>
      </c>
      <c r="H22" s="146"/>
    </row>
    <row r="23" spans="1:10" x14ac:dyDescent="0.25">
      <c r="A23" s="120"/>
      <c r="B23" s="1285" t="s">
        <v>45</v>
      </c>
      <c r="C23" s="163">
        <v>1</v>
      </c>
      <c r="H23" s="146"/>
      <c r="J23" s="170"/>
    </row>
    <row r="24" spans="1:10" x14ac:dyDescent="0.25">
      <c r="A24" s="120"/>
      <c r="B24" s="1285" t="s">
        <v>46</v>
      </c>
      <c r="C24" s="196">
        <v>10</v>
      </c>
      <c r="H24" s="146"/>
      <c r="J24" s="170"/>
    </row>
    <row r="25" spans="1:10" x14ac:dyDescent="0.25">
      <c r="J25" s="170"/>
    </row>
    <row r="26" spans="1:10" ht="25.5" x14ac:dyDescent="0.25">
      <c r="A26" s="120"/>
      <c r="B26" s="1810" t="s">
        <v>47</v>
      </c>
      <c r="C26" s="1811"/>
      <c r="D26" s="1811"/>
      <c r="E26" s="1811"/>
      <c r="F26" s="1811"/>
      <c r="G26" s="1811"/>
      <c r="H26" s="1811"/>
      <c r="I26" s="1811"/>
      <c r="J26" s="795"/>
    </row>
    <row r="27" spans="1:10" ht="25.5" x14ac:dyDescent="0.25">
      <c r="A27" s="120"/>
      <c r="B27" s="1266" t="s">
        <v>0</v>
      </c>
      <c r="C27" s="1266" t="s">
        <v>1</v>
      </c>
      <c r="D27" s="1286" t="s">
        <v>2</v>
      </c>
      <c r="E27" s="1243" t="str">
        <f>+'CIF Y PV'!$F$4</f>
        <v xml:space="preserve">JUN-COP/UMB </v>
      </c>
      <c r="F27" s="1243" t="str">
        <f>+'CIF Y PV'!$G$4</f>
        <v>JUN-COP/APP</v>
      </c>
      <c r="G27" s="1243" t="str">
        <f>+'CIF Y PV'!$H$4</f>
        <v xml:space="preserve">MAY-COP/UMB </v>
      </c>
      <c r="H27" s="1243" t="str">
        <f>+'CIF Y PV'!$I$4</f>
        <v>MAY-COP/APP</v>
      </c>
      <c r="I27" s="1326" t="s">
        <v>3</v>
      </c>
      <c r="J27" s="473">
        <v>38090</v>
      </c>
    </row>
    <row r="28" spans="1:10" x14ac:dyDescent="0.25">
      <c r="A28" s="120"/>
      <c r="B28" s="165">
        <f>VLOOKUP(C28,[1]Hoja1!$B$2:$C$260,2,FALSE)</f>
        <v>1360003</v>
      </c>
      <c r="C28" s="165" t="s">
        <v>1054</v>
      </c>
      <c r="D28" s="166">
        <v>15</v>
      </c>
      <c r="E28" s="167">
        <f>VLOOKUP(B28,[2]Hoja1!$C$2:$E$279,3,FALSE)</f>
        <v>22.53</v>
      </c>
      <c r="F28" s="167">
        <f>E28*D28</f>
        <v>337.95000000000005</v>
      </c>
      <c r="G28" s="167">
        <v>24.5</v>
      </c>
      <c r="H28" s="167">
        <v>367.5</v>
      </c>
      <c r="I28" s="167">
        <f>((G28/E28)*100)-100</f>
        <v>8.7438970261872981</v>
      </c>
      <c r="J28" s="473">
        <f>J27*D28</f>
        <v>571350</v>
      </c>
    </row>
    <row r="29" spans="1:10" x14ac:dyDescent="0.25">
      <c r="A29" s="120"/>
      <c r="B29" s="165">
        <f>VLOOKUP(C29,[1]Hoja1!$B$2:$C$260,2,FALSE)</f>
        <v>1330022</v>
      </c>
      <c r="C29" s="165" t="s">
        <v>943</v>
      </c>
      <c r="D29" s="166">
        <v>1</v>
      </c>
      <c r="E29" s="167">
        <f>VLOOKUP(B29,[2]Hoja1!$C$2:$E$279,3,FALSE)</f>
        <v>40.869999999999997</v>
      </c>
      <c r="F29" s="167">
        <f>E29*D29</f>
        <v>40.869999999999997</v>
      </c>
      <c r="G29" s="167">
        <v>40.200000000000003</v>
      </c>
      <c r="H29" s="167">
        <v>39.22</v>
      </c>
      <c r="I29" s="167"/>
      <c r="J29" s="473">
        <f>J27*D29</f>
        <v>38090</v>
      </c>
    </row>
    <row r="30" spans="1:10" x14ac:dyDescent="0.25">
      <c r="A30" s="120"/>
      <c r="B30" s="165">
        <f>VLOOKUP(C30,[1]Hoja1!$B$2:$C$260,2,FALSE)</f>
        <v>1340008</v>
      </c>
      <c r="C30" s="165" t="s">
        <v>1205</v>
      </c>
      <c r="D30" s="166">
        <v>1</v>
      </c>
      <c r="E30" s="167">
        <f>VLOOKUP(B30,[2]Hoja1!$C$2:$E$279,3,FALSE)</f>
        <v>333.71</v>
      </c>
      <c r="F30" s="167">
        <f>E30*D30</f>
        <v>333.71</v>
      </c>
      <c r="G30" s="167">
        <v>293</v>
      </c>
      <c r="H30" s="167">
        <v>293</v>
      </c>
      <c r="I30" s="167">
        <f>((G30/E30)*100)-100</f>
        <v>-12.199214887177476</v>
      </c>
      <c r="J30" s="473">
        <f>J27*D30</f>
        <v>38090</v>
      </c>
    </row>
    <row r="31" spans="1:10" ht="16.899999999999999" customHeight="1" x14ac:dyDescent="0.25">
      <c r="A31" s="120"/>
      <c r="B31" s="1266"/>
      <c r="C31" s="1266" t="s">
        <v>37</v>
      </c>
      <c r="D31" s="1286"/>
      <c r="E31" s="1267"/>
      <c r="F31" s="1267">
        <f>SUM(F30,F29,F28)</f>
        <v>712.53</v>
      </c>
      <c r="G31" s="1267"/>
      <c r="H31" s="1267">
        <f>SUM(H28:H30)</f>
        <v>699.72</v>
      </c>
      <c r="I31" s="1267">
        <f>((F31/H31)*100)-100</f>
        <v>1.8307322929171761</v>
      </c>
      <c r="J31" s="170"/>
    </row>
    <row r="32" spans="1:10" x14ac:dyDescent="0.25">
      <c r="H32" s="1" t="str">
        <f>+'CIF Y PV'!$G$1</f>
        <v>MAYO</v>
      </c>
    </row>
    <row r="33" spans="1:11" x14ac:dyDescent="0.25">
      <c r="A33" s="120"/>
      <c r="B33" s="1736" t="s">
        <v>775</v>
      </c>
      <c r="C33" s="1737"/>
      <c r="E33" s="899"/>
      <c r="F33" s="899"/>
      <c r="G33" s="899"/>
      <c r="H33" s="1401">
        <f>+F31+G13</f>
        <v>17413.677416249997</v>
      </c>
      <c r="I33" s="194"/>
      <c r="J33" s="898"/>
      <c r="K33" s="194"/>
    </row>
    <row r="34" spans="1:11" x14ac:dyDescent="0.25">
      <c r="A34" s="120"/>
      <c r="B34" s="1736" t="s">
        <v>48</v>
      </c>
      <c r="C34" s="1737"/>
      <c r="E34" s="899"/>
      <c r="F34" s="899"/>
      <c r="G34" s="899"/>
      <c r="H34" s="1401">
        <f>+('CIF Y PV'!C3/1000)*1425</f>
        <v>2693.25</v>
      </c>
      <c r="I34" s="796"/>
      <c r="J34" s="898"/>
      <c r="K34" s="796"/>
    </row>
    <row r="35" spans="1:11" x14ac:dyDescent="0.25">
      <c r="A35" s="120"/>
      <c r="B35" s="1736" t="s">
        <v>777</v>
      </c>
      <c r="C35" s="1737"/>
      <c r="E35" s="899"/>
      <c r="F35" s="899"/>
      <c r="G35" s="899"/>
      <c r="H35" s="1401">
        <f>+H34+H33</f>
        <v>20106.927416249997</v>
      </c>
      <c r="I35" s="412"/>
      <c r="J35" s="898"/>
      <c r="K35" s="412"/>
    </row>
    <row r="36" spans="1:11" x14ac:dyDescent="0.25">
      <c r="A36" s="120"/>
      <c r="B36" s="1736" t="s">
        <v>49</v>
      </c>
      <c r="C36" s="1737"/>
      <c r="E36" s="899"/>
      <c r="F36" s="899"/>
      <c r="G36" s="899"/>
      <c r="H36" s="1401">
        <f>'CIF Y PV'!C26</f>
        <v>38858.5</v>
      </c>
      <c r="J36" s="898"/>
      <c r="K36" s="647"/>
    </row>
    <row r="37" spans="1:11" x14ac:dyDescent="0.2">
      <c r="A37" s="120"/>
      <c r="B37" s="1736" t="s">
        <v>805</v>
      </c>
      <c r="C37" s="1737"/>
      <c r="E37" s="899"/>
      <c r="F37" s="899"/>
      <c r="G37" s="899"/>
      <c r="H37" s="928">
        <f>+(H36-H35)/H36</f>
        <v>0.4825603814802425</v>
      </c>
      <c r="I37" s="199"/>
      <c r="J37" s="146"/>
      <c r="K37" s="199">
        <f>1-K36</f>
        <v>1</v>
      </c>
    </row>
    <row r="38" spans="1:11" x14ac:dyDescent="0.25">
      <c r="J38" s="170"/>
    </row>
    <row r="39" spans="1:11" x14ac:dyDescent="0.25">
      <c r="J39" s="170"/>
    </row>
    <row r="40" spans="1:11" x14ac:dyDescent="0.25">
      <c r="J40" s="170"/>
    </row>
    <row r="41" spans="1:11" x14ac:dyDescent="0.25">
      <c r="J41" s="170"/>
    </row>
    <row r="42" spans="1:11" x14ac:dyDescent="0.25">
      <c r="J42" s="170"/>
    </row>
    <row r="43" spans="1:11" x14ac:dyDescent="0.25">
      <c r="J43" s="170"/>
    </row>
    <row r="44" spans="1:11" x14ac:dyDescent="0.25">
      <c r="J44" s="170"/>
    </row>
    <row r="45" spans="1:11" x14ac:dyDescent="0.25">
      <c r="J45" s="170"/>
    </row>
    <row r="46" spans="1:11" x14ac:dyDescent="0.25">
      <c r="J46" s="170"/>
    </row>
    <row r="47" spans="1:11" x14ac:dyDescent="0.25">
      <c r="J47" s="170"/>
    </row>
  </sheetData>
  <autoFilter ref="B4:K4" xr:uid="{A3D0C87A-7BCD-4089-9276-0649FEA4622F}">
    <sortState xmlns:xlrd2="http://schemas.microsoft.com/office/spreadsheetml/2017/richdata2" ref="B5:K21">
      <sortCondition descending="1" ref="K4"/>
    </sortState>
  </autoFilter>
  <mergeCells count="9">
    <mergeCell ref="B35:C35"/>
    <mergeCell ref="B36:C36"/>
    <mergeCell ref="B37:C37"/>
    <mergeCell ref="B2:J2"/>
    <mergeCell ref="B13:C13"/>
    <mergeCell ref="B15:C15"/>
    <mergeCell ref="B26:I26"/>
    <mergeCell ref="B33:C33"/>
    <mergeCell ref="B34:C34"/>
  </mergeCells>
  <pageMargins left="0.7" right="0.7" top="0.75" bottom="0.75" header="0.3" footer="0.3"/>
  <colBreaks count="1" manualBreakCount="1">
    <brk id="1" max="46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EAE8-A9EC-4C7D-9213-E7C6173D0DE8}">
  <sheetPr codeName="Hoja41"/>
  <dimension ref="A2:M49"/>
  <sheetViews>
    <sheetView view="pageBreakPreview" topLeftCell="A18" zoomScale="90" zoomScaleNormal="90" zoomScaleSheetLayoutView="90" workbookViewId="0">
      <selection activeCell="F12" sqref="F12"/>
    </sheetView>
  </sheetViews>
  <sheetFormatPr baseColWidth="10" defaultColWidth="11.5703125" defaultRowHeight="13.5" x14ac:dyDescent="0.25"/>
  <cols>
    <col min="1" max="1" width="8.42578125" style="1" customWidth="1"/>
    <col min="2" max="2" width="11.5703125" style="120"/>
    <col min="3" max="3" width="57.140625" style="120" customWidth="1"/>
    <col min="4" max="4" width="20.140625" style="119" bestFit="1" customWidth="1"/>
    <col min="5" max="5" width="11.5703125" style="120" customWidth="1"/>
    <col min="6" max="6" width="13.7109375" style="120" customWidth="1"/>
    <col min="7" max="7" width="20.140625" style="120" bestFit="1" customWidth="1"/>
    <col min="8" max="8" width="13.7109375" style="120" customWidth="1"/>
    <col min="9" max="9" width="20.140625" style="120" bestFit="1" customWidth="1"/>
    <col min="10" max="10" width="13.7109375" style="120" customWidth="1"/>
    <col min="11" max="11" width="15.28515625" style="120" bestFit="1" customWidth="1"/>
    <col min="12" max="12" width="12.7109375" style="120" bestFit="1" customWidth="1"/>
    <col min="13" max="13" width="16.28515625" style="120" bestFit="1" customWidth="1"/>
    <col min="14" max="16384" width="11.5703125" style="120"/>
  </cols>
  <sheetData>
    <row r="2" spans="1:13" s="42" customFormat="1" ht="26.25" customHeight="1" x14ac:dyDescent="0.25">
      <c r="B2" s="1743" t="s">
        <v>873</v>
      </c>
      <c r="C2" s="1743"/>
      <c r="D2" s="1743"/>
      <c r="E2" s="1743"/>
      <c r="F2" s="1743"/>
      <c r="G2" s="1743"/>
      <c r="H2" s="1743"/>
      <c r="I2" s="1743"/>
      <c r="J2" s="1743"/>
      <c r="K2" s="89"/>
    </row>
    <row r="3" spans="1:13" x14ac:dyDescent="0.25">
      <c r="K3" s="120" t="s">
        <v>784</v>
      </c>
      <c r="L3" s="1216">
        <v>320</v>
      </c>
    </row>
    <row r="4" spans="1:13" s="42" customFormat="1" ht="16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4" t="s">
        <v>3</v>
      </c>
      <c r="K4" s="1272">
        <f>+D15/1000</f>
        <v>1.5984</v>
      </c>
      <c r="L4" s="1402">
        <f>$L$3*E5%</f>
        <v>159.99999999999997</v>
      </c>
      <c r="M4" s="1337">
        <f>L4*F5</f>
        <v>2032036.7999999996</v>
      </c>
    </row>
    <row r="5" spans="1:13" s="42" customFormat="1" ht="16.5" x14ac:dyDescent="0.25">
      <c r="B5" s="165">
        <f>VLOOKUP(C5,[1]Hoja1!$B$2:$C$260,2,FALSE)</f>
        <v>1112005</v>
      </c>
      <c r="C5" s="154" t="s">
        <v>1168</v>
      </c>
      <c r="D5" s="794">
        <v>0.79919999999999991</v>
      </c>
      <c r="E5" s="495">
        <v>49.999999999999993</v>
      </c>
      <c r="F5" s="896">
        <f>VLOOKUP(B5,[2]Hoja1!$C$2:$E$279,3,FALSE)</f>
        <v>12700.23</v>
      </c>
      <c r="G5" s="495">
        <f>F5*D5</f>
        <v>10150.023815999999</v>
      </c>
      <c r="H5" s="896">
        <v>14378.04</v>
      </c>
      <c r="I5" s="498">
        <f>H5*D5</f>
        <v>11490.929568</v>
      </c>
      <c r="J5" s="905">
        <f t="shared" ref="J5:J12" si="0">((F5/H5)*100)-100</f>
        <v>-11.669253945600374</v>
      </c>
      <c r="K5" s="191">
        <f>+$K$4*E5%</f>
        <v>0.79919999999999991</v>
      </c>
      <c r="L5" s="1139">
        <f t="shared" ref="L5:L12" si="1">$L$3*E6%</f>
        <v>95.999999999999972</v>
      </c>
      <c r="M5" s="1403">
        <f t="shared" ref="M5:M12" si="2">L5*F6</f>
        <v>839195.51999999979</v>
      </c>
    </row>
    <row r="6" spans="1:13" s="42" customFormat="1" ht="16.5" x14ac:dyDescent="0.25">
      <c r="B6" s="165">
        <f>VLOOKUP(C6,[1]Hoja1!$B$2:$C$260,2,FALSE)</f>
        <v>1121009</v>
      </c>
      <c r="C6" s="154" t="s">
        <v>1272</v>
      </c>
      <c r="D6" s="190">
        <v>0.47951999999999989</v>
      </c>
      <c r="E6" s="495">
        <v>29.999999999999993</v>
      </c>
      <c r="F6" s="896">
        <f>VLOOKUP(B6,[2]Hoja1!$C$2:$E$279,3,FALSE)</f>
        <v>8741.6200000000008</v>
      </c>
      <c r="G6" s="495">
        <f t="shared" ref="G6:G12" si="3">F6*D6</f>
        <v>4191.7816223999998</v>
      </c>
      <c r="H6" s="879">
        <v>8754.2800000000007</v>
      </c>
      <c r="I6" s="498">
        <f t="shared" ref="I6:I12" si="4">H6*D6</f>
        <v>4197.8523455999994</v>
      </c>
      <c r="J6" s="905">
        <f t="shared" si="0"/>
        <v>-0.14461497690273006</v>
      </c>
      <c r="K6" s="191">
        <f t="shared" ref="K6:K12" si="5">+$K$4*E6%</f>
        <v>0.47951999999999989</v>
      </c>
      <c r="L6" s="1139">
        <f t="shared" si="1"/>
        <v>41.599999999999994</v>
      </c>
      <c r="M6" s="1403">
        <f t="shared" si="2"/>
        <v>0</v>
      </c>
    </row>
    <row r="7" spans="1:13" s="42" customFormat="1" ht="16.5" x14ac:dyDescent="0.25">
      <c r="B7" s="165">
        <f>VLOOKUP(C7,[1]Hoja1!$B$2:$C$260,2,FALSE)</f>
        <v>1131002</v>
      </c>
      <c r="C7" s="154" t="s">
        <v>663</v>
      </c>
      <c r="D7" s="190">
        <v>0.20779199999999998</v>
      </c>
      <c r="E7" s="495">
        <v>12.999999999999998</v>
      </c>
      <c r="F7" s="896">
        <f>VLOOKUP(B7,[2]Hoja1!$C$2:$E$279,3,FALSE)</f>
        <v>0</v>
      </c>
      <c r="G7" s="495">
        <f t="shared" si="3"/>
        <v>0</v>
      </c>
      <c r="H7" s="914">
        <v>0</v>
      </c>
      <c r="I7" s="498">
        <f t="shared" si="4"/>
        <v>0</v>
      </c>
      <c r="J7" s="906" t="e">
        <f t="shared" si="0"/>
        <v>#DIV/0!</v>
      </c>
      <c r="K7" s="191">
        <f t="shared" si="5"/>
        <v>0.20779199999999998</v>
      </c>
      <c r="L7" s="1139">
        <f t="shared" si="1"/>
        <v>15.999999999999996</v>
      </c>
      <c r="M7" s="1403">
        <f t="shared" si="2"/>
        <v>414543.99999999988</v>
      </c>
    </row>
    <row r="8" spans="1:13" s="42" customFormat="1" ht="16.5" x14ac:dyDescent="0.25">
      <c r="B8" s="165">
        <f>VLOOKUP(C8,[1]Hoja1!$B$2:$C$260,2,FALSE)</f>
        <v>1260018</v>
      </c>
      <c r="C8" s="154" t="s">
        <v>1056</v>
      </c>
      <c r="D8" s="190">
        <v>7.9919999999999991E-2</v>
      </c>
      <c r="E8" s="495">
        <v>4.9999999999999991</v>
      </c>
      <c r="F8" s="896">
        <f>VLOOKUP(B8,[2]Hoja1!$C$2:$E$279,3,FALSE)</f>
        <v>25909</v>
      </c>
      <c r="G8" s="495">
        <f t="shared" si="3"/>
        <v>2070.6472799999997</v>
      </c>
      <c r="H8" s="914">
        <v>24213.99</v>
      </c>
      <c r="I8" s="498">
        <f t="shared" si="4"/>
        <v>1935.1820808</v>
      </c>
      <c r="J8" s="905">
        <f t="shared" si="0"/>
        <v>7.0001267862091083</v>
      </c>
      <c r="K8" s="191">
        <f t="shared" si="5"/>
        <v>7.9919999999999991E-2</v>
      </c>
      <c r="L8" s="1139">
        <f t="shared" si="1"/>
        <v>2.7199999999999998</v>
      </c>
      <c r="M8" s="1403">
        <f t="shared" si="2"/>
        <v>3688.3199999999997</v>
      </c>
    </row>
    <row r="9" spans="1:13" s="42" customFormat="1" ht="16.5" x14ac:dyDescent="0.25">
      <c r="B9" s="165">
        <f>VLOOKUP(C9,[1]Hoja1!$B$2:$C$260,2,FALSE)</f>
        <v>1210005</v>
      </c>
      <c r="C9" s="154" t="s">
        <v>1155</v>
      </c>
      <c r="D9" s="190">
        <v>1.3586399999999998E-2</v>
      </c>
      <c r="E9" s="495">
        <v>0.84999999999999987</v>
      </c>
      <c r="F9" s="896">
        <f>VLOOKUP(B9,[2]Hoja1!$C$2:$E$279,3,FALSE)</f>
        <v>1356</v>
      </c>
      <c r="G9" s="495">
        <f t="shared" si="3"/>
        <v>18.423158399999998</v>
      </c>
      <c r="H9" s="880">
        <v>1360</v>
      </c>
      <c r="I9" s="498">
        <f t="shared" si="4"/>
        <v>18.477503999999996</v>
      </c>
      <c r="J9" s="905">
        <f t="shared" si="0"/>
        <v>-0.29411764705882604</v>
      </c>
      <c r="K9" s="191">
        <f t="shared" si="5"/>
        <v>1.3586399999999998E-2</v>
      </c>
      <c r="L9" s="1139">
        <f t="shared" si="1"/>
        <v>1.5999999999999996</v>
      </c>
      <c r="M9" s="1403">
        <f t="shared" si="2"/>
        <v>22495.999999999996</v>
      </c>
    </row>
    <row r="10" spans="1:13" s="42" customFormat="1" ht="16.5" x14ac:dyDescent="0.25">
      <c r="B10" s="165">
        <f>VLOOKUP(C10,[1]Hoja1!$B$2:$C$260,2,FALSE)</f>
        <v>1220014</v>
      </c>
      <c r="C10" s="154" t="s">
        <v>1146</v>
      </c>
      <c r="D10" s="190">
        <v>7.9919999999999991E-3</v>
      </c>
      <c r="E10" s="495">
        <v>0.49999999999999989</v>
      </c>
      <c r="F10" s="896">
        <f>VLOOKUP(B10,[2]Hoja1!$C$2:$E$279,3,FALSE)</f>
        <v>14060</v>
      </c>
      <c r="G10" s="495">
        <f t="shared" si="3"/>
        <v>112.36751999999998</v>
      </c>
      <c r="H10" s="914">
        <v>13300.01</v>
      </c>
      <c r="I10" s="498">
        <f t="shared" si="4"/>
        <v>106.29367991999999</v>
      </c>
      <c r="J10" s="905">
        <f t="shared" si="0"/>
        <v>5.7142062299201086</v>
      </c>
      <c r="K10" s="191">
        <f t="shared" si="5"/>
        <v>7.9919999999999991E-3</v>
      </c>
      <c r="L10" s="1139">
        <f t="shared" si="1"/>
        <v>1.2799999999999998</v>
      </c>
      <c r="M10" s="1403">
        <f t="shared" si="2"/>
        <v>83999.999999999985</v>
      </c>
    </row>
    <row r="11" spans="1:13" s="42" customFormat="1" ht="16.5" x14ac:dyDescent="0.25">
      <c r="B11" s="165">
        <f>VLOOKUP(C11,[1]Hoja1!$B$2:$C$260,2,FALSE)</f>
        <v>1220022</v>
      </c>
      <c r="C11" s="154" t="s">
        <v>1055</v>
      </c>
      <c r="D11" s="190">
        <v>6.3935999999999993E-3</v>
      </c>
      <c r="E11" s="495">
        <v>0.39999999999999991</v>
      </c>
      <c r="F11" s="896">
        <f>VLOOKUP(B11,[2]Hoja1!$C$2:$E$279,3,FALSE)</f>
        <v>65625</v>
      </c>
      <c r="G11" s="495">
        <f t="shared" si="3"/>
        <v>419.57999999999993</v>
      </c>
      <c r="H11" s="880">
        <v>59934.69</v>
      </c>
      <c r="I11" s="498">
        <f t="shared" si="4"/>
        <v>383.19843398399996</v>
      </c>
      <c r="J11" s="905">
        <f t="shared" si="0"/>
        <v>9.4941844197408756</v>
      </c>
      <c r="K11" s="191">
        <f t="shared" si="5"/>
        <v>6.3935999999999993E-3</v>
      </c>
      <c r="L11" s="1139">
        <f t="shared" si="1"/>
        <v>0.79999999999999982</v>
      </c>
      <c r="M11" s="1403">
        <f t="shared" si="2"/>
        <v>13523.999999999996</v>
      </c>
    </row>
    <row r="12" spans="1:13" s="42" customFormat="1" ht="16.5" x14ac:dyDescent="0.25">
      <c r="B12" s="165">
        <f>VLOOKUP(C12,[1]Hoja1!$B$2:$C$260,2,FALSE)</f>
        <v>121007</v>
      </c>
      <c r="C12" s="154" t="s">
        <v>821</v>
      </c>
      <c r="D12" s="190">
        <v>3.9959999999999996E-3</v>
      </c>
      <c r="E12" s="495">
        <v>0.24999999999999994</v>
      </c>
      <c r="F12" s="896">
        <f>VLOOKUP(B12,[2]Hoja1!$C$2:$E$279,3,FALSE)</f>
        <v>16905</v>
      </c>
      <c r="G12" s="495">
        <f t="shared" si="3"/>
        <v>67.552379999999999</v>
      </c>
      <c r="H12" s="880">
        <v>16100</v>
      </c>
      <c r="I12" s="498">
        <f t="shared" si="4"/>
        <v>64.335599999999999</v>
      </c>
      <c r="J12" s="905">
        <f t="shared" si="0"/>
        <v>5</v>
      </c>
      <c r="K12" s="191">
        <f t="shared" si="5"/>
        <v>3.9959999999999996E-3</v>
      </c>
      <c r="L12" s="1139">
        <f t="shared" si="1"/>
        <v>319.99999999999994</v>
      </c>
      <c r="M12" s="1403">
        <f t="shared" si="2"/>
        <v>0</v>
      </c>
    </row>
    <row r="13" spans="1:13" s="42" customFormat="1" ht="16.5" x14ac:dyDescent="0.25">
      <c r="B13" s="1777"/>
      <c r="C13" s="1778"/>
      <c r="D13" s="1329">
        <f>SUM(D5:D12)</f>
        <v>1.5983999999999998</v>
      </c>
      <c r="E13" s="1382">
        <f>SUM(E5:E12)</f>
        <v>99.999999999999986</v>
      </c>
      <c r="F13" s="1382"/>
      <c r="G13" s="1382">
        <f>SUM(G5:G12)</f>
        <v>17030.3757768</v>
      </c>
      <c r="H13" s="1383"/>
      <c r="I13" s="1354">
        <f>SUM(I5:I12)</f>
        <v>18196.269212303996</v>
      </c>
      <c r="J13" s="1331">
        <f>((G13/I13)*100)-100</f>
        <v>-6.4073213135121136</v>
      </c>
      <c r="K13" s="1337"/>
      <c r="L13" s="1337"/>
      <c r="M13" s="1404">
        <f>SUM(M4:M12)</f>
        <v>3409484.6399999992</v>
      </c>
    </row>
    <row r="15" spans="1:13" ht="25.5" x14ac:dyDescent="0.25">
      <c r="A15" s="120"/>
      <c r="B15" s="1765" t="s">
        <v>50</v>
      </c>
      <c r="C15" s="1766"/>
      <c r="D15" s="38">
        <f>+C18+(C18*C24%)</f>
        <v>1598.4</v>
      </c>
      <c r="E15" s="195"/>
      <c r="F15" s="195"/>
      <c r="G15" s="195"/>
      <c r="H15" s="195"/>
      <c r="I15" s="195"/>
    </row>
    <row r="16" spans="1:13" x14ac:dyDescent="0.25">
      <c r="A16" s="120"/>
      <c r="B16" s="1284" t="s">
        <v>38</v>
      </c>
      <c r="C16" s="161" t="s">
        <v>90</v>
      </c>
      <c r="H16" s="146"/>
    </row>
    <row r="17" spans="1:10" x14ac:dyDescent="0.25">
      <c r="A17" s="120"/>
      <c r="B17" s="1285" t="s">
        <v>39</v>
      </c>
      <c r="C17" s="163" t="s">
        <v>776</v>
      </c>
      <c r="H17" s="146"/>
    </row>
    <row r="18" spans="1:10" x14ac:dyDescent="0.25">
      <c r="A18" s="120"/>
      <c r="B18" s="1285" t="s">
        <v>40</v>
      </c>
      <c r="C18" s="163">
        <v>1500</v>
      </c>
      <c r="H18" s="146"/>
    </row>
    <row r="19" spans="1:10" x14ac:dyDescent="0.25">
      <c r="A19" s="120"/>
      <c r="B19" s="1285" t="s">
        <v>41</v>
      </c>
      <c r="C19" s="163">
        <v>0.5</v>
      </c>
      <c r="H19" s="146"/>
    </row>
    <row r="20" spans="1:10" x14ac:dyDescent="0.25">
      <c r="A20" s="120"/>
      <c r="B20" s="1285" t="s">
        <v>42</v>
      </c>
      <c r="C20" s="163">
        <v>0</v>
      </c>
      <c r="H20" s="146"/>
    </row>
    <row r="21" spans="1:10" x14ac:dyDescent="0.25">
      <c r="A21" s="120"/>
      <c r="B21" s="1285" t="s">
        <v>43</v>
      </c>
      <c r="C21" s="163">
        <v>4</v>
      </c>
      <c r="H21" s="146"/>
    </row>
    <row r="22" spans="1:10" x14ac:dyDescent="0.25">
      <c r="A22" s="120"/>
      <c r="B22" s="1285" t="s">
        <v>44</v>
      </c>
      <c r="C22" s="163">
        <v>0</v>
      </c>
      <c r="H22" s="146"/>
    </row>
    <row r="23" spans="1:10" x14ac:dyDescent="0.25">
      <c r="A23" s="120"/>
      <c r="B23" s="1285" t="s">
        <v>45</v>
      </c>
      <c r="C23" s="163">
        <v>1</v>
      </c>
      <c r="H23" s="146"/>
      <c r="J23" s="170"/>
    </row>
    <row r="24" spans="1:10" x14ac:dyDescent="0.25">
      <c r="A24" s="120"/>
      <c r="B24" s="1285" t="s">
        <v>46</v>
      </c>
      <c r="C24" s="196">
        <v>6.56</v>
      </c>
      <c r="H24" s="146"/>
      <c r="J24" s="170"/>
    </row>
    <row r="25" spans="1:10" x14ac:dyDescent="0.25">
      <c r="J25" s="170"/>
    </row>
    <row r="26" spans="1:10" ht="25.5" x14ac:dyDescent="0.25">
      <c r="A26" s="120"/>
      <c r="B26" s="1810" t="s">
        <v>47</v>
      </c>
      <c r="C26" s="1811"/>
      <c r="D26" s="1811"/>
      <c r="E26" s="1811"/>
      <c r="F26" s="1811"/>
      <c r="G26" s="1811"/>
      <c r="H26" s="1811"/>
      <c r="I26" s="1811"/>
      <c r="J26" s="795"/>
    </row>
    <row r="27" spans="1:10" ht="25.5" x14ac:dyDescent="0.25">
      <c r="A27" s="120"/>
      <c r="B27" s="1266" t="s">
        <v>0</v>
      </c>
      <c r="C27" s="1266" t="s">
        <v>1</v>
      </c>
      <c r="D27" s="1286" t="s">
        <v>2</v>
      </c>
      <c r="E27" s="1243" t="str">
        <f>+'CIF Y PV'!$F$4</f>
        <v xml:space="preserve">JUN-COP/UMB </v>
      </c>
      <c r="F27" s="1243" t="str">
        <f>+'CIF Y PV'!$G$4</f>
        <v>JUN-COP/APP</v>
      </c>
      <c r="G27" s="1243" t="str">
        <f>+'CIF Y PV'!$H$4</f>
        <v xml:space="preserve">MAY-COP/UMB </v>
      </c>
      <c r="H27" s="1243" t="str">
        <f>+'CIF Y PV'!$I$4</f>
        <v>MAY-COP/APP</v>
      </c>
      <c r="I27" s="1326" t="s">
        <v>3</v>
      </c>
      <c r="J27" s="473">
        <v>38090</v>
      </c>
    </row>
    <row r="28" spans="1:10" x14ac:dyDescent="0.25">
      <c r="A28" s="120"/>
      <c r="B28" s="165">
        <f>VLOOKUP(C28,[1]Hoja1!$B$2:$C$260,2,FALSE)</f>
        <v>1360001</v>
      </c>
      <c r="C28" s="165" t="s">
        <v>223</v>
      </c>
      <c r="D28" s="166">
        <v>10</v>
      </c>
      <c r="E28" s="1713">
        <f>VLOOKUP(B28,[2]Hoja1!$C$2:$E$279,3,FALSE)</f>
        <v>22</v>
      </c>
      <c r="F28" s="167">
        <f>E28*D28</f>
        <v>220</v>
      </c>
      <c r="G28" s="167">
        <v>22</v>
      </c>
      <c r="H28" s="167">
        <f>G28*D28</f>
        <v>220</v>
      </c>
      <c r="I28" s="167">
        <f>((G28/E28)*100)-100</f>
        <v>0</v>
      </c>
      <c r="J28" s="473">
        <f>J27*D28</f>
        <v>380900</v>
      </c>
    </row>
    <row r="29" spans="1:10" x14ac:dyDescent="0.25">
      <c r="A29" s="120"/>
      <c r="B29" s="165">
        <f>VLOOKUP(C29,[1]Hoja1!$B$2:$C$260,2,FALSE)</f>
        <v>1370003</v>
      </c>
      <c r="C29" s="165" t="s">
        <v>1175</v>
      </c>
      <c r="D29" s="166">
        <v>0.17</v>
      </c>
      <c r="E29" s="1713">
        <f>VLOOKUP(B29,[2]Hoja1!$C$2:$E$279,3,FALSE)</f>
        <v>698</v>
      </c>
      <c r="F29" s="167">
        <f>E29*D29</f>
        <v>118.66000000000001</v>
      </c>
      <c r="G29" s="167">
        <v>698.51</v>
      </c>
      <c r="H29" s="167">
        <f>G29*D29</f>
        <v>118.7467</v>
      </c>
      <c r="I29" s="167">
        <f>((G29/E29)*100)-100</f>
        <v>7.3065902578804298E-2</v>
      </c>
      <c r="J29" s="473"/>
    </row>
    <row r="30" spans="1:10" x14ac:dyDescent="0.25">
      <c r="A30" s="120"/>
      <c r="B30" s="165">
        <f>VLOOKUP(C30,[1]Hoja1!$B$2:$C$260,2,FALSE)</f>
        <v>1380002</v>
      </c>
      <c r="C30" s="165" t="s">
        <v>1051</v>
      </c>
      <c r="D30" s="166">
        <v>0.55000000000000004</v>
      </c>
      <c r="E30" s="1713">
        <f>VLOOKUP(B30,[2]Hoja1!$C$2:$E$279,3,FALSE)</f>
        <v>73.33</v>
      </c>
      <c r="F30" s="167">
        <f>E30*D30</f>
        <v>40.331500000000005</v>
      </c>
      <c r="G30" s="167">
        <v>76.61</v>
      </c>
      <c r="H30" s="167">
        <f>G30*D30</f>
        <v>42.1355</v>
      </c>
      <c r="I30" s="167">
        <f>((G30/E30)*100)-100</f>
        <v>4.4729305877539929</v>
      </c>
      <c r="J30" s="473"/>
    </row>
    <row r="31" spans="1:10" x14ac:dyDescent="0.25">
      <c r="A31" s="120"/>
      <c r="B31" s="165">
        <f>VLOOKUP(C31,[1]Hoja1!$B$2:$C$260,2,FALSE)</f>
        <v>1330022</v>
      </c>
      <c r="C31" s="165" t="s">
        <v>943</v>
      </c>
      <c r="D31" s="166">
        <v>1</v>
      </c>
      <c r="E31" s="1713">
        <f>VLOOKUP(B31,[2]Hoja1!$C$2:$E$279,3,FALSE)</f>
        <v>40.869999999999997</v>
      </c>
      <c r="F31" s="167">
        <f>E31*D31</f>
        <v>40.869999999999997</v>
      </c>
      <c r="G31" s="167">
        <v>40.200000000000003</v>
      </c>
      <c r="H31" s="167">
        <f>G31*D31</f>
        <v>40.200000000000003</v>
      </c>
      <c r="I31" s="167">
        <f>((G31/E31)*100)-100</f>
        <v>-1.6393442622950687</v>
      </c>
      <c r="J31" s="473">
        <f>J27*D31</f>
        <v>38090</v>
      </c>
    </row>
    <row r="32" spans="1:10" x14ac:dyDescent="0.25">
      <c r="A32" s="120"/>
      <c r="B32" s="165">
        <f>VLOOKUP(C32,[1]Hoja1!$B$2:$C$260,2,FALSE)</f>
        <v>1340008</v>
      </c>
      <c r="C32" s="165" t="s">
        <v>1205</v>
      </c>
      <c r="D32" s="166">
        <v>1</v>
      </c>
      <c r="E32" s="1713">
        <f>VLOOKUP(B32,[2]Hoja1!$C$2:$E$279,3,FALSE)</f>
        <v>333.71</v>
      </c>
      <c r="F32" s="167">
        <f>E32*D32</f>
        <v>333.71</v>
      </c>
      <c r="G32" s="167">
        <v>293</v>
      </c>
      <c r="H32" s="167">
        <f>G32*D32</f>
        <v>293</v>
      </c>
      <c r="I32" s="167">
        <f>((G32/E32)*100)-100</f>
        <v>-12.199214887177476</v>
      </c>
      <c r="J32" s="473">
        <f>J27*D32</f>
        <v>38090</v>
      </c>
    </row>
    <row r="33" spans="1:11" ht="16.899999999999999" customHeight="1" x14ac:dyDescent="0.25">
      <c r="A33" s="120"/>
      <c r="B33" s="1266"/>
      <c r="C33" s="1266" t="s">
        <v>37</v>
      </c>
      <c r="D33" s="1286"/>
      <c r="E33" s="1267"/>
      <c r="F33" s="1267">
        <f>+SUM(F28:F32)</f>
        <v>753.57150000000001</v>
      </c>
      <c r="G33" s="1267"/>
      <c r="H33" s="1267">
        <f>SUM(H28:H32)</f>
        <v>714.08220000000006</v>
      </c>
      <c r="I33" s="1267">
        <f>((F33/H33)*100)-100</f>
        <v>5.5300776297182495</v>
      </c>
      <c r="J33" s="170"/>
    </row>
    <row r="34" spans="1:11" x14ac:dyDescent="0.25">
      <c r="H34" s="1" t="str">
        <f>+'CIF Y PV'!$G$1</f>
        <v>MAYO</v>
      </c>
    </row>
    <row r="35" spans="1:11" x14ac:dyDescent="0.25">
      <c r="A35" s="120"/>
      <c r="B35" s="1736" t="s">
        <v>775</v>
      </c>
      <c r="C35" s="1737"/>
      <c r="E35" s="899"/>
      <c r="F35" s="899"/>
      <c r="G35" s="899"/>
      <c r="H35" s="1401">
        <f>+F33+G13</f>
        <v>17783.947276799998</v>
      </c>
      <c r="I35" s="194"/>
      <c r="J35" s="898"/>
      <c r="K35" s="194"/>
    </row>
    <row r="36" spans="1:11" x14ac:dyDescent="0.25">
      <c r="A36" s="120"/>
      <c r="B36" s="1736" t="s">
        <v>48</v>
      </c>
      <c r="C36" s="1737"/>
      <c r="E36" s="899"/>
      <c r="F36" s="899"/>
      <c r="G36" s="899"/>
      <c r="H36" s="1401">
        <f>+('CIF Y PV'!C3/1000)*1500</f>
        <v>2835</v>
      </c>
      <c r="I36" s="796"/>
      <c r="J36" s="898"/>
      <c r="K36" s="796"/>
    </row>
    <row r="37" spans="1:11" x14ac:dyDescent="0.25">
      <c r="A37" s="120"/>
      <c r="B37" s="1736" t="s">
        <v>777</v>
      </c>
      <c r="C37" s="1737"/>
      <c r="E37" s="899"/>
      <c r="F37" s="899"/>
      <c r="G37" s="899"/>
      <c r="H37" s="1401">
        <f>+H36+H35</f>
        <v>20618.947276799998</v>
      </c>
      <c r="I37" s="412"/>
      <c r="J37" s="898"/>
      <c r="K37" s="412"/>
    </row>
    <row r="38" spans="1:11" x14ac:dyDescent="0.25">
      <c r="A38" s="120"/>
      <c r="B38" s="1736" t="s">
        <v>49</v>
      </c>
      <c r="C38" s="1737"/>
      <c r="E38" s="899"/>
      <c r="F38" s="899"/>
      <c r="G38" s="899"/>
      <c r="H38" s="1401">
        <f>'CIF Y PV'!C27</f>
        <v>38179.43</v>
      </c>
      <c r="J38" s="898"/>
      <c r="K38" s="647"/>
    </row>
    <row r="39" spans="1:11" x14ac:dyDescent="0.2">
      <c r="A39" s="120"/>
      <c r="B39" s="1736" t="s">
        <v>805</v>
      </c>
      <c r="C39" s="1737"/>
      <c r="E39" s="899"/>
      <c r="F39" s="899"/>
      <c r="G39" s="899"/>
      <c r="H39" s="928">
        <f>+(H38-H37)/H38</f>
        <v>0.45994617319326148</v>
      </c>
      <c r="I39" s="199"/>
      <c r="J39" s="146"/>
      <c r="K39" s="199">
        <f>1-K38</f>
        <v>1</v>
      </c>
    </row>
    <row r="40" spans="1:11" x14ac:dyDescent="0.25">
      <c r="J40" s="170"/>
    </row>
    <row r="41" spans="1:11" x14ac:dyDescent="0.25">
      <c r="J41" s="170"/>
    </row>
    <row r="42" spans="1:11" x14ac:dyDescent="0.25">
      <c r="J42" s="170"/>
    </row>
    <row r="43" spans="1:11" x14ac:dyDescent="0.25">
      <c r="J43" s="170"/>
    </row>
    <row r="44" spans="1:11" x14ac:dyDescent="0.25">
      <c r="J44" s="170"/>
    </row>
    <row r="45" spans="1:11" x14ac:dyDescent="0.25">
      <c r="J45" s="170"/>
    </row>
    <row r="46" spans="1:11" x14ac:dyDescent="0.25">
      <c r="J46" s="170"/>
    </row>
    <row r="47" spans="1:11" x14ac:dyDescent="0.25">
      <c r="J47" s="170"/>
    </row>
    <row r="48" spans="1:11" x14ac:dyDescent="0.25">
      <c r="J48" s="170"/>
    </row>
    <row r="49" spans="10:10" x14ac:dyDescent="0.25">
      <c r="J49" s="170"/>
    </row>
  </sheetData>
  <autoFilter ref="B4:K4" xr:uid="{A3D0C87A-7BCD-4089-9276-0649FEA4622F}">
    <sortState xmlns:xlrd2="http://schemas.microsoft.com/office/spreadsheetml/2017/richdata2" ref="B5:K21">
      <sortCondition descending="1" ref="K4"/>
    </sortState>
  </autoFilter>
  <mergeCells count="9">
    <mergeCell ref="B37:C37"/>
    <mergeCell ref="B38:C38"/>
    <mergeCell ref="B39:C39"/>
    <mergeCell ref="B2:J2"/>
    <mergeCell ref="B13:C13"/>
    <mergeCell ref="B15:C15"/>
    <mergeCell ref="B26:I26"/>
    <mergeCell ref="B35:C35"/>
    <mergeCell ref="B36:C3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FBF4-0B1C-4CDC-8F17-5DE7E1A14A10}">
  <sheetPr codeName="Hoja112">
    <tabColor rgb="FFFF0000"/>
  </sheetPr>
  <dimension ref="A2:M48"/>
  <sheetViews>
    <sheetView view="pageBreakPreview" zoomScale="80" zoomScaleNormal="90" zoomScaleSheetLayoutView="80" workbookViewId="0">
      <selection activeCell="D15" sqref="D15"/>
    </sheetView>
  </sheetViews>
  <sheetFormatPr baseColWidth="10" defaultColWidth="11.5703125" defaultRowHeight="13.5" x14ac:dyDescent="0.25"/>
  <cols>
    <col min="1" max="1" width="8.42578125" style="1" customWidth="1"/>
    <col min="2" max="2" width="11.5703125" style="120"/>
    <col min="3" max="3" width="57.140625" style="120" customWidth="1"/>
    <col min="4" max="4" width="20.140625" style="119" bestFit="1" customWidth="1"/>
    <col min="5" max="5" width="11.5703125" style="120" customWidth="1"/>
    <col min="6" max="6" width="13.7109375" style="120" customWidth="1"/>
    <col min="7" max="7" width="20.140625" style="120" bestFit="1" customWidth="1"/>
    <col min="8" max="8" width="13.7109375" style="120" customWidth="1"/>
    <col min="9" max="9" width="20.140625" style="120" bestFit="1" customWidth="1"/>
    <col min="10" max="10" width="13.7109375" style="120" customWidth="1"/>
    <col min="11" max="11" width="15.28515625" style="120" bestFit="1" customWidth="1"/>
    <col min="12" max="12" width="12.7109375" style="120" bestFit="1" customWidth="1"/>
    <col min="13" max="13" width="16.28515625" style="120" bestFit="1" customWidth="1"/>
    <col min="14" max="16384" width="11.5703125" style="120"/>
  </cols>
  <sheetData>
    <row r="2" spans="1:13" s="42" customFormat="1" ht="26.25" customHeight="1" x14ac:dyDescent="0.25">
      <c r="B2" s="1743" t="s">
        <v>1271</v>
      </c>
      <c r="C2" s="1743"/>
      <c r="D2" s="1743"/>
      <c r="E2" s="1743"/>
      <c r="F2" s="1743"/>
      <c r="G2" s="1743"/>
      <c r="H2" s="1743"/>
      <c r="I2" s="1743"/>
      <c r="J2" s="1743"/>
      <c r="K2" s="89"/>
    </row>
    <row r="3" spans="1:13" x14ac:dyDescent="0.25">
      <c r="K3" s="120" t="s">
        <v>784</v>
      </c>
      <c r="L3" s="1216">
        <v>320</v>
      </c>
    </row>
    <row r="4" spans="1:13" s="42" customFormat="1" ht="16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4" t="s">
        <v>3</v>
      </c>
      <c r="K4" s="1272">
        <f>+D15/1000</f>
        <v>0.82125000000000004</v>
      </c>
      <c r="L4" s="1402">
        <f>$L$3*E5%</f>
        <v>159.99999999999997</v>
      </c>
      <c r="M4" s="1337">
        <f>L4*F5</f>
        <v>2032036.7999999996</v>
      </c>
    </row>
    <row r="5" spans="1:13" s="42" customFormat="1" ht="16.5" x14ac:dyDescent="0.25">
      <c r="B5" s="165">
        <f>VLOOKUP(C5,[1]Hoja1!$B$2:$C$260,2,FALSE)</f>
        <v>1112005</v>
      </c>
      <c r="C5" s="154" t="s">
        <v>1168</v>
      </c>
      <c r="D5" s="794">
        <v>0.41062499999999996</v>
      </c>
      <c r="E5" s="495">
        <v>49.999999999999993</v>
      </c>
      <c r="F5" s="896">
        <f>VLOOKUP(B5,[2]Hoja1!$C$2:$E$279,3,FALSE)</f>
        <v>12700.23</v>
      </c>
      <c r="G5" s="495">
        <f>F5*D5</f>
        <v>5215.0319437499993</v>
      </c>
      <c r="H5" s="896"/>
      <c r="I5" s="498"/>
      <c r="J5" s="905" t="e">
        <f t="shared" ref="J5:J12" si="0">((F5/H5)*100)-100</f>
        <v>#DIV/0!</v>
      </c>
      <c r="K5" s="191">
        <f>+$K$4*E5%</f>
        <v>0.41062499999999996</v>
      </c>
      <c r="L5" s="1139">
        <f t="shared" ref="L5:L12" si="1">$L$3*E6%</f>
        <v>95.999999999999972</v>
      </c>
      <c r="M5" s="1403">
        <f t="shared" ref="M5:M12" si="2">L5*F6</f>
        <v>839195.51999999979</v>
      </c>
    </row>
    <row r="6" spans="1:13" s="42" customFormat="1" ht="16.5" x14ac:dyDescent="0.25">
      <c r="B6" s="165">
        <f>VLOOKUP(C6,[1]Hoja1!$B$2:$C$260,2,FALSE)</f>
        <v>1121009</v>
      </c>
      <c r="C6" s="154" t="s">
        <v>1272</v>
      </c>
      <c r="D6" s="190">
        <v>0.24637499999999996</v>
      </c>
      <c r="E6" s="495">
        <v>29.999999999999993</v>
      </c>
      <c r="F6" s="896">
        <f>VLOOKUP(B6,[2]Hoja1!$C$2:$E$279,3,FALSE)</f>
        <v>8741.6200000000008</v>
      </c>
      <c r="G6" s="495">
        <f t="shared" ref="G6:G12" si="3">F6*D6</f>
        <v>2153.7166275</v>
      </c>
      <c r="H6" s="879"/>
      <c r="I6" s="498"/>
      <c r="J6" s="905" t="e">
        <f t="shared" si="0"/>
        <v>#DIV/0!</v>
      </c>
      <c r="K6" s="191">
        <f t="shared" ref="K6:K12" si="4">+$K$4*E6%</f>
        <v>0.24637499999999996</v>
      </c>
      <c r="L6" s="1139">
        <f t="shared" si="1"/>
        <v>41.599999999999994</v>
      </c>
      <c r="M6" s="1403">
        <f t="shared" si="2"/>
        <v>0</v>
      </c>
    </row>
    <row r="7" spans="1:13" s="42" customFormat="1" ht="16.5" x14ac:dyDescent="0.25">
      <c r="B7" s="165">
        <f>VLOOKUP(C7,[1]Hoja1!$B$2:$C$260,2,FALSE)</f>
        <v>1131002</v>
      </c>
      <c r="C7" s="154" t="s">
        <v>663</v>
      </c>
      <c r="D7" s="190">
        <v>0.10676249999999998</v>
      </c>
      <c r="E7" s="495">
        <v>12.999999999999998</v>
      </c>
      <c r="F7" s="896">
        <f>VLOOKUP(B7,[2]Hoja1!$C$2:$E$279,3,FALSE)</f>
        <v>0</v>
      </c>
      <c r="G7" s="495">
        <f t="shared" si="3"/>
        <v>0</v>
      </c>
      <c r="H7" s="914"/>
      <c r="I7" s="498"/>
      <c r="J7" s="906" t="e">
        <f t="shared" si="0"/>
        <v>#DIV/0!</v>
      </c>
      <c r="K7" s="191">
        <f t="shared" si="4"/>
        <v>0.10676249999999998</v>
      </c>
      <c r="L7" s="1139">
        <f t="shared" si="1"/>
        <v>15.999999999999996</v>
      </c>
      <c r="M7" s="1403">
        <f t="shared" si="2"/>
        <v>414543.99999999988</v>
      </c>
    </row>
    <row r="8" spans="1:13" s="42" customFormat="1" ht="16.5" x14ac:dyDescent="0.25">
      <c r="B8" s="165">
        <f>VLOOKUP(C8,[1]Hoja1!$B$2:$C$260,2,FALSE)</f>
        <v>1260018</v>
      </c>
      <c r="C8" s="154" t="s">
        <v>1056</v>
      </c>
      <c r="D8" s="190">
        <v>4.1062499999999995E-2</v>
      </c>
      <c r="E8" s="495">
        <v>4.9999999999999991</v>
      </c>
      <c r="F8" s="896">
        <f>VLOOKUP(B8,[2]Hoja1!$C$2:$E$279,3,FALSE)</f>
        <v>25909</v>
      </c>
      <c r="G8" s="495">
        <f t="shared" si="3"/>
        <v>1063.8883124999998</v>
      </c>
      <c r="H8" s="914"/>
      <c r="I8" s="498"/>
      <c r="J8" s="905" t="e">
        <f t="shared" si="0"/>
        <v>#DIV/0!</v>
      </c>
      <c r="K8" s="191">
        <f t="shared" si="4"/>
        <v>4.1062499999999995E-2</v>
      </c>
      <c r="L8" s="1139">
        <f t="shared" si="1"/>
        <v>2.7199999999999998</v>
      </c>
      <c r="M8" s="1403">
        <f t="shared" si="2"/>
        <v>3688.3199999999997</v>
      </c>
    </row>
    <row r="9" spans="1:13" s="42" customFormat="1" ht="16.5" x14ac:dyDescent="0.25">
      <c r="B9" s="165">
        <f>VLOOKUP(C9,[1]Hoja1!$B$2:$C$260,2,FALSE)</f>
        <v>1210005</v>
      </c>
      <c r="C9" s="154" t="s">
        <v>1155</v>
      </c>
      <c r="D9" s="190">
        <v>6.980624999999999E-3</v>
      </c>
      <c r="E9" s="495">
        <v>0.84999999999999987</v>
      </c>
      <c r="F9" s="896">
        <f>VLOOKUP(B9,[2]Hoja1!$C$2:$E$279,3,FALSE)</f>
        <v>1356</v>
      </c>
      <c r="G9" s="495">
        <f t="shared" si="3"/>
        <v>9.4657274999999981</v>
      </c>
      <c r="H9" s="880"/>
      <c r="I9" s="498"/>
      <c r="J9" s="905" t="e">
        <f t="shared" si="0"/>
        <v>#DIV/0!</v>
      </c>
      <c r="K9" s="191">
        <f t="shared" si="4"/>
        <v>6.980624999999999E-3</v>
      </c>
      <c r="L9" s="1139">
        <f t="shared" si="1"/>
        <v>1.5999999999999996</v>
      </c>
      <c r="M9" s="1403">
        <f t="shared" si="2"/>
        <v>22495.999999999996</v>
      </c>
    </row>
    <row r="10" spans="1:13" s="42" customFormat="1" ht="16.5" x14ac:dyDescent="0.25">
      <c r="B10" s="165">
        <f>VLOOKUP(C10,[1]Hoja1!$B$2:$C$260,2,FALSE)</f>
        <v>1220014</v>
      </c>
      <c r="C10" s="154" t="s">
        <v>1146</v>
      </c>
      <c r="D10" s="190">
        <v>4.1062499999999997E-3</v>
      </c>
      <c r="E10" s="495">
        <v>0.49999999999999989</v>
      </c>
      <c r="F10" s="896">
        <f>VLOOKUP(B10,[2]Hoja1!$C$2:$E$279,3,FALSE)</f>
        <v>14060</v>
      </c>
      <c r="G10" s="495">
        <f t="shared" si="3"/>
        <v>57.733874999999998</v>
      </c>
      <c r="H10" s="914"/>
      <c r="I10" s="498"/>
      <c r="J10" s="905" t="e">
        <f t="shared" si="0"/>
        <v>#DIV/0!</v>
      </c>
      <c r="K10" s="191">
        <f t="shared" si="4"/>
        <v>4.1062499999999997E-3</v>
      </c>
      <c r="L10" s="1139">
        <f t="shared" si="1"/>
        <v>1.2799999999999998</v>
      </c>
      <c r="M10" s="1403">
        <f t="shared" si="2"/>
        <v>83999.999999999985</v>
      </c>
    </row>
    <row r="11" spans="1:13" s="42" customFormat="1" ht="16.5" x14ac:dyDescent="0.25">
      <c r="B11" s="165">
        <f>VLOOKUP(C11,[1]Hoja1!$B$2:$C$260,2,FALSE)</f>
        <v>1220022</v>
      </c>
      <c r="C11" s="154" t="s">
        <v>1055</v>
      </c>
      <c r="D11" s="190">
        <v>3.2849999999999993E-3</v>
      </c>
      <c r="E11" s="495">
        <v>0.39999999999999991</v>
      </c>
      <c r="F11" s="896">
        <f>VLOOKUP(B11,[2]Hoja1!$C$2:$E$279,3,FALSE)</f>
        <v>65625</v>
      </c>
      <c r="G11" s="495">
        <f t="shared" si="3"/>
        <v>215.57812499999994</v>
      </c>
      <c r="H11" s="880"/>
      <c r="I11" s="498"/>
      <c r="J11" s="905" t="e">
        <f t="shared" si="0"/>
        <v>#DIV/0!</v>
      </c>
      <c r="K11" s="191">
        <f t="shared" si="4"/>
        <v>3.2849999999999993E-3</v>
      </c>
      <c r="L11" s="1139">
        <f t="shared" si="1"/>
        <v>0.79999999999999982</v>
      </c>
      <c r="M11" s="1403">
        <f t="shared" si="2"/>
        <v>13523.999999999996</v>
      </c>
    </row>
    <row r="12" spans="1:13" s="42" customFormat="1" ht="16.5" x14ac:dyDescent="0.25">
      <c r="B12" s="165">
        <f>VLOOKUP(C12,[1]Hoja1!$B$2:$C$260,2,FALSE)</f>
        <v>121007</v>
      </c>
      <c r="C12" s="154" t="s">
        <v>821</v>
      </c>
      <c r="D12" s="190">
        <v>2.0531249999999998E-3</v>
      </c>
      <c r="E12" s="495">
        <v>0.24999999999999994</v>
      </c>
      <c r="F12" s="896">
        <f>VLOOKUP(B12,[2]Hoja1!$C$2:$E$279,3,FALSE)</f>
        <v>16905</v>
      </c>
      <c r="G12" s="495">
        <f t="shared" si="3"/>
        <v>34.708078125</v>
      </c>
      <c r="H12" s="880"/>
      <c r="I12" s="498"/>
      <c r="J12" s="905" t="e">
        <f t="shared" si="0"/>
        <v>#DIV/0!</v>
      </c>
      <c r="K12" s="191">
        <f t="shared" si="4"/>
        <v>2.0531249999999998E-3</v>
      </c>
      <c r="L12" s="1139">
        <f t="shared" si="1"/>
        <v>319.99999999999994</v>
      </c>
      <c r="M12" s="1403">
        <f t="shared" si="2"/>
        <v>0</v>
      </c>
    </row>
    <row r="13" spans="1:13" s="42" customFormat="1" ht="16.5" x14ac:dyDescent="0.25">
      <c r="B13" s="1777"/>
      <c r="C13" s="1778"/>
      <c r="D13" s="1329">
        <f>SUM(D5:D12)</f>
        <v>0.82124999999999981</v>
      </c>
      <c r="E13" s="1382">
        <f>SUM(E5:E12)</f>
        <v>99.999999999999986</v>
      </c>
      <c r="F13" s="1382"/>
      <c r="G13" s="1382">
        <f>SUM(G5:G12)</f>
        <v>8750.1226893750008</v>
      </c>
      <c r="H13" s="1383"/>
      <c r="I13" s="1354">
        <f>SUM(I5:I12)</f>
        <v>0</v>
      </c>
      <c r="J13" s="1331" t="e">
        <f>((G13/I13)*100)-100</f>
        <v>#DIV/0!</v>
      </c>
      <c r="K13" s="1337"/>
      <c r="L13" s="1337"/>
      <c r="M13" s="1404">
        <f>SUM(M4:M12)</f>
        <v>3409484.6399999992</v>
      </c>
    </row>
    <row r="15" spans="1:13" ht="25.5" x14ac:dyDescent="0.25">
      <c r="A15" s="120"/>
      <c r="B15" s="1765" t="s">
        <v>50</v>
      </c>
      <c r="C15" s="1766"/>
      <c r="D15" s="38">
        <f>+C18+(C18*C24%)</f>
        <v>821.25</v>
      </c>
      <c r="E15" s="195"/>
      <c r="F15" s="195"/>
      <c r="G15" s="195"/>
      <c r="H15" s="195"/>
      <c r="I15" s="195"/>
    </row>
    <row r="16" spans="1:13" x14ac:dyDescent="0.25">
      <c r="A16" s="120"/>
      <c r="B16" s="1284" t="s">
        <v>38</v>
      </c>
      <c r="C16" s="161" t="s">
        <v>90</v>
      </c>
      <c r="H16" s="146"/>
    </row>
    <row r="17" spans="1:10" x14ac:dyDescent="0.25">
      <c r="A17" s="120"/>
      <c r="B17" s="1285" t="s">
        <v>39</v>
      </c>
      <c r="C17" s="163" t="s">
        <v>776</v>
      </c>
      <c r="H17" s="146"/>
    </row>
    <row r="18" spans="1:10" x14ac:dyDescent="0.25">
      <c r="A18" s="120"/>
      <c r="B18" s="1285" t="s">
        <v>40</v>
      </c>
      <c r="C18" s="163">
        <v>750</v>
      </c>
      <c r="H18" s="146"/>
    </row>
    <row r="19" spans="1:10" x14ac:dyDescent="0.25">
      <c r="A19" s="120"/>
      <c r="B19" s="1285" t="s">
        <v>41</v>
      </c>
      <c r="C19" s="163">
        <v>0.5</v>
      </c>
      <c r="H19" s="146"/>
    </row>
    <row r="20" spans="1:10" x14ac:dyDescent="0.25">
      <c r="A20" s="120"/>
      <c r="B20" s="1285" t="s">
        <v>42</v>
      </c>
      <c r="C20" s="163">
        <v>0</v>
      </c>
      <c r="H20" s="146"/>
    </row>
    <row r="21" spans="1:10" x14ac:dyDescent="0.25">
      <c r="A21" s="120"/>
      <c r="B21" s="1285" t="s">
        <v>43</v>
      </c>
      <c r="C21" s="163">
        <v>4</v>
      </c>
      <c r="H21" s="146"/>
    </row>
    <row r="22" spans="1:10" x14ac:dyDescent="0.25">
      <c r="A22" s="120"/>
      <c r="B22" s="1285" t="s">
        <v>44</v>
      </c>
      <c r="C22" s="163">
        <v>0</v>
      </c>
      <c r="H22" s="146"/>
    </row>
    <row r="23" spans="1:10" x14ac:dyDescent="0.25">
      <c r="A23" s="120"/>
      <c r="B23" s="1285" t="s">
        <v>45</v>
      </c>
      <c r="C23" s="163">
        <v>5</v>
      </c>
      <c r="H23" s="146"/>
      <c r="J23" s="170"/>
    </row>
    <row r="24" spans="1:10" x14ac:dyDescent="0.25">
      <c r="A24" s="120"/>
      <c r="B24" s="1285" t="s">
        <v>46</v>
      </c>
      <c r="C24" s="196">
        <f>SUM(C19:C23)</f>
        <v>9.5</v>
      </c>
      <c r="H24" s="146"/>
      <c r="J24" s="170"/>
    </row>
    <row r="25" spans="1:10" x14ac:dyDescent="0.25">
      <c r="J25" s="170"/>
    </row>
    <row r="26" spans="1:10" ht="25.5" x14ac:dyDescent="0.25">
      <c r="A26" s="120"/>
      <c r="B26" s="1810" t="s">
        <v>47</v>
      </c>
      <c r="C26" s="1811"/>
      <c r="D26" s="1811"/>
      <c r="E26" s="1811"/>
      <c r="F26" s="1811"/>
      <c r="G26" s="1811"/>
      <c r="H26" s="1811"/>
      <c r="I26" s="1811"/>
      <c r="J26" s="795"/>
    </row>
    <row r="27" spans="1:10" ht="25.5" x14ac:dyDescent="0.25">
      <c r="A27" s="120"/>
      <c r="B27" s="1266" t="s">
        <v>0</v>
      </c>
      <c r="C27" s="1266" t="s">
        <v>1</v>
      </c>
      <c r="D27" s="1286" t="s">
        <v>2</v>
      </c>
      <c r="E27" s="1243" t="str">
        <f>+'CIF Y PV'!$F$4</f>
        <v xml:space="preserve">JUN-COP/UMB </v>
      </c>
      <c r="F27" s="1243" t="str">
        <f>+'CIF Y PV'!$G$4</f>
        <v>JUN-COP/APP</v>
      </c>
      <c r="G27" s="1243" t="str">
        <f>+'CIF Y PV'!$H$4</f>
        <v xml:space="preserve">MAY-COP/UMB </v>
      </c>
      <c r="H27" s="1243" t="str">
        <f>+'CIF Y PV'!$I$4</f>
        <v>MAY-COP/APP</v>
      </c>
      <c r="I27" s="1326" t="s">
        <v>3</v>
      </c>
      <c r="J27" s="473">
        <v>38090</v>
      </c>
    </row>
    <row r="28" spans="1:10" x14ac:dyDescent="0.25">
      <c r="A28" s="120"/>
      <c r="B28" s="165">
        <f>VLOOKUP(C28,[1]Hoja1!$B$2:$C$260,2,FALSE)</f>
        <v>1360001</v>
      </c>
      <c r="C28" s="165" t="s">
        <v>223</v>
      </c>
      <c r="D28" s="166">
        <v>5</v>
      </c>
      <c r="E28" s="167">
        <f>VLOOKUP(B28,[2]Hoja1!$C$2:$E$279,3,FALSE)</f>
        <v>22</v>
      </c>
      <c r="F28" s="167">
        <f>E28*D28</f>
        <v>110</v>
      </c>
      <c r="G28" s="167">
        <v>22</v>
      </c>
      <c r="H28" s="167">
        <f>G28*D28</f>
        <v>110</v>
      </c>
      <c r="I28" s="167">
        <f>((G28/E28)*100)-100</f>
        <v>0</v>
      </c>
      <c r="J28" s="473">
        <f>J27*D28</f>
        <v>190450</v>
      </c>
    </row>
    <row r="29" spans="1:10" x14ac:dyDescent="0.25">
      <c r="A29" s="120"/>
      <c r="B29" s="165">
        <f>VLOOKUP(C29,[1]Hoja1!$B$2:$C$260,2,FALSE)</f>
        <v>1370003</v>
      </c>
      <c r="C29" s="165" t="s">
        <v>1175</v>
      </c>
      <c r="D29" s="166">
        <v>8.5000000000000006E-2</v>
      </c>
      <c r="E29" s="167">
        <f>VLOOKUP(B29,[2]Hoja1!$C$2:$E$279,3,FALSE)</f>
        <v>698</v>
      </c>
      <c r="F29" s="167">
        <f>E29*D29</f>
        <v>59.330000000000005</v>
      </c>
      <c r="G29" s="167">
        <v>698.51</v>
      </c>
      <c r="H29" s="167">
        <f>G29*D29</f>
        <v>59.373350000000002</v>
      </c>
      <c r="I29" s="167">
        <f>((G29/E29)*100)-100</f>
        <v>7.3065902578804298E-2</v>
      </c>
      <c r="J29" s="473"/>
    </row>
    <row r="30" spans="1:10" x14ac:dyDescent="0.25">
      <c r="A30" s="120"/>
      <c r="B30" s="165">
        <f>VLOOKUP(C30,[1]Hoja1!$B$2:$C$260,2,FALSE)</f>
        <v>1380002</v>
      </c>
      <c r="C30" s="165" t="s">
        <v>1051</v>
      </c>
      <c r="D30" s="166">
        <v>0.55000000000000004</v>
      </c>
      <c r="E30" s="167">
        <f>VLOOKUP(B30,[2]Hoja1!$C$2:$E$279,3,FALSE)</f>
        <v>73.33</v>
      </c>
      <c r="F30" s="167">
        <f>E30*D30</f>
        <v>40.331500000000005</v>
      </c>
      <c r="G30" s="167">
        <v>40.200000000000003</v>
      </c>
      <c r="H30" s="167">
        <f>G30*D30</f>
        <v>22.110000000000003</v>
      </c>
      <c r="I30" s="167">
        <f>((G30/E30)*100)-100</f>
        <v>-45.179326333015133</v>
      </c>
      <c r="J30" s="473">
        <f>J27*D30</f>
        <v>20949.5</v>
      </c>
    </row>
    <row r="31" spans="1:10" x14ac:dyDescent="0.25">
      <c r="A31" s="120"/>
      <c r="B31" s="165">
        <f>VLOOKUP(C31,[1]Hoja1!$B$2:$C$260,2,FALSE)</f>
        <v>1340016</v>
      </c>
      <c r="C31" s="165" t="s">
        <v>1316</v>
      </c>
      <c r="D31" s="166">
        <v>1</v>
      </c>
      <c r="E31" s="167">
        <f>VLOOKUP(B31,[2]Hoja1!$C$2:$E$279,3,FALSE)</f>
        <v>550</v>
      </c>
      <c r="F31" s="167">
        <f>E31*D31</f>
        <v>550</v>
      </c>
      <c r="G31" s="167">
        <v>293</v>
      </c>
      <c r="H31" s="167">
        <f>G31*D31</f>
        <v>293</v>
      </c>
      <c r="I31" s="167">
        <f>((G31/E31)*100)-100</f>
        <v>-46.727272727272727</v>
      </c>
      <c r="J31" s="473">
        <f>J27*D31</f>
        <v>38090</v>
      </c>
    </row>
    <row r="32" spans="1:10" ht="16.899999999999999" customHeight="1" x14ac:dyDescent="0.25">
      <c r="A32" s="120"/>
      <c r="B32" s="1266"/>
      <c r="C32" s="1266" t="s">
        <v>37</v>
      </c>
      <c r="D32" s="1286"/>
      <c r="E32" s="1267"/>
      <c r="F32" s="1267">
        <f>+SUM(F28:F31)</f>
        <v>759.66150000000005</v>
      </c>
      <c r="G32" s="1267"/>
      <c r="H32" s="1267">
        <f>SUM(H28:H31)</f>
        <v>484.48335000000003</v>
      </c>
      <c r="I32" s="1267">
        <f>((F32/H32)*100)-100</f>
        <v>56.798267680406354</v>
      </c>
      <c r="J32" s="170"/>
    </row>
    <row r="33" spans="1:11" x14ac:dyDescent="0.25">
      <c r="H33" s="1"/>
    </row>
    <row r="34" spans="1:11" x14ac:dyDescent="0.25">
      <c r="A34" s="120"/>
      <c r="B34" s="1736" t="s">
        <v>161</v>
      </c>
      <c r="C34" s="1737"/>
      <c r="E34" s="899"/>
      <c r="F34" s="899"/>
      <c r="G34" s="899"/>
      <c r="H34" s="1401">
        <f>+F32+G13</f>
        <v>9509.784189375001</v>
      </c>
      <c r="I34" s="194"/>
      <c r="J34" s="898"/>
      <c r="K34" s="194"/>
    </row>
    <row r="35" spans="1:11" x14ac:dyDescent="0.25">
      <c r="A35" s="120"/>
      <c r="B35" s="1736" t="s">
        <v>48</v>
      </c>
      <c r="C35" s="1737"/>
      <c r="E35" s="899"/>
      <c r="F35" s="899"/>
      <c r="G35" s="899"/>
      <c r="H35" s="1401">
        <f>+('CIF Y PV'!C3/1000)*750</f>
        <v>1417.5</v>
      </c>
      <c r="I35" s="796"/>
      <c r="J35" s="898"/>
      <c r="K35" s="796"/>
    </row>
    <row r="36" spans="1:11" x14ac:dyDescent="0.25">
      <c r="A36" s="120"/>
      <c r="B36" s="1736" t="s">
        <v>777</v>
      </c>
      <c r="C36" s="1737"/>
      <c r="E36" s="899"/>
      <c r="F36" s="899"/>
      <c r="G36" s="899"/>
      <c r="H36" s="1401">
        <f>+H35+H34</f>
        <v>10927.284189375001</v>
      </c>
      <c r="I36" s="412"/>
      <c r="J36" s="898"/>
      <c r="K36" s="412"/>
    </row>
    <row r="37" spans="1:11" x14ac:dyDescent="0.25">
      <c r="A37" s="120"/>
      <c r="B37" s="1736" t="s">
        <v>49</v>
      </c>
      <c r="C37" s="1737"/>
      <c r="E37" s="899"/>
      <c r="F37" s="899"/>
      <c r="G37" s="899"/>
      <c r="H37" s="1401">
        <f>'CIF Y PV'!C86</f>
        <v>18950</v>
      </c>
      <c r="J37" s="898"/>
      <c r="K37" s="647"/>
    </row>
    <row r="38" spans="1:11" x14ac:dyDescent="0.2">
      <c r="A38" s="120"/>
      <c r="B38" s="1736" t="s">
        <v>805</v>
      </c>
      <c r="C38" s="1737"/>
      <c r="E38" s="899"/>
      <c r="F38" s="899"/>
      <c r="G38" s="899"/>
      <c r="H38" s="928">
        <f>+(H37-H36)/H37</f>
        <v>0.42336231190633239</v>
      </c>
      <c r="I38" s="199"/>
      <c r="J38" s="146"/>
      <c r="K38" s="199">
        <f>1-K37</f>
        <v>1</v>
      </c>
    </row>
    <row r="39" spans="1:11" x14ac:dyDescent="0.25">
      <c r="J39" s="170"/>
    </row>
    <row r="40" spans="1:11" x14ac:dyDescent="0.25">
      <c r="J40" s="170"/>
    </row>
    <row r="41" spans="1:11" x14ac:dyDescent="0.25">
      <c r="J41" s="170"/>
    </row>
    <row r="42" spans="1:11" x14ac:dyDescent="0.25">
      <c r="J42" s="170"/>
    </row>
    <row r="43" spans="1:11" x14ac:dyDescent="0.25">
      <c r="J43" s="170"/>
    </row>
    <row r="44" spans="1:11" x14ac:dyDescent="0.25">
      <c r="J44" s="170"/>
    </row>
    <row r="45" spans="1:11" x14ac:dyDescent="0.25">
      <c r="J45" s="170"/>
    </row>
    <row r="46" spans="1:11" x14ac:dyDescent="0.25">
      <c r="J46" s="170"/>
    </row>
    <row r="47" spans="1:11" x14ac:dyDescent="0.25">
      <c r="J47" s="170"/>
    </row>
    <row r="48" spans="1:11" x14ac:dyDescent="0.25">
      <c r="J48" s="170"/>
    </row>
  </sheetData>
  <autoFilter ref="B4:K4" xr:uid="{A3D0C87A-7BCD-4089-9276-0649FEA4622F}">
    <sortState xmlns:xlrd2="http://schemas.microsoft.com/office/spreadsheetml/2017/richdata2" ref="B5:K21">
      <sortCondition descending="1" ref="K4"/>
    </sortState>
  </autoFilter>
  <mergeCells count="9">
    <mergeCell ref="B36:C36"/>
    <mergeCell ref="B37:C37"/>
    <mergeCell ref="B38:C38"/>
    <mergeCell ref="B2:J2"/>
    <mergeCell ref="B13:C13"/>
    <mergeCell ref="B15:C15"/>
    <mergeCell ref="B26:I26"/>
    <mergeCell ref="B34:C34"/>
    <mergeCell ref="B35:C35"/>
  </mergeCells>
  <pageMargins left="0.7" right="0.7" top="0.75" bottom="0.75" header="0.3" footer="0.3"/>
  <colBreaks count="1" manualBreakCount="1">
    <brk id="11" max="47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DD36-A062-4CD1-8864-DF9324F6908C}">
  <sheetPr codeName="Hoja42">
    <tabColor rgb="FFFFFF00"/>
  </sheetPr>
  <dimension ref="A2:M52"/>
  <sheetViews>
    <sheetView view="pageBreakPreview" topLeftCell="A30" zoomScaleNormal="100" zoomScaleSheetLayoutView="100" workbookViewId="0">
      <selection activeCell="G5" sqref="G5:G22"/>
    </sheetView>
  </sheetViews>
  <sheetFormatPr baseColWidth="10" defaultColWidth="11.5703125" defaultRowHeight="13.5" x14ac:dyDescent="0.25"/>
  <cols>
    <col min="1" max="1" width="11.7109375" style="120" customWidth="1"/>
    <col min="2" max="2" width="11.5703125" style="120"/>
    <col min="3" max="3" width="67.42578125" style="120" bestFit="1" customWidth="1"/>
    <col min="4" max="5" width="11.5703125" style="120"/>
    <col min="6" max="6" width="13.5703125" style="120" bestFit="1" customWidth="1"/>
    <col min="7" max="7" width="11.5703125" style="120"/>
    <col min="8" max="8" width="12.5703125" style="120" bestFit="1" customWidth="1"/>
    <col min="9" max="9" width="14.42578125" style="120" bestFit="1" customWidth="1"/>
    <col min="10" max="10" width="12.5703125" style="120" bestFit="1" customWidth="1"/>
    <col min="11" max="12" width="11.5703125" style="120"/>
    <col min="13" max="13" width="15" style="120" customWidth="1"/>
    <col min="14" max="16384" width="11.5703125" style="120"/>
  </cols>
  <sheetData>
    <row r="2" spans="2:13" ht="25.5" x14ac:dyDescent="0.25">
      <c r="B2" s="1743" t="s">
        <v>732</v>
      </c>
      <c r="C2" s="1743"/>
      <c r="D2" s="1743"/>
      <c r="E2" s="1743"/>
      <c r="F2" s="1743"/>
      <c r="G2" s="1743"/>
      <c r="H2" s="1743"/>
      <c r="I2" s="1743"/>
    </row>
    <row r="4" spans="2:13" ht="25.5" x14ac:dyDescent="0.25">
      <c r="B4" s="1242" t="s">
        <v>0</v>
      </c>
      <c r="C4" s="1242" t="s">
        <v>1</v>
      </c>
      <c r="D4" s="1242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272">
        <f>+D26/1000</f>
        <v>0.13340000000000002</v>
      </c>
      <c r="L4" s="1272">
        <v>487.94799999999998</v>
      </c>
      <c r="M4" s="1272"/>
    </row>
    <row r="5" spans="2:13" ht="15" customHeight="1" x14ac:dyDescent="0.25">
      <c r="B5" s="165">
        <f>VLOOKUP(C5,[1]Hoja1!$B$2:$C$260,2,FALSE)</f>
        <v>2903003</v>
      </c>
      <c r="C5" s="154" t="s">
        <v>1039</v>
      </c>
      <c r="D5" s="166">
        <v>8.6117783042455348E-2</v>
      </c>
      <c r="E5" s="805">
        <v>64.556059252215391</v>
      </c>
      <c r="F5" s="107">
        <f>VLOOKUP(B5,[2]Hoja1!$C$2:$E$279,3,FALSE)</f>
        <v>11506.13</v>
      </c>
      <c r="G5" s="167">
        <f>F5*D5</f>
        <v>990.88240699828668</v>
      </c>
      <c r="H5" s="38">
        <v>14000</v>
      </c>
      <c r="I5" s="167">
        <f>H5*D5</f>
        <v>1205.6489625943748</v>
      </c>
      <c r="J5" s="270">
        <f>((F5/H5)*100)-100</f>
        <v>-17.813357142857143</v>
      </c>
      <c r="K5" s="178">
        <f>$K$4*E5%</f>
        <v>8.6117783042455348E-2</v>
      </c>
      <c r="L5" s="178">
        <f>$L$4*E5%</f>
        <v>314.99999999999994</v>
      </c>
      <c r="M5" s="1231">
        <f>F5*L5</f>
        <v>3624430.9499999993</v>
      </c>
    </row>
    <row r="6" spans="2:13" ht="15" customHeight="1" x14ac:dyDescent="0.25">
      <c r="B6" s="165">
        <f>VLOOKUP(C6,[1]Hoja1!$B$2:$C$260,2,FALSE)</f>
        <v>1121009</v>
      </c>
      <c r="C6" s="154" t="s">
        <v>1272</v>
      </c>
      <c r="D6" s="143">
        <v>6.8347446859091544E-3</v>
      </c>
      <c r="E6" s="96">
        <v>5.1234967660488406</v>
      </c>
      <c r="F6" s="107">
        <f>VLOOKUP(B6,[2]Hoja1!$C$2:$E$279,3,FALSE)</f>
        <v>8741.6200000000008</v>
      </c>
      <c r="G6" s="167">
        <f t="shared" ref="G6:G22" si="0">F6*D6</f>
        <v>59.746740841237191</v>
      </c>
      <c r="H6" s="879">
        <v>8754.2800000000007</v>
      </c>
      <c r="I6" s="167">
        <f t="shared" ref="I6:I22" si="1">H6*D6</f>
        <v>59.833268708960794</v>
      </c>
      <c r="J6" s="250">
        <f t="shared" ref="J6:J22" si="2">((F6/H6)*100)-100</f>
        <v>-0.14461497690273006</v>
      </c>
      <c r="K6" s="178">
        <f t="shared" ref="K6:K22" si="3">$K$4*E6%</f>
        <v>6.8347446859091544E-3</v>
      </c>
      <c r="L6" s="178">
        <f t="shared" ref="L6:L22" si="4">$L$4*E6%</f>
        <v>24.999999999999996</v>
      </c>
      <c r="M6" s="1231">
        <f t="shared" ref="M6:M22" si="5">F6*L6</f>
        <v>218540.5</v>
      </c>
    </row>
    <row r="7" spans="2:13" ht="15" customHeight="1" x14ac:dyDescent="0.25">
      <c r="B7" s="165">
        <f>VLOOKUP(C7,[1]Hoja1!$B$2:$C$260,2,FALSE)</f>
        <v>2903002</v>
      </c>
      <c r="C7" s="154" t="s">
        <v>1057</v>
      </c>
      <c r="D7" s="143">
        <v>1.2575930222072845E-2</v>
      </c>
      <c r="E7" s="96">
        <v>9.4272340495298668</v>
      </c>
      <c r="F7" s="107">
        <f>VLOOKUP(B7,[2]Hoja1!$C$2:$E$279,3,FALSE)</f>
        <v>13428.98</v>
      </c>
      <c r="G7" s="167">
        <f t="shared" si="0"/>
        <v>168.88191543361179</v>
      </c>
      <c r="H7" s="879">
        <v>14706.29</v>
      </c>
      <c r="I7" s="167">
        <f t="shared" si="1"/>
        <v>184.94527686556768</v>
      </c>
      <c r="J7" s="250">
        <f t="shared" si="2"/>
        <v>-8.6854672388481475</v>
      </c>
      <c r="K7" s="178">
        <f t="shared" si="3"/>
        <v>1.2575930222072845E-2</v>
      </c>
      <c r="L7" s="178">
        <f t="shared" si="4"/>
        <v>45.999999999999993</v>
      </c>
      <c r="M7" s="1231">
        <f t="shared" si="5"/>
        <v>617733.07999999984</v>
      </c>
    </row>
    <row r="8" spans="2:13" ht="15" customHeight="1" x14ac:dyDescent="0.25">
      <c r="B8" s="165">
        <f>VLOOKUP(C8,[1]Hoja1!$B$2:$C$260,2,FALSE)</f>
        <v>1131002</v>
      </c>
      <c r="C8" s="154" t="s">
        <v>663</v>
      </c>
      <c r="D8" s="143">
        <v>2.2680143375933503E-2</v>
      </c>
      <c r="E8" s="96">
        <v>17.001606728585834</v>
      </c>
      <c r="F8" s="107">
        <f>VLOOKUP(B8,[2]Hoja1!$C$2:$E$279,3,FALSE)</f>
        <v>0</v>
      </c>
      <c r="G8" s="167">
        <f t="shared" si="0"/>
        <v>0</v>
      </c>
      <c r="H8" s="879">
        <v>0</v>
      </c>
      <c r="I8" s="167">
        <f t="shared" si="1"/>
        <v>0</v>
      </c>
      <c r="J8" s="250" t="e">
        <f t="shared" si="2"/>
        <v>#DIV/0!</v>
      </c>
      <c r="K8" s="178">
        <f t="shared" si="3"/>
        <v>2.2680143375933503E-2</v>
      </c>
      <c r="L8" s="178">
        <f t="shared" si="4"/>
        <v>82.959000000000003</v>
      </c>
      <c r="M8" s="1231">
        <f t="shared" si="5"/>
        <v>0</v>
      </c>
    </row>
    <row r="9" spans="2:13" ht="15" customHeight="1" x14ac:dyDescent="0.25">
      <c r="B9" s="165">
        <f>VLOOKUP(C9,[1]Hoja1!$B$2:$C$260,2,FALSE)</f>
        <v>1250009</v>
      </c>
      <c r="C9" s="154" t="s">
        <v>1279</v>
      </c>
      <c r="D9" s="143">
        <v>3.3626943854673041E-5</v>
      </c>
      <c r="E9" s="96">
        <v>2.5207604088960296E-2</v>
      </c>
      <c r="F9" s="107">
        <f>VLOOKUP(B9,[2]Hoja1!$C$2:$E$279,3,FALSE)</f>
        <v>83551.55</v>
      </c>
      <c r="G9" s="167">
        <f t="shared" si="0"/>
        <v>2.8095832808209074</v>
      </c>
      <c r="H9" s="237">
        <v>71910.02</v>
      </c>
      <c r="I9" s="167">
        <f t="shared" si="1"/>
        <v>2.4181142051284157</v>
      </c>
      <c r="J9" s="250">
        <f t="shared" si="2"/>
        <v>16.18902344902699</v>
      </c>
      <c r="K9" s="178">
        <f t="shared" si="3"/>
        <v>3.3626943854673041E-5</v>
      </c>
      <c r="L9" s="178">
        <f t="shared" si="4"/>
        <v>0.12299999999999998</v>
      </c>
      <c r="M9" s="1231">
        <f t="shared" si="5"/>
        <v>10276.840649999998</v>
      </c>
    </row>
    <row r="10" spans="2:13" ht="15" customHeight="1" x14ac:dyDescent="0.25">
      <c r="B10" s="165">
        <f>VLOOKUP(C10,[1]Hoja1!$B$2:$C$260,2,FALSE)</f>
        <v>1250004</v>
      </c>
      <c r="C10" s="154" t="s">
        <v>969</v>
      </c>
      <c r="D10" s="143">
        <v>2.6245419593891154E-5</v>
      </c>
      <c r="E10" s="96">
        <v>1.9674227581627551E-2</v>
      </c>
      <c r="F10" s="107">
        <f>VLOOKUP(B10,[2]Hoja1!$C$2:$E$279,3,FALSE)</f>
        <v>164481.95000000001</v>
      </c>
      <c r="G10" s="167">
        <f t="shared" si="0"/>
        <v>4.3168977933714254</v>
      </c>
      <c r="H10" s="106">
        <v>156520.01999999999</v>
      </c>
      <c r="I10" s="167">
        <f t="shared" si="1"/>
        <v>4.1079335997442348</v>
      </c>
      <c r="J10" s="250">
        <f t="shared" si="2"/>
        <v>5.0868444816196927</v>
      </c>
      <c r="K10" s="178">
        <f t="shared" si="3"/>
        <v>2.6245419593891154E-5</v>
      </c>
      <c r="L10" s="178">
        <f t="shared" si="4"/>
        <v>9.5999999999999988E-2</v>
      </c>
      <c r="M10" s="1231">
        <f t="shared" si="5"/>
        <v>15790.267199999998</v>
      </c>
    </row>
    <row r="11" spans="2:13" ht="15" customHeight="1" x14ac:dyDescent="0.25">
      <c r="B11" s="165">
        <f>VLOOKUP(C11,[1]Hoja1!$B$2:$C$260,2,FALSE)</f>
        <v>1210006</v>
      </c>
      <c r="C11" s="154" t="s">
        <v>1130</v>
      </c>
      <c r="D11" s="143">
        <v>2.2544600000000002E-3</v>
      </c>
      <c r="E11" s="96">
        <v>1.69</v>
      </c>
      <c r="F11" s="107">
        <f>VLOOKUP(B11,[2]Hoja1!$C$2:$E$279,3,FALSE)</f>
        <v>8904.4500000000007</v>
      </c>
      <c r="G11" s="167">
        <f t="shared" si="0"/>
        <v>20.074726347000002</v>
      </c>
      <c r="H11" s="805">
        <v>8910.1</v>
      </c>
      <c r="I11" s="167">
        <f t="shared" si="1"/>
        <v>20.087464046000004</v>
      </c>
      <c r="J11" s="250">
        <f t="shared" si="2"/>
        <v>-6.3411185059649711E-2</v>
      </c>
      <c r="K11" s="178">
        <f t="shared" si="3"/>
        <v>2.2544600000000002E-3</v>
      </c>
      <c r="L11" s="178">
        <f t="shared" si="4"/>
        <v>8.2463211999999988</v>
      </c>
      <c r="M11" s="1231">
        <f t="shared" si="5"/>
        <v>73428.954809339994</v>
      </c>
    </row>
    <row r="12" spans="2:13" ht="15" customHeight="1" x14ac:dyDescent="0.25">
      <c r="B12" s="165">
        <f>VLOOKUP(C12,[1]Hoja1!$B$2:$C$260,2,FALSE)</f>
        <v>1210004</v>
      </c>
      <c r="C12" s="154" t="s">
        <v>1131</v>
      </c>
      <c r="D12" s="143">
        <v>1.0672000000000002E-4</v>
      </c>
      <c r="E12" s="96">
        <v>0.08</v>
      </c>
      <c r="F12" s="107">
        <f>VLOOKUP(B12,[2]Hoja1!$C$2:$E$279,3,FALSE)</f>
        <v>3841</v>
      </c>
      <c r="G12" s="167">
        <f t="shared" si="0"/>
        <v>0.40991152000000008</v>
      </c>
      <c r="H12" s="95">
        <v>3508.01</v>
      </c>
      <c r="I12" s="167">
        <f t="shared" si="1"/>
        <v>0.37437482720000009</v>
      </c>
      <c r="J12" s="250">
        <f t="shared" si="2"/>
        <v>9.4922762477871885</v>
      </c>
      <c r="K12" s="178">
        <f t="shared" si="3"/>
        <v>1.0672000000000002E-4</v>
      </c>
      <c r="L12" s="178">
        <f t="shared" si="4"/>
        <v>0.39035839999999999</v>
      </c>
      <c r="M12" s="1231">
        <f t="shared" si="5"/>
        <v>1499.3666143999999</v>
      </c>
    </row>
    <row r="13" spans="2:13" ht="15" customHeight="1" x14ac:dyDescent="0.25">
      <c r="B13" s="165">
        <f>VLOOKUP(C13,[1]Hoja1!$B$2:$C$260,2,FALSE)</f>
        <v>121007</v>
      </c>
      <c r="C13" s="154" t="s">
        <v>821</v>
      </c>
      <c r="D13" s="143">
        <v>5.4677957487273238E-4</v>
      </c>
      <c r="E13" s="96">
        <v>0.40987974128390725</v>
      </c>
      <c r="F13" s="107">
        <f>VLOOKUP(B13,[2]Hoja1!$C$2:$E$279,3,FALSE)</f>
        <v>16905</v>
      </c>
      <c r="G13" s="167">
        <f t="shared" si="0"/>
        <v>9.2433087132235414</v>
      </c>
      <c r="H13" s="880">
        <v>16100</v>
      </c>
      <c r="I13" s="167">
        <f t="shared" si="1"/>
        <v>8.8031511554509905</v>
      </c>
      <c r="J13" s="250">
        <f t="shared" si="2"/>
        <v>5</v>
      </c>
      <c r="K13" s="178">
        <f t="shared" si="3"/>
        <v>5.4677957487273238E-4</v>
      </c>
      <c r="L13" s="178">
        <f t="shared" si="4"/>
        <v>1.9999999999999996</v>
      </c>
      <c r="M13" s="1231">
        <f t="shared" si="5"/>
        <v>33809.999999999993</v>
      </c>
    </row>
    <row r="14" spans="2:13" ht="15" customHeight="1" x14ac:dyDescent="0.25">
      <c r="B14" s="165">
        <f>VLOOKUP(C14,[1]Hoja1!$B$2:$C$260,2,FALSE)</f>
        <v>1240002</v>
      </c>
      <c r="C14" s="154" t="s">
        <v>1140</v>
      </c>
      <c r="D14" s="143">
        <v>4.1828637477764032E-4</v>
      </c>
      <c r="E14" s="96">
        <v>0.31355800208218909</v>
      </c>
      <c r="F14" s="107">
        <f>VLOOKUP(B14,[2]Hoja1!$C$2:$E$279,3,FALSE)</f>
        <v>66115.8</v>
      </c>
      <c r="G14" s="167">
        <f t="shared" si="0"/>
        <v>27.655338297523514</v>
      </c>
      <c r="H14" s="914">
        <v>70840.75</v>
      </c>
      <c r="I14" s="167">
        <f t="shared" si="1"/>
        <v>29.631720504029122</v>
      </c>
      <c r="J14" s="250">
        <f t="shared" si="2"/>
        <v>-6.6698192777461998</v>
      </c>
      <c r="K14" s="178">
        <f t="shared" si="3"/>
        <v>4.1828637477764032E-4</v>
      </c>
      <c r="L14" s="178">
        <f t="shared" si="4"/>
        <v>1.53</v>
      </c>
      <c r="M14" s="1231">
        <f t="shared" si="5"/>
        <v>101157.174</v>
      </c>
    </row>
    <row r="15" spans="2:13" ht="15" customHeight="1" x14ac:dyDescent="0.25">
      <c r="B15" s="165">
        <f>VLOOKUP(C15,[1]Hoja1!$B$2:$C$260,2,FALSE)</f>
        <v>1220014</v>
      </c>
      <c r="C15" s="154" t="s">
        <v>1146</v>
      </c>
      <c r="D15" s="143">
        <v>6.1540041151926029E-4</v>
      </c>
      <c r="E15" s="96">
        <v>0.46131964881503762</v>
      </c>
      <c r="F15" s="107">
        <f>VLOOKUP(B15,[2]Hoja1!$C$2:$E$279,3,FALSE)</f>
        <v>14060</v>
      </c>
      <c r="G15" s="167">
        <f t="shared" si="0"/>
        <v>8.6525297859607999</v>
      </c>
      <c r="H15" s="914">
        <v>13300.01</v>
      </c>
      <c r="I15" s="167">
        <f t="shared" si="1"/>
        <v>8.1848316272102775</v>
      </c>
      <c r="J15" s="250">
        <f t="shared" si="2"/>
        <v>5.7142062299201086</v>
      </c>
      <c r="K15" s="178">
        <f t="shared" si="3"/>
        <v>6.1540041151926029E-4</v>
      </c>
      <c r="L15" s="178">
        <f t="shared" si="4"/>
        <v>2.2509999999999994</v>
      </c>
      <c r="M15" s="1231">
        <f t="shared" si="5"/>
        <v>31649.05999999999</v>
      </c>
    </row>
    <row r="16" spans="2:13" ht="15" customHeight="1" x14ac:dyDescent="0.25">
      <c r="B16" s="165">
        <f>VLOOKUP(C16,[1]Hoja1!$B$2:$C$260,2,FALSE)</f>
        <v>1220009</v>
      </c>
      <c r="C16" s="154" t="s">
        <v>1133</v>
      </c>
      <c r="D16" s="143">
        <v>2.7338978743636625E-5</v>
      </c>
      <c r="E16" s="96">
        <v>2.0493987064195366E-2</v>
      </c>
      <c r="F16" s="107">
        <f>VLOOKUP(B16,[2]Hoja1!$C$2:$E$279,3,FALSE)</f>
        <v>21312.16</v>
      </c>
      <c r="G16" s="167">
        <f t="shared" si="0"/>
        <v>0.58265268922098268</v>
      </c>
      <c r="H16" s="95">
        <v>20299</v>
      </c>
      <c r="I16" s="167">
        <f t="shared" si="1"/>
        <v>0.55495392951707989</v>
      </c>
      <c r="J16" s="250">
        <f t="shared" si="2"/>
        <v>4.9911818316173253</v>
      </c>
      <c r="K16" s="178">
        <f t="shared" si="3"/>
        <v>2.7338978743636625E-5</v>
      </c>
      <c r="L16" s="178">
        <f t="shared" si="4"/>
        <v>0.1</v>
      </c>
      <c r="M16" s="1231">
        <f t="shared" si="5"/>
        <v>2131.2159999999999</v>
      </c>
    </row>
    <row r="17" spans="2:13" ht="15" customHeight="1" x14ac:dyDescent="0.25">
      <c r="B17" s="165">
        <f>VLOOKUP(C17,[1]Hoja1!$B$2:$C$260,2,FALSE)</f>
        <v>1210003</v>
      </c>
      <c r="C17" s="154" t="s">
        <v>1143</v>
      </c>
      <c r="D17" s="143">
        <v>6.2879651110364225E-5</v>
      </c>
      <c r="E17" s="96">
        <v>4.7136170247649337E-2</v>
      </c>
      <c r="F17" s="107">
        <f>VLOOKUP(B17,[2]Hoja1!$C$2:$E$279,3,FALSE)</f>
        <v>16235.45</v>
      </c>
      <c r="G17" s="167">
        <f t="shared" si="0"/>
        <v>1.0208794316197629</v>
      </c>
      <c r="H17" s="914">
        <v>12852.58</v>
      </c>
      <c r="I17" s="167">
        <f t="shared" si="1"/>
        <v>0.80816574626804505</v>
      </c>
      <c r="J17" s="250">
        <f t="shared" si="2"/>
        <v>26.320551982559152</v>
      </c>
      <c r="K17" s="178">
        <f t="shared" si="3"/>
        <v>6.2879651110364225E-5</v>
      </c>
      <c r="L17" s="178">
        <f t="shared" si="4"/>
        <v>0.22999999999999998</v>
      </c>
      <c r="M17" s="1231">
        <f t="shared" si="5"/>
        <v>3734.1534999999999</v>
      </c>
    </row>
    <row r="18" spans="2:13" ht="15" customHeight="1" x14ac:dyDescent="0.25">
      <c r="B18" s="165">
        <f>VLOOKUP(C18,[1]Hoja1!$B$2:$C$260,2,FALSE)</f>
        <v>1260005</v>
      </c>
      <c r="C18" s="154" t="s">
        <v>811</v>
      </c>
      <c r="D18" s="143">
        <v>8.2016936230909851E-5</v>
      </c>
      <c r="E18" s="96">
        <v>6.1481961192586088E-2</v>
      </c>
      <c r="F18" s="107">
        <f>VLOOKUP(B18,[2]Hoja1!$C$2:$E$279,3,FALSE)</f>
        <v>26429</v>
      </c>
      <c r="G18" s="167">
        <f t="shared" si="0"/>
        <v>2.1676256076467166</v>
      </c>
      <c r="H18" s="25">
        <v>25850</v>
      </c>
      <c r="I18" s="167">
        <f t="shared" si="1"/>
        <v>2.1201378015690198</v>
      </c>
      <c r="J18" s="250">
        <f t="shared" si="2"/>
        <v>2.2398452611218715</v>
      </c>
      <c r="K18" s="178">
        <f t="shared" si="3"/>
        <v>8.2016936230909851E-5</v>
      </c>
      <c r="L18" s="178">
        <f t="shared" si="4"/>
        <v>0.29999999999999993</v>
      </c>
      <c r="M18" s="1231">
        <f t="shared" si="5"/>
        <v>7928.699999999998</v>
      </c>
    </row>
    <row r="19" spans="2:13" ht="15" customHeight="1" x14ac:dyDescent="0.25">
      <c r="B19" s="165">
        <f>VLOOKUP(C19,[1]Hoja1!$B$2:$C$260,2,FALSE)</f>
        <v>1220005</v>
      </c>
      <c r="C19" s="154" t="s">
        <v>1135</v>
      </c>
      <c r="D19" s="143">
        <v>2.7338978743636625E-5</v>
      </c>
      <c r="E19" s="96">
        <v>2.0493987064195366E-2</v>
      </c>
      <c r="F19" s="107">
        <f>VLOOKUP(B19,[2]Hoja1!$C$2:$E$279,3,FALSE)</f>
        <v>17429.990000000002</v>
      </c>
      <c r="G19" s="167">
        <f t="shared" si="0"/>
        <v>0.476518126111799</v>
      </c>
      <c r="H19" s="880">
        <v>17430</v>
      </c>
      <c r="I19" s="167">
        <f t="shared" si="1"/>
        <v>0.47651839950158636</v>
      </c>
      <c r="J19" s="250">
        <f t="shared" si="2"/>
        <v>-5.7372346518036466E-5</v>
      </c>
      <c r="K19" s="178">
        <f t="shared" si="3"/>
        <v>2.7338978743636625E-5</v>
      </c>
      <c r="L19" s="178">
        <f t="shared" si="4"/>
        <v>0.1</v>
      </c>
      <c r="M19" s="1231">
        <f t="shared" si="5"/>
        <v>1742.9990000000003</v>
      </c>
    </row>
    <row r="20" spans="2:13" ht="15" customHeight="1" x14ac:dyDescent="0.25">
      <c r="B20" s="165">
        <f>VLOOKUP(C20,[1]Hoja1!$B$2:$C$260,2,FALSE)</f>
        <v>1220007</v>
      </c>
      <c r="C20" s="154" t="s">
        <v>916</v>
      </c>
      <c r="D20" s="143">
        <v>8.2016936230909851E-5</v>
      </c>
      <c r="E20" s="96">
        <v>6.1481961192586088E-2</v>
      </c>
      <c r="F20" s="107">
        <f>VLOOKUP(B20,[2]Hoja1!$C$2:$E$279,3,FALSE)</f>
        <v>60081.72</v>
      </c>
      <c r="G20" s="167">
        <f t="shared" si="0"/>
        <v>4.9277185978833815</v>
      </c>
      <c r="H20" s="106">
        <v>56748.6</v>
      </c>
      <c r="I20" s="167">
        <f t="shared" si="1"/>
        <v>4.6543463073934106</v>
      </c>
      <c r="J20" s="250">
        <f t="shared" si="2"/>
        <v>5.8734841035726078</v>
      </c>
      <c r="K20" s="178">
        <f t="shared" si="3"/>
        <v>8.2016936230909851E-5</v>
      </c>
      <c r="L20" s="178">
        <f t="shared" si="4"/>
        <v>0.29999999999999993</v>
      </c>
      <c r="M20" s="1231">
        <f t="shared" si="5"/>
        <v>18024.515999999996</v>
      </c>
    </row>
    <row r="21" spans="2:13" ht="15" customHeight="1" x14ac:dyDescent="0.25">
      <c r="B21" s="165">
        <f>VLOOKUP(C21,[1]Hoja1!$B$2:$C$260,2,FALSE)</f>
        <v>1220010</v>
      </c>
      <c r="C21" s="154" t="s">
        <v>1144</v>
      </c>
      <c r="D21" s="143">
        <v>8.4750834105273517E-4</v>
      </c>
      <c r="E21" s="96">
        <v>0.63531359899005624</v>
      </c>
      <c r="F21" s="107">
        <f>VLOOKUP(B21,[2]Hoja1!$C$2:$E$279,3,FALSE)</f>
        <v>4744.72</v>
      </c>
      <c r="G21" s="167">
        <f t="shared" si="0"/>
        <v>4.0211897759597335</v>
      </c>
      <c r="H21" s="866">
        <v>9381</v>
      </c>
      <c r="I21" s="167">
        <f t="shared" si="1"/>
        <v>7.9504757474157088</v>
      </c>
      <c r="J21" s="250">
        <f t="shared" si="2"/>
        <v>-49.42202323846071</v>
      </c>
      <c r="K21" s="178">
        <f t="shared" si="3"/>
        <v>8.4750834105273517E-4</v>
      </c>
      <c r="L21" s="178">
        <f t="shared" si="4"/>
        <v>3.0999999999999996</v>
      </c>
      <c r="M21" s="1231">
        <f t="shared" si="5"/>
        <v>14708.632</v>
      </c>
    </row>
    <row r="22" spans="2:13" ht="15" customHeight="1" x14ac:dyDescent="0.25">
      <c r="B22" s="165">
        <f>VLOOKUP(C22,[1]Hoja1!$B$2:$C$260,2,FALSE)</f>
        <v>1270004</v>
      </c>
      <c r="C22" s="231" t="s">
        <v>1032</v>
      </c>
      <c r="D22" s="143">
        <v>5.467795748727325E-5</v>
      </c>
      <c r="E22" s="96">
        <v>4.0987974128390732E-2</v>
      </c>
      <c r="F22" s="107">
        <f>VLOOKUP(B22,[2]Hoja1!$C$2:$E$279,3,FALSE)</f>
        <v>50662</v>
      </c>
      <c r="G22" s="167">
        <f t="shared" si="0"/>
        <v>2.7700946822202375</v>
      </c>
      <c r="H22" s="866">
        <v>53849.37</v>
      </c>
      <c r="I22" s="167">
        <f t="shared" si="1"/>
        <v>2.9443735635764479</v>
      </c>
      <c r="J22" s="250">
        <f t="shared" si="2"/>
        <v>-5.9190478922966179</v>
      </c>
      <c r="K22" s="178">
        <f t="shared" si="3"/>
        <v>5.467795748727325E-5</v>
      </c>
      <c r="L22" s="178">
        <f t="shared" si="4"/>
        <v>0.2</v>
      </c>
      <c r="M22" s="1231">
        <f t="shared" si="5"/>
        <v>10132.400000000001</v>
      </c>
    </row>
    <row r="23" spans="2:13" hidden="1" x14ac:dyDescent="0.25">
      <c r="B23" s="154"/>
      <c r="C23" s="154"/>
      <c r="D23" s="204"/>
      <c r="E23" s="154"/>
      <c r="F23" s="107" t="e">
        <f>VLOOKUP(B23,[2]Hoja1!$C$2:$E$279,3,FALSE)</f>
        <v>#N/A</v>
      </c>
      <c r="G23" s="154"/>
      <c r="H23" s="95" t="e">
        <v>#N/A</v>
      </c>
      <c r="I23" s="96"/>
      <c r="J23" s="233"/>
    </row>
    <row r="24" spans="2:13" s="146" customFormat="1" ht="16.5" x14ac:dyDescent="0.25">
      <c r="B24" s="1780" t="s">
        <v>37</v>
      </c>
      <c r="C24" s="1780"/>
      <c r="D24" s="1329">
        <f>SUM(D5:D22)</f>
        <v>0.13339389783058855</v>
      </c>
      <c r="E24" s="1330">
        <f>SUM(E5:E22)</f>
        <v>99.995425660111309</v>
      </c>
      <c r="F24" s="1330"/>
      <c r="G24" s="1330">
        <f>SUM(G5:G22)</f>
        <v>1308.6400379216984</v>
      </c>
      <c r="H24" s="1330"/>
      <c r="I24" s="1330">
        <f>SUM(I5:I22)</f>
        <v>1543.5440696289072</v>
      </c>
      <c r="J24" s="1331">
        <f>((G24/I24)*100)-100</f>
        <v>-15.218485583225601</v>
      </c>
      <c r="K24" s="1341"/>
      <c r="L24" s="1341">
        <f>SUM(L5:L22)</f>
        <v>487.92567960000002</v>
      </c>
      <c r="M24" s="1405">
        <f>SUM(M5:M22)</f>
        <v>4786718.8097737385</v>
      </c>
    </row>
    <row r="26" spans="2:13" ht="25.5" x14ac:dyDescent="0.25">
      <c r="B26" s="1765" t="s">
        <v>50</v>
      </c>
      <c r="C26" s="1766"/>
      <c r="D26" s="38">
        <f>+C29+(C29*C35%)</f>
        <v>133.4</v>
      </c>
      <c r="E26" s="159"/>
      <c r="F26" s="159"/>
      <c r="G26" s="159"/>
      <c r="H26" s="159"/>
      <c r="I26" s="159"/>
      <c r="J26" s="159"/>
    </row>
    <row r="27" spans="2:13" x14ac:dyDescent="0.25">
      <c r="B27" s="1284" t="s">
        <v>38</v>
      </c>
      <c r="C27" s="161" t="s">
        <v>123</v>
      </c>
      <c r="D27" s="146"/>
      <c r="H27" s="146"/>
    </row>
    <row r="28" spans="2:13" x14ac:dyDescent="0.25">
      <c r="B28" s="1285" t="s">
        <v>39</v>
      </c>
      <c r="C28" s="163" t="s">
        <v>324</v>
      </c>
      <c r="D28" s="146"/>
      <c r="H28" s="146"/>
    </row>
    <row r="29" spans="2:13" x14ac:dyDescent="0.25">
      <c r="B29" s="1285" t="s">
        <v>40</v>
      </c>
      <c r="C29" s="163">
        <v>115</v>
      </c>
      <c r="D29" s="146"/>
      <c r="H29" s="146"/>
    </row>
    <row r="30" spans="2:13" x14ac:dyDescent="0.25">
      <c r="B30" s="1285" t="s">
        <v>41</v>
      </c>
      <c r="C30" s="163">
        <v>0</v>
      </c>
      <c r="D30" s="146"/>
      <c r="H30" s="146"/>
    </row>
    <row r="31" spans="2:13" x14ac:dyDescent="0.25">
      <c r="B31" s="1285" t="s">
        <v>42</v>
      </c>
      <c r="C31" s="163">
        <v>9</v>
      </c>
      <c r="D31" s="146"/>
      <c r="H31" s="146"/>
    </row>
    <row r="32" spans="2:13" x14ac:dyDescent="0.25">
      <c r="B32" s="1285" t="s">
        <v>43</v>
      </c>
      <c r="C32" s="163">
        <v>2</v>
      </c>
      <c r="D32" s="146"/>
      <c r="H32" s="146"/>
    </row>
    <row r="33" spans="2:11" x14ac:dyDescent="0.25">
      <c r="B33" s="1285" t="s">
        <v>44</v>
      </c>
      <c r="C33" s="163">
        <v>1</v>
      </c>
      <c r="D33" s="146"/>
      <c r="H33" s="146"/>
    </row>
    <row r="34" spans="2:11" x14ac:dyDescent="0.25">
      <c r="B34" s="1285" t="s">
        <v>45</v>
      </c>
      <c r="C34" s="163">
        <v>4</v>
      </c>
      <c r="D34" s="146"/>
      <c r="G34" s="120">
        <f>0.14*5</f>
        <v>0.70000000000000007</v>
      </c>
      <c r="H34" s="146"/>
    </row>
    <row r="35" spans="2:11" x14ac:dyDescent="0.25">
      <c r="B35" s="1285" t="s">
        <v>46</v>
      </c>
      <c r="C35" s="163">
        <f>C34+C33+C32+C31</f>
        <v>16</v>
      </c>
      <c r="D35" s="146"/>
      <c r="H35" s="146"/>
    </row>
    <row r="36" spans="2:11" x14ac:dyDescent="0.25">
      <c r="H36" s="159"/>
      <c r="I36" s="159"/>
    </row>
    <row r="37" spans="2:11" ht="25.5" x14ac:dyDescent="0.25">
      <c r="B37" s="1767" t="s">
        <v>47</v>
      </c>
      <c r="C37" s="1768"/>
      <c r="D37" s="1768"/>
      <c r="E37" s="1768"/>
      <c r="F37" s="1768"/>
      <c r="G37" s="1768"/>
      <c r="H37" s="1768"/>
      <c r="I37" s="1768"/>
    </row>
    <row r="38" spans="2:11" ht="25.5" x14ac:dyDescent="0.25">
      <c r="B38" s="1266" t="s">
        <v>0</v>
      </c>
      <c r="C38" s="1266" t="s">
        <v>1</v>
      </c>
      <c r="D38" s="1267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243" t="s">
        <v>3</v>
      </c>
      <c r="J38" s="146">
        <v>9148</v>
      </c>
    </row>
    <row r="39" spans="2:11" x14ac:dyDescent="0.25">
      <c r="B39" s="1648">
        <f>VLOOKUP(C39,[1]Hoja1!$B$2:$C$260,2,FALSE)</f>
        <v>1370032</v>
      </c>
      <c r="C39" s="226" t="s">
        <v>1058</v>
      </c>
      <c r="D39" s="166">
        <v>0.7</v>
      </c>
      <c r="E39" s="167">
        <f>VLOOKUP(B39,[2]Hoja1!$C$2:$E$279,3,FALSE)</f>
        <v>175.85</v>
      </c>
      <c r="F39" s="167">
        <f>E39*D39</f>
        <v>123.09499999999998</v>
      </c>
      <c r="G39" s="167">
        <v>196.65</v>
      </c>
      <c r="H39" s="167">
        <v>139.762</v>
      </c>
      <c r="I39" s="270">
        <f>((E39/G39)*100)-100</f>
        <v>-10.577167556572604</v>
      </c>
      <c r="J39" s="146">
        <f>J38*D39</f>
        <v>6403.5999999999995</v>
      </c>
    </row>
    <row r="40" spans="2:11" x14ac:dyDescent="0.25">
      <c r="B40" s="1648">
        <f>VLOOKUP(C40,[1]Hoja1!$B$2:$C$260,2,FALSE)</f>
        <v>1310018</v>
      </c>
      <c r="C40" s="226" t="s">
        <v>890</v>
      </c>
      <c r="D40" s="166">
        <v>3.6999999999999998E-2</v>
      </c>
      <c r="E40" s="167">
        <f>VLOOKUP(B40,[2]Hoja1!$C$2:$E$279,3,FALSE)</f>
        <v>478.26</v>
      </c>
      <c r="F40" s="167">
        <f>E40*D40</f>
        <v>17.695619999999998</v>
      </c>
      <c r="G40" s="871">
        <v>889</v>
      </c>
      <c r="H40" s="167">
        <v>20.616030000000002</v>
      </c>
      <c r="I40" s="270">
        <f>((E40/G40)*100)-100</f>
        <v>-46.202474690663664</v>
      </c>
      <c r="J40" s="146">
        <f>J38*D40</f>
        <v>338.476</v>
      </c>
    </row>
    <row r="41" spans="2:11" x14ac:dyDescent="0.25">
      <c r="B41" s="1648">
        <v>1330093</v>
      </c>
      <c r="C41" s="226" t="s">
        <v>1358</v>
      </c>
      <c r="D41" s="166">
        <v>1</v>
      </c>
      <c r="E41" s="167">
        <f>VLOOKUP(B41,[2]Hoja1!$C$2:$E$279,3,FALSE)</f>
        <v>137.81</v>
      </c>
      <c r="F41" s="167">
        <f>E41*D41</f>
        <v>137.81</v>
      </c>
      <c r="G41" s="1733"/>
      <c r="H41" s="167"/>
      <c r="I41" s="270"/>
      <c r="J41" s="146"/>
    </row>
    <row r="42" spans="2:11" x14ac:dyDescent="0.25">
      <c r="B42" s="1647">
        <v>1320010</v>
      </c>
      <c r="C42" s="1646" t="s">
        <v>1284</v>
      </c>
      <c r="D42" s="166">
        <v>3.6999999999999998E-2</v>
      </c>
      <c r="E42" s="167">
        <f>VLOOKUP(B42,[2]Hoja1!$C$2:$E$279,3,FALSE)</f>
        <v>741.22</v>
      </c>
      <c r="F42" s="167">
        <f>E42*D42</f>
        <v>27.425139999999999</v>
      </c>
      <c r="G42" s="24">
        <v>828.94</v>
      </c>
      <c r="H42" s="167">
        <v>31.188780000000001</v>
      </c>
      <c r="I42" s="270">
        <f>((E42/G42)*100)-100</f>
        <v>-10.582189302000145</v>
      </c>
      <c r="J42" s="146">
        <f>J38*D42</f>
        <v>338.476</v>
      </c>
    </row>
    <row r="43" spans="2:11" x14ac:dyDescent="0.25">
      <c r="B43" s="208"/>
      <c r="C43" s="226"/>
      <c r="D43" s="167"/>
      <c r="E43" s="167"/>
      <c r="F43" s="167"/>
      <c r="G43" s="167"/>
      <c r="H43" s="167">
        <v>75</v>
      </c>
      <c r="I43" s="270" t="e">
        <f>((E43/G43)*100)-100</f>
        <v>#DIV/0!</v>
      </c>
      <c r="J43" s="146">
        <f>J38*D43</f>
        <v>0</v>
      </c>
    </row>
    <row r="44" spans="2:11" x14ac:dyDescent="0.25">
      <c r="B44" s="1266"/>
      <c r="C44" s="1266" t="s">
        <v>37</v>
      </c>
      <c r="D44" s="1267"/>
      <c r="E44" s="1267"/>
      <c r="F44" s="1267">
        <f>SUM(F39:F43)</f>
        <v>306.02575999999999</v>
      </c>
      <c r="G44" s="1267"/>
      <c r="H44" s="1267">
        <f>SUM(H39:H43)</f>
        <v>266.56681000000003</v>
      </c>
      <c r="I44" s="1287">
        <f>((F44/H44)*100)-100</f>
        <v>14.802649287058628</v>
      </c>
    </row>
    <row r="45" spans="2:11" x14ac:dyDescent="0.25">
      <c r="H45" s="1" t="str">
        <f>+'CIF Y PV'!$G$1</f>
        <v>MAYO</v>
      </c>
      <c r="I45" s="205"/>
      <c r="J45" s="146"/>
      <c r="K45" s="205"/>
    </row>
    <row r="46" spans="2:11" x14ac:dyDescent="0.25">
      <c r="B46" s="1735" t="s">
        <v>788</v>
      </c>
      <c r="C46" s="1735"/>
      <c r="E46" s="899"/>
      <c r="F46" s="899"/>
      <c r="G46" s="899"/>
      <c r="H46" s="1401">
        <f>+F44+G24</f>
        <v>1614.6657979216984</v>
      </c>
      <c r="I46" s="409"/>
      <c r="J46" s="898"/>
      <c r="K46" s="409"/>
    </row>
    <row r="47" spans="2:11" x14ac:dyDescent="0.25">
      <c r="B47" s="1736" t="s">
        <v>48</v>
      </c>
      <c r="C47" s="1737"/>
      <c r="E47" s="884"/>
      <c r="F47" s="884"/>
      <c r="G47" s="884"/>
      <c r="H47" s="95">
        <f>+('CIF Y PV'!C3/1000)*115</f>
        <v>217.35</v>
      </c>
      <c r="I47" s="205"/>
      <c r="J47" s="884"/>
      <c r="K47" s="205"/>
    </row>
    <row r="48" spans="2:11" x14ac:dyDescent="0.25">
      <c r="B48" s="1736" t="s">
        <v>789</v>
      </c>
      <c r="C48" s="1737"/>
      <c r="E48" s="884"/>
      <c r="F48" s="884"/>
      <c r="G48" s="884"/>
      <c r="H48" s="95">
        <f>+H46+H47</f>
        <v>1832.0157979216983</v>
      </c>
      <c r="I48" s="206"/>
      <c r="J48" s="884"/>
      <c r="K48" s="206"/>
    </row>
    <row r="49" spans="1:11" x14ac:dyDescent="0.25">
      <c r="A49" s="1775" t="s">
        <v>1122</v>
      </c>
      <c r="B49" s="1735" t="s">
        <v>49</v>
      </c>
      <c r="C49" s="1735"/>
      <c r="E49" s="884"/>
      <c r="F49" s="884"/>
      <c r="G49" s="884"/>
      <c r="H49" s="95">
        <f>'CIF Y PV'!C44</f>
        <v>3955.3920000000003</v>
      </c>
      <c r="J49" s="884"/>
      <c r="K49" s="403"/>
    </row>
    <row r="50" spans="1:11" x14ac:dyDescent="0.2">
      <c r="A50" s="1775"/>
      <c r="B50" s="1735" t="s">
        <v>805</v>
      </c>
      <c r="C50" s="1735"/>
      <c r="E50" s="884"/>
      <c r="F50" s="884"/>
      <c r="G50" s="884"/>
      <c r="H50" s="928">
        <f>+(H49-H48)/H49</f>
        <v>0.53683078746134438</v>
      </c>
      <c r="I50" s="172"/>
      <c r="J50" s="146"/>
      <c r="K50" s="172">
        <f>1-K49</f>
        <v>1</v>
      </c>
    </row>
    <row r="51" spans="1:11" x14ac:dyDescent="0.25">
      <c r="A51" s="1775"/>
      <c r="H51" s="146"/>
      <c r="I51" s="205"/>
    </row>
    <row r="52" spans="1:11" x14ac:dyDescent="0.25">
      <c r="A52" s="1775"/>
      <c r="H52" s="146"/>
    </row>
  </sheetData>
  <mergeCells count="10">
    <mergeCell ref="A49:A52"/>
    <mergeCell ref="B50:C50"/>
    <mergeCell ref="B47:C47"/>
    <mergeCell ref="B48:C48"/>
    <mergeCell ref="B49:C49"/>
    <mergeCell ref="B2:I2"/>
    <mergeCell ref="B24:C24"/>
    <mergeCell ref="B26:C26"/>
    <mergeCell ref="B37:I37"/>
    <mergeCell ref="B46:C46"/>
  </mergeCells>
  <dataValidations disablePrompts="1" count="1">
    <dataValidation type="list" allowBlank="1" showInputMessage="1" showErrorMessage="1" sqref="C19" xr:uid="{FD3A4E2E-81D0-4BD6-892A-965EF12A4188}">
      <formula1>$AG$2:$AG$297</formula1>
    </dataValidation>
  </dataValidations>
  <pageMargins left="0.7" right="0.7" top="0.75" bottom="0.75" header="0.3" footer="0.3"/>
  <pageSetup scale="37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B674-D4E7-4EDB-BBA9-423972247414}">
  <sheetPr codeName="Hoja43"/>
  <dimension ref="B2:M52"/>
  <sheetViews>
    <sheetView view="pageBreakPreview" topLeftCell="A26" zoomScale="90" zoomScaleNormal="100" zoomScaleSheetLayoutView="90" workbookViewId="0">
      <selection activeCell="G5" sqref="G5:G22"/>
    </sheetView>
  </sheetViews>
  <sheetFormatPr baseColWidth="10" defaultColWidth="11.5703125" defaultRowHeight="13.5" x14ac:dyDescent="0.25"/>
  <cols>
    <col min="1" max="1" width="11.7109375" style="120" customWidth="1"/>
    <col min="2" max="2" width="11.5703125" style="120"/>
    <col min="3" max="3" width="67.42578125" style="120" bestFit="1" customWidth="1"/>
    <col min="4" max="5" width="11.5703125" style="120"/>
    <col min="6" max="6" width="13.5703125" style="120" bestFit="1" customWidth="1"/>
    <col min="7" max="7" width="11.5703125" style="120"/>
    <col min="8" max="8" width="12.5703125" style="120" bestFit="1" customWidth="1"/>
    <col min="9" max="9" width="14.42578125" style="120" bestFit="1" customWidth="1"/>
    <col min="10" max="10" width="12.5703125" style="120" bestFit="1" customWidth="1"/>
    <col min="11" max="12" width="11.5703125" style="120"/>
    <col min="13" max="13" width="16.28515625" style="120" customWidth="1"/>
    <col min="14" max="16384" width="11.5703125" style="120"/>
  </cols>
  <sheetData>
    <row r="2" spans="2:13" ht="25.5" x14ac:dyDescent="0.25">
      <c r="B2" s="1743" t="s">
        <v>877</v>
      </c>
      <c r="C2" s="1743"/>
      <c r="D2" s="1743"/>
      <c r="E2" s="1743"/>
      <c r="F2" s="1743"/>
      <c r="G2" s="1743"/>
      <c r="H2" s="1743"/>
      <c r="I2" s="1743"/>
    </row>
    <row r="4" spans="2:13" ht="25.5" x14ac:dyDescent="0.25">
      <c r="B4" s="1242" t="s">
        <v>0</v>
      </c>
      <c r="C4" s="1242" t="s">
        <v>1</v>
      </c>
      <c r="D4" s="1242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272">
        <f>+D26/1000</f>
        <v>0.27383999999999997</v>
      </c>
      <c r="L4" s="1272">
        <v>487.96</v>
      </c>
      <c r="M4" s="1272"/>
    </row>
    <row r="5" spans="2:13" x14ac:dyDescent="0.25">
      <c r="B5" s="165">
        <f>VLOOKUP(C5,[1]Hoja1!$B$2:$C$260,2,FALSE)</f>
        <v>2903003</v>
      </c>
      <c r="C5" s="154" t="s">
        <v>1039</v>
      </c>
      <c r="D5" s="166">
        <v>0.17678031265626662</v>
      </c>
      <c r="E5" s="805">
        <v>64.556059252215391</v>
      </c>
      <c r="F5" s="107">
        <f>VLOOKUP(B5,[2]Hoja1!$C$2:$E$279,3,FALSE)</f>
        <v>11506.13</v>
      </c>
      <c r="G5" s="167">
        <f>F5*D5</f>
        <v>2034.0572588636489</v>
      </c>
      <c r="H5" s="38">
        <v>14000</v>
      </c>
      <c r="I5" s="167">
        <f>H5*D5</f>
        <v>2474.9243771877327</v>
      </c>
      <c r="J5" s="270">
        <f t="shared" ref="J5:J22" si="0">((F5/H5)*100)-100</f>
        <v>-17.813357142857143</v>
      </c>
      <c r="K5" s="178">
        <f>$K$4*E5%</f>
        <v>0.17678031265626662</v>
      </c>
      <c r="L5" s="120">
        <f>$L$4*E5%</f>
        <v>315.0077467271102</v>
      </c>
      <c r="M5" s="1231">
        <f>L5*F5</f>
        <v>3624520.0848492044</v>
      </c>
    </row>
    <row r="6" spans="2:13" x14ac:dyDescent="0.25">
      <c r="B6" s="165">
        <f>VLOOKUP(C6,[1]Hoja1!$B$2:$C$260,2,FALSE)</f>
        <v>1121009</v>
      </c>
      <c r="C6" s="154" t="s">
        <v>1272</v>
      </c>
      <c r="D6" s="143">
        <v>1.4030183544148143E-2</v>
      </c>
      <c r="E6" s="96">
        <v>5.1234967660488406</v>
      </c>
      <c r="F6" s="107">
        <f>VLOOKUP(B6,[2]Hoja1!$C$2:$E$279,3,FALSE)</f>
        <v>8741.6200000000008</v>
      </c>
      <c r="G6" s="167">
        <f t="shared" ref="G6:G22" si="1">F6*D6</f>
        <v>122.6465330731963</v>
      </c>
      <c r="H6" s="879">
        <v>8754.2800000000007</v>
      </c>
      <c r="I6" s="167">
        <f t="shared" ref="I6:I22" si="2">H6*D6</f>
        <v>122.82415519686522</v>
      </c>
      <c r="J6" s="250">
        <f t="shared" si="0"/>
        <v>-0.14461497690273006</v>
      </c>
      <c r="K6" s="178">
        <f t="shared" ref="K6:K22" si="3">$K$4*E6%</f>
        <v>1.4030183544148143E-2</v>
      </c>
      <c r="L6" s="120">
        <f t="shared" ref="L6:L23" si="4">$L$4*E6%</f>
        <v>25.000614819611922</v>
      </c>
      <c r="M6" s="1231">
        <f t="shared" ref="M6:M22" si="5">L6*F6</f>
        <v>218545.87451941599</v>
      </c>
    </row>
    <row r="7" spans="2:13" x14ac:dyDescent="0.25">
      <c r="B7" s="165">
        <f>VLOOKUP(C7,[1]Hoja1!$B$2:$C$260,2,FALSE)</f>
        <v>2903002</v>
      </c>
      <c r="C7" s="154" t="s">
        <v>1057</v>
      </c>
      <c r="D7" s="143">
        <v>2.5815537721232587E-2</v>
      </c>
      <c r="E7" s="96">
        <v>9.4272340495298668</v>
      </c>
      <c r="F7" s="107">
        <f>VLOOKUP(B7,[2]Hoja1!$C$2:$E$279,3,FALSE)</f>
        <v>13428.98</v>
      </c>
      <c r="G7" s="167">
        <f t="shared" si="1"/>
        <v>346.67633974767796</v>
      </c>
      <c r="H7" s="879">
        <v>14706.29</v>
      </c>
      <c r="I7" s="167">
        <f t="shared" si="2"/>
        <v>379.65078423438558</v>
      </c>
      <c r="J7" s="250">
        <f t="shared" si="0"/>
        <v>-8.6854672388481475</v>
      </c>
      <c r="K7" s="178">
        <f t="shared" si="3"/>
        <v>2.5815537721232587E-2</v>
      </c>
      <c r="L7" s="120">
        <f t="shared" si="4"/>
        <v>46.001131268085942</v>
      </c>
      <c r="M7" s="1231">
        <f t="shared" si="5"/>
        <v>617748.27177650074</v>
      </c>
    </row>
    <row r="8" spans="2:13" x14ac:dyDescent="0.25">
      <c r="B8" s="165">
        <f>VLOOKUP(C8,[1]Hoja1!$B$2:$C$260,2,FALSE)</f>
        <v>1131002</v>
      </c>
      <c r="C8" s="154" t="s">
        <v>663</v>
      </c>
      <c r="D8" s="143">
        <v>4.6557199865559437E-2</v>
      </c>
      <c r="E8" s="96">
        <v>17.001606728585834</v>
      </c>
      <c r="F8" s="107">
        <f>VLOOKUP(B8,[2]Hoja1!$C$2:$E$279,3,FALSE)</f>
        <v>0</v>
      </c>
      <c r="G8" s="167">
        <f t="shared" si="1"/>
        <v>0</v>
      </c>
      <c r="H8" s="879">
        <v>0</v>
      </c>
      <c r="I8" s="167">
        <f t="shared" si="2"/>
        <v>0</v>
      </c>
      <c r="J8" s="250" t="e">
        <f t="shared" si="0"/>
        <v>#DIV/0!</v>
      </c>
      <c r="K8" s="178">
        <f t="shared" si="3"/>
        <v>4.6557199865559437E-2</v>
      </c>
      <c r="L8" s="120">
        <f t="shared" si="4"/>
        <v>82.961040192807431</v>
      </c>
      <c r="M8" s="1231">
        <f t="shared" si="5"/>
        <v>0</v>
      </c>
    </row>
    <row r="9" spans="2:13" x14ac:dyDescent="0.25">
      <c r="B9" s="165">
        <f>VLOOKUP(C9,[1]Hoja1!$B$2:$C$260,2,FALSE)</f>
        <v>1250009</v>
      </c>
      <c r="C9" s="154" t="s">
        <v>1279</v>
      </c>
      <c r="D9" s="143">
        <v>6.902850303720887E-5</v>
      </c>
      <c r="E9" s="96">
        <v>2.5207604088960296E-2</v>
      </c>
      <c r="F9" s="107">
        <f>VLOOKUP(B9,[2]Hoja1!$C$2:$E$279,3,FALSE)</f>
        <v>83551.55</v>
      </c>
      <c r="G9" s="167">
        <f t="shared" si="1"/>
        <v>5.7674384229385085</v>
      </c>
      <c r="H9" s="237">
        <v>71910.02</v>
      </c>
      <c r="I9" s="167">
        <f t="shared" si="2"/>
        <v>4.9638410339757506</v>
      </c>
      <c r="J9" s="250">
        <f t="shared" si="0"/>
        <v>16.18902344902699</v>
      </c>
      <c r="K9" s="178">
        <f t="shared" si="3"/>
        <v>6.902850303720887E-5</v>
      </c>
      <c r="L9" s="120">
        <f t="shared" si="4"/>
        <v>0.12300302491249065</v>
      </c>
      <c r="M9" s="1231">
        <f t="shared" si="5"/>
        <v>10277.09338612721</v>
      </c>
    </row>
    <row r="10" spans="2:13" x14ac:dyDescent="0.25">
      <c r="B10" s="165">
        <f>VLOOKUP(C10,[1]Hoja1!$B$2:$C$260,2,FALSE)</f>
        <v>1250004</v>
      </c>
      <c r="C10" s="154" t="s">
        <v>969</v>
      </c>
      <c r="D10" s="143">
        <v>5.3875904809528877E-5</v>
      </c>
      <c r="E10" s="96">
        <v>1.9674227581627551E-2</v>
      </c>
      <c r="F10" s="107">
        <f>VLOOKUP(B10,[2]Hoja1!$C$2:$E$279,3,FALSE)</f>
        <v>164481.95000000001</v>
      </c>
      <c r="G10" s="167">
        <f t="shared" si="1"/>
        <v>8.8616138810856881</v>
      </c>
      <c r="H10" s="106">
        <v>156520.01999999999</v>
      </c>
      <c r="I10" s="167">
        <f t="shared" si="2"/>
        <v>8.4326576983055563</v>
      </c>
      <c r="J10" s="250">
        <f t="shared" si="0"/>
        <v>5.0868444816196927</v>
      </c>
      <c r="K10" s="178">
        <f t="shared" si="3"/>
        <v>5.3875904809528877E-5</v>
      </c>
      <c r="L10" s="120">
        <f t="shared" si="4"/>
        <v>9.6002360907309792E-2</v>
      </c>
      <c r="M10" s="1231">
        <f t="shared" si="5"/>
        <v>15790.655526638086</v>
      </c>
    </row>
    <row r="11" spans="2:13" x14ac:dyDescent="0.25">
      <c r="B11" s="165">
        <f>VLOOKUP(C11,[1]Hoja1!$B$2:$C$260,2,FALSE)</f>
        <v>1210006</v>
      </c>
      <c r="C11" s="154" t="s">
        <v>1130</v>
      </c>
      <c r="D11" s="143">
        <v>4.6278959999999994E-3</v>
      </c>
      <c r="E11" s="96">
        <v>1.69</v>
      </c>
      <c r="F11" s="107">
        <f>VLOOKUP(B11,[2]Hoja1!$C$2:$E$279,3,FALSE)</f>
        <v>8904.4500000000007</v>
      </c>
      <c r="G11" s="167">
        <f t="shared" si="1"/>
        <v>41.208868537199997</v>
      </c>
      <c r="H11" s="805">
        <v>8910.1</v>
      </c>
      <c r="I11" s="167">
        <f t="shared" si="2"/>
        <v>41.2350161496</v>
      </c>
      <c r="J11" s="250">
        <f t="shared" si="0"/>
        <v>-6.3411185059649711E-2</v>
      </c>
      <c r="K11" s="178">
        <f t="shared" si="3"/>
        <v>4.6278959999999994E-3</v>
      </c>
      <c r="L11" s="120">
        <f t="shared" si="4"/>
        <v>8.2465239999999991</v>
      </c>
      <c r="M11" s="1231">
        <f t="shared" si="5"/>
        <v>73430.760631800003</v>
      </c>
    </row>
    <row r="12" spans="2:13" x14ac:dyDescent="0.25">
      <c r="B12" s="165">
        <f>VLOOKUP(C12,[1]Hoja1!$B$2:$C$260,2,FALSE)</f>
        <v>1210004</v>
      </c>
      <c r="C12" s="154" t="s">
        <v>1131</v>
      </c>
      <c r="D12" s="143">
        <v>2.1907199999999998E-4</v>
      </c>
      <c r="E12" s="96">
        <v>0.08</v>
      </c>
      <c r="F12" s="107">
        <f>VLOOKUP(B12,[2]Hoja1!$C$2:$E$279,3,FALSE)</f>
        <v>3841</v>
      </c>
      <c r="G12" s="167">
        <f t="shared" si="1"/>
        <v>0.84145555199999988</v>
      </c>
      <c r="H12" s="95">
        <v>3508.01</v>
      </c>
      <c r="I12" s="167">
        <f t="shared" si="2"/>
        <v>0.76850676671999996</v>
      </c>
      <c r="J12" s="250">
        <f t="shared" si="0"/>
        <v>9.4922762477871885</v>
      </c>
      <c r="K12" s="178">
        <f t="shared" si="3"/>
        <v>2.1907199999999998E-4</v>
      </c>
      <c r="L12" s="120">
        <f t="shared" si="4"/>
        <v>0.39036799999999999</v>
      </c>
      <c r="M12" s="1231">
        <f t="shared" si="5"/>
        <v>1499.4034879999999</v>
      </c>
    </row>
    <row r="13" spans="2:13" x14ac:dyDescent="0.25">
      <c r="B13" s="165">
        <f>VLOOKUP(C13,[1]Hoja1!$B$2:$C$260,2,FALSE)</f>
        <v>121007</v>
      </c>
      <c r="C13" s="154" t="s">
        <v>821</v>
      </c>
      <c r="D13" s="143">
        <v>1.1224146835318515E-3</v>
      </c>
      <c r="E13" s="96">
        <v>0.40987974128390725</v>
      </c>
      <c r="F13" s="107">
        <f>VLOOKUP(B13,[2]Hoja1!$C$2:$E$279,3,FALSE)</f>
        <v>16905</v>
      </c>
      <c r="G13" s="167">
        <f t="shared" si="1"/>
        <v>18.974420225105948</v>
      </c>
      <c r="H13" s="880">
        <v>16100</v>
      </c>
      <c r="I13" s="167">
        <f t="shared" si="2"/>
        <v>18.070876404862808</v>
      </c>
      <c r="J13" s="250">
        <f t="shared" si="0"/>
        <v>5</v>
      </c>
      <c r="K13" s="178">
        <f t="shared" si="3"/>
        <v>1.1224146835318515E-3</v>
      </c>
      <c r="L13" s="120">
        <f t="shared" si="4"/>
        <v>2.0000491855689537</v>
      </c>
      <c r="M13" s="1231">
        <f t="shared" si="5"/>
        <v>33810.831482043162</v>
      </c>
    </row>
    <row r="14" spans="2:13" x14ac:dyDescent="0.25">
      <c r="B14" s="165">
        <f>VLOOKUP(C14,[1]Hoja1!$B$2:$C$260,2,FALSE)</f>
        <v>1240002</v>
      </c>
      <c r="C14" s="154" t="s">
        <v>1140</v>
      </c>
      <c r="D14" s="143">
        <v>8.5864723290186656E-4</v>
      </c>
      <c r="E14" s="96">
        <v>0.31355800208218909</v>
      </c>
      <c r="F14" s="107">
        <f>VLOOKUP(B14,[2]Hoja1!$C$2:$E$279,3,FALSE)</f>
        <v>66115.8</v>
      </c>
      <c r="G14" s="167">
        <f t="shared" si="1"/>
        <v>56.770148721093229</v>
      </c>
      <c r="H14" s="914">
        <v>70840.75</v>
      </c>
      <c r="I14" s="167">
        <f t="shared" si="2"/>
        <v>60.8272139641929</v>
      </c>
      <c r="J14" s="250">
        <f t="shared" si="0"/>
        <v>-6.6698192777461998</v>
      </c>
      <c r="K14" s="178">
        <f t="shared" si="3"/>
        <v>8.5864723290186656E-4</v>
      </c>
      <c r="L14" s="120">
        <f t="shared" si="4"/>
        <v>1.5300376269602498</v>
      </c>
      <c r="M14" s="1231">
        <f t="shared" si="5"/>
        <v>101159.66173657849</v>
      </c>
    </row>
    <row r="15" spans="2:13" x14ac:dyDescent="0.25">
      <c r="B15" s="165">
        <f>VLOOKUP(C15,[1]Hoja1!$B$2:$C$260,2,FALSE)</f>
        <v>1220014</v>
      </c>
      <c r="C15" s="154" t="s">
        <v>1146</v>
      </c>
      <c r="D15" s="143">
        <v>1.2632777263150989E-3</v>
      </c>
      <c r="E15" s="96">
        <v>0.46131964881503762</v>
      </c>
      <c r="F15" s="107">
        <f>VLOOKUP(B15,[2]Hoja1!$C$2:$E$279,3,FALSE)</f>
        <v>14060</v>
      </c>
      <c r="G15" s="167">
        <f t="shared" si="1"/>
        <v>17.761684831990291</v>
      </c>
      <c r="H15" s="914">
        <v>13300.01</v>
      </c>
      <c r="I15" s="167">
        <f t="shared" si="2"/>
        <v>16.801606392768079</v>
      </c>
      <c r="J15" s="250">
        <f t="shared" si="0"/>
        <v>5.7142062299201086</v>
      </c>
      <c r="K15" s="178">
        <f t="shared" si="3"/>
        <v>1.2632777263150989E-3</v>
      </c>
      <c r="L15" s="120">
        <f t="shared" si="4"/>
        <v>2.2510553583578572</v>
      </c>
      <c r="M15" s="1231">
        <f t="shared" si="5"/>
        <v>31649.838338511472</v>
      </c>
    </row>
    <row r="16" spans="2:13" x14ac:dyDescent="0.25">
      <c r="B16" s="165">
        <f>VLOOKUP(C16,[1]Hoja1!$B$2:$C$260,2,FALSE)</f>
        <v>1220009</v>
      </c>
      <c r="C16" s="154" t="s">
        <v>1133</v>
      </c>
      <c r="D16" s="143">
        <v>5.6120734176592586E-5</v>
      </c>
      <c r="E16" s="96">
        <v>2.0493987064195366E-2</v>
      </c>
      <c r="F16" s="107">
        <f>VLOOKUP(B16,[2]Hoja1!$C$2:$E$279,3,FALSE)</f>
        <v>21312.16</v>
      </c>
      <c r="G16" s="167">
        <f t="shared" si="1"/>
        <v>1.1960540660890093</v>
      </c>
      <c r="H16" s="95">
        <v>20299</v>
      </c>
      <c r="I16" s="167">
        <f t="shared" si="2"/>
        <v>1.1391947830506528</v>
      </c>
      <c r="J16" s="250">
        <f t="shared" si="0"/>
        <v>4.9911818316173253</v>
      </c>
      <c r="K16" s="178">
        <f t="shared" si="3"/>
        <v>5.6120734176592586E-5</v>
      </c>
      <c r="L16" s="120">
        <f t="shared" si="4"/>
        <v>0.10000245927844771</v>
      </c>
      <c r="M16" s="1231">
        <f t="shared" si="5"/>
        <v>2131.2684125357623</v>
      </c>
    </row>
    <row r="17" spans="2:13" x14ac:dyDescent="0.25">
      <c r="B17" s="165">
        <f>VLOOKUP(C17,[1]Hoja1!$B$2:$C$260,2,FALSE)</f>
        <v>1210003</v>
      </c>
      <c r="C17" s="154" t="s">
        <v>1143</v>
      </c>
      <c r="D17" s="143">
        <v>1.2907768860616293E-4</v>
      </c>
      <c r="E17" s="96">
        <v>4.7136170247649337E-2</v>
      </c>
      <c r="F17" s="107">
        <f>VLOOKUP(B17,[2]Hoja1!$C$2:$E$279,3,FALSE)</f>
        <v>16235.45</v>
      </c>
      <c r="G17" s="167">
        <f t="shared" si="1"/>
        <v>2.0956343594809281</v>
      </c>
      <c r="H17" s="914">
        <v>12852.58</v>
      </c>
      <c r="I17" s="167">
        <f t="shared" si="2"/>
        <v>1.6589813190257976</v>
      </c>
      <c r="J17" s="250">
        <f t="shared" si="0"/>
        <v>26.320551982559152</v>
      </c>
      <c r="K17" s="178">
        <f t="shared" si="3"/>
        <v>1.2907768860616293E-4</v>
      </c>
      <c r="L17" s="120">
        <f t="shared" si="4"/>
        <v>0.23000565634042969</v>
      </c>
      <c r="M17" s="1231">
        <f t="shared" si="5"/>
        <v>3734.2453332322293</v>
      </c>
    </row>
    <row r="18" spans="2:13" x14ac:dyDescent="0.25">
      <c r="B18" s="165">
        <f>VLOOKUP(C18,[1]Hoja1!$B$2:$C$260,2,FALSE)</f>
        <v>1260005</v>
      </c>
      <c r="C18" s="154" t="s">
        <v>811</v>
      </c>
      <c r="D18" s="143">
        <v>1.6836220252977772E-4</v>
      </c>
      <c r="E18" s="96">
        <v>6.1481961192586088E-2</v>
      </c>
      <c r="F18" s="107">
        <f>VLOOKUP(B18,[2]Hoja1!$C$2:$E$279,3,FALSE)</f>
        <v>26429</v>
      </c>
      <c r="G18" s="167">
        <f t="shared" si="1"/>
        <v>4.4496446506594953</v>
      </c>
      <c r="H18" s="25">
        <v>25850</v>
      </c>
      <c r="I18" s="167">
        <f t="shared" si="2"/>
        <v>4.3521629353947544</v>
      </c>
      <c r="J18" s="250">
        <f t="shared" si="0"/>
        <v>2.2398452611218715</v>
      </c>
      <c r="K18" s="178">
        <f t="shared" si="3"/>
        <v>1.6836220252977772E-4</v>
      </c>
      <c r="L18" s="120">
        <f t="shared" si="4"/>
        <v>0.30000737783534304</v>
      </c>
      <c r="M18" s="1231">
        <f t="shared" si="5"/>
        <v>7928.8949888102807</v>
      </c>
    </row>
    <row r="19" spans="2:13" x14ac:dyDescent="0.25">
      <c r="B19" s="165">
        <f>VLOOKUP(C19,[1]Hoja1!$B$2:$C$260,2,FALSE)</f>
        <v>1220005</v>
      </c>
      <c r="C19" s="154" t="s">
        <v>1135</v>
      </c>
      <c r="D19" s="143">
        <v>5.6120734176592586E-5</v>
      </c>
      <c r="E19" s="96">
        <v>2.0493987064195366E-2</v>
      </c>
      <c r="F19" s="107">
        <f>VLOOKUP(B19,[2]Hoja1!$C$2:$E$279,3,FALSE)</f>
        <v>17429.990000000002</v>
      </c>
      <c r="G19" s="167">
        <f t="shared" si="1"/>
        <v>0.97818383549066712</v>
      </c>
      <c r="H19" s="880">
        <v>17430</v>
      </c>
      <c r="I19" s="167">
        <f t="shared" si="2"/>
        <v>0.97818439669800872</v>
      </c>
      <c r="J19" s="250">
        <f t="shared" si="0"/>
        <v>-5.7372346518036466E-5</v>
      </c>
      <c r="K19" s="178">
        <f t="shared" si="3"/>
        <v>5.6120734176592586E-5</v>
      </c>
      <c r="L19" s="120">
        <f t="shared" si="4"/>
        <v>0.10000245927844771</v>
      </c>
      <c r="M19" s="1231">
        <f t="shared" si="5"/>
        <v>1743.0418651987509</v>
      </c>
    </row>
    <row r="20" spans="2:13" x14ac:dyDescent="0.25">
      <c r="B20" s="165">
        <f>VLOOKUP(C20,[1]Hoja1!$B$2:$C$260,2,FALSE)</f>
        <v>1220007</v>
      </c>
      <c r="C20" s="154" t="s">
        <v>916</v>
      </c>
      <c r="D20" s="143">
        <v>1.6836220252977772E-4</v>
      </c>
      <c r="E20" s="96">
        <v>6.1481961192586088E-2</v>
      </c>
      <c r="F20" s="107">
        <f>VLOOKUP(B20,[2]Hoja1!$C$2:$E$279,3,FALSE)</f>
        <v>60081.72</v>
      </c>
      <c r="G20" s="167">
        <f t="shared" si="1"/>
        <v>10.115490710977397</v>
      </c>
      <c r="H20" s="106">
        <v>56748.6</v>
      </c>
      <c r="I20" s="167">
        <f t="shared" si="2"/>
        <v>9.5543192864813431</v>
      </c>
      <c r="J20" s="250">
        <f t="shared" si="0"/>
        <v>5.8734841035726078</v>
      </c>
      <c r="K20" s="178">
        <f t="shared" si="3"/>
        <v>1.6836220252977772E-4</v>
      </c>
      <c r="L20" s="120">
        <f t="shared" si="4"/>
        <v>0.30000737783534304</v>
      </c>
      <c r="M20" s="1231">
        <f t="shared" si="5"/>
        <v>18024.959273037286</v>
      </c>
    </row>
    <row r="21" spans="2:13" ht="15" x14ac:dyDescent="0.25">
      <c r="B21" s="165">
        <f>VLOOKUP(C21,[1]Hoja1!$B$2:$C$260,2,FALSE)</f>
        <v>1220010</v>
      </c>
      <c r="C21" s="154" t="s">
        <v>1144</v>
      </c>
      <c r="D21" s="143">
        <v>1.73974275947437E-3</v>
      </c>
      <c r="E21" s="96">
        <v>0.63531359899005624</v>
      </c>
      <c r="F21" s="107">
        <f>VLOOKUP(B21,[2]Hoja1!$C$2:$E$279,3,FALSE)</f>
        <v>4744.72</v>
      </c>
      <c r="G21" s="167">
        <f t="shared" si="1"/>
        <v>8.2545922657332333</v>
      </c>
      <c r="H21" s="866">
        <v>9381</v>
      </c>
      <c r="I21" s="167">
        <f t="shared" si="2"/>
        <v>16.320526826629063</v>
      </c>
      <c r="J21" s="250">
        <f t="shared" si="0"/>
        <v>-49.42202323846071</v>
      </c>
      <c r="K21" s="178">
        <f t="shared" si="3"/>
        <v>1.73974275947437E-3</v>
      </c>
      <c r="L21" s="120">
        <f t="shared" si="4"/>
        <v>3.1000762376318787</v>
      </c>
      <c r="M21" s="1231">
        <f t="shared" si="5"/>
        <v>14708.993726216728</v>
      </c>
    </row>
    <row r="22" spans="2:13" ht="15" x14ac:dyDescent="0.25">
      <c r="B22" s="165">
        <f>VLOOKUP(C22,[1]Hoja1!$B$2:$C$260,2,FALSE)</f>
        <v>1270004</v>
      </c>
      <c r="C22" s="231" t="s">
        <v>1032</v>
      </c>
      <c r="D22" s="143">
        <v>1.1224146835318517E-4</v>
      </c>
      <c r="E22" s="96">
        <v>4.0987974128390732E-2</v>
      </c>
      <c r="F22" s="107">
        <f>VLOOKUP(B22,[2]Hoja1!$C$2:$E$279,3,FALSE)</f>
        <v>50662</v>
      </c>
      <c r="G22" s="167">
        <f t="shared" si="1"/>
        <v>5.6863772697090669</v>
      </c>
      <c r="H22" s="866">
        <v>53849.37</v>
      </c>
      <c r="I22" s="167">
        <f t="shared" si="2"/>
        <v>6.0441323586939593</v>
      </c>
      <c r="J22" s="250">
        <f t="shared" si="0"/>
        <v>-5.9190478922966179</v>
      </c>
      <c r="K22" s="178">
        <f t="shared" si="3"/>
        <v>1.1224146835318517E-4</v>
      </c>
      <c r="L22" s="120">
        <f t="shared" si="4"/>
        <v>0.20000491855689542</v>
      </c>
      <c r="M22" s="1231">
        <f t="shared" si="5"/>
        <v>10132.649183929436</v>
      </c>
    </row>
    <row r="23" spans="2:13" hidden="1" x14ac:dyDescent="0.25">
      <c r="B23" s="165" t="e">
        <f>VLOOKUP(C23,[1]Hoja1!$B$2:$C$260,2,FALSE)</f>
        <v>#N/A</v>
      </c>
      <c r="C23" s="154"/>
      <c r="D23" s="204"/>
      <c r="E23" s="154"/>
      <c r="F23" s="154"/>
      <c r="G23" s="154"/>
      <c r="H23" s="95"/>
      <c r="I23" s="96"/>
      <c r="J23" s="233"/>
      <c r="L23" s="120">
        <f t="shared" si="4"/>
        <v>0</v>
      </c>
    </row>
    <row r="24" spans="2:13" s="146" customFormat="1" x14ac:dyDescent="0.25">
      <c r="B24" s="1764" t="s">
        <v>37</v>
      </c>
      <c r="C24" s="1764"/>
      <c r="D24" s="1278">
        <f>SUM(D5:D22)</f>
        <v>0.27382747362764892</v>
      </c>
      <c r="E24" s="1281">
        <f>SUM(E5:E22)</f>
        <v>99.995425660111309</v>
      </c>
      <c r="F24" s="1281"/>
      <c r="G24" s="1281">
        <f>SUM(G5:G22)</f>
        <v>2686.3417390140771</v>
      </c>
      <c r="H24" s="1281"/>
      <c r="I24" s="1281">
        <f>SUM(I5:I22)</f>
        <v>3168.5465369353828</v>
      </c>
      <c r="J24" s="1282">
        <f>((G24/I24)*100)-100</f>
        <v>-15.218485583225615</v>
      </c>
      <c r="K24" s="1283"/>
      <c r="L24" s="1283"/>
      <c r="M24" s="1311">
        <f>SUM(M5:M22)</f>
        <v>4786836.5285177818</v>
      </c>
    </row>
    <row r="26" spans="2:13" ht="25.5" x14ac:dyDescent="0.25">
      <c r="B26" s="1765" t="s">
        <v>50</v>
      </c>
      <c r="C26" s="1766"/>
      <c r="D26" s="38">
        <f>+C29+(C29*C35%)</f>
        <v>273.83999999999997</v>
      </c>
      <c r="E26" s="159"/>
      <c r="F26" s="159"/>
      <c r="G26" s="159"/>
      <c r="H26" s="159"/>
      <c r="I26" s="159"/>
      <c r="J26" s="159"/>
    </row>
    <row r="27" spans="2:13" x14ac:dyDescent="0.25">
      <c r="B27" s="1284" t="s">
        <v>38</v>
      </c>
      <c r="C27" s="161" t="s">
        <v>123</v>
      </c>
      <c r="D27" s="146"/>
      <c r="H27" s="146"/>
    </row>
    <row r="28" spans="2:13" x14ac:dyDescent="0.25">
      <c r="B28" s="1285" t="s">
        <v>39</v>
      </c>
      <c r="C28" s="163" t="s">
        <v>324</v>
      </c>
      <c r="D28" s="146"/>
      <c r="H28" s="146"/>
    </row>
    <row r="29" spans="2:13" x14ac:dyDescent="0.25">
      <c r="B29" s="1285" t="s">
        <v>40</v>
      </c>
      <c r="C29" s="163">
        <v>240</v>
      </c>
      <c r="D29" s="146"/>
      <c r="H29" s="146"/>
    </row>
    <row r="30" spans="2:13" x14ac:dyDescent="0.25">
      <c r="B30" s="1285" t="s">
        <v>41</v>
      </c>
      <c r="C30" s="163">
        <v>0</v>
      </c>
      <c r="D30" s="146"/>
      <c r="H30" s="146"/>
    </row>
    <row r="31" spans="2:13" x14ac:dyDescent="0.25">
      <c r="B31" s="1285" t="s">
        <v>42</v>
      </c>
      <c r="C31" s="163">
        <v>9</v>
      </c>
      <c r="D31" s="146"/>
      <c r="H31" s="146"/>
    </row>
    <row r="32" spans="2:13" x14ac:dyDescent="0.25">
      <c r="B32" s="1285" t="s">
        <v>43</v>
      </c>
      <c r="C32" s="163">
        <v>2</v>
      </c>
      <c r="D32" s="146"/>
      <c r="H32" s="146"/>
    </row>
    <row r="33" spans="2:11" x14ac:dyDescent="0.25">
      <c r="B33" s="1285" t="s">
        <v>44</v>
      </c>
      <c r="C33" s="163">
        <v>1</v>
      </c>
      <c r="D33" s="146"/>
      <c r="H33" s="146"/>
    </row>
    <row r="34" spans="2:11" x14ac:dyDescent="0.25">
      <c r="B34" s="1285" t="s">
        <v>45</v>
      </c>
      <c r="C34" s="163">
        <v>2.1</v>
      </c>
      <c r="D34" s="146"/>
      <c r="H34" s="146"/>
    </row>
    <row r="35" spans="2:11" x14ac:dyDescent="0.25">
      <c r="B35" s="1285" t="s">
        <v>46</v>
      </c>
      <c r="C35" s="163">
        <f>C34+C33+C32+C31</f>
        <v>14.1</v>
      </c>
      <c r="D35" s="146"/>
      <c r="H35" s="146"/>
    </row>
    <row r="36" spans="2:11" x14ac:dyDescent="0.25">
      <c r="H36" s="159"/>
      <c r="I36" s="159"/>
    </row>
    <row r="37" spans="2:11" ht="25.5" x14ac:dyDescent="0.25">
      <c r="B37" s="1767" t="s">
        <v>47</v>
      </c>
      <c r="C37" s="1768"/>
      <c r="D37" s="1768"/>
      <c r="E37" s="1768"/>
      <c r="F37" s="1768"/>
      <c r="G37" s="1768"/>
      <c r="H37" s="1768"/>
      <c r="I37" s="1768"/>
    </row>
    <row r="38" spans="2:11" ht="25.5" x14ac:dyDescent="0.25">
      <c r="B38" s="1266" t="s">
        <v>0</v>
      </c>
      <c r="C38" s="1266" t="s">
        <v>1</v>
      </c>
      <c r="D38" s="1267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243" t="s">
        <v>3</v>
      </c>
      <c r="J38" s="146">
        <v>9148</v>
      </c>
    </row>
    <row r="39" spans="2:11" x14ac:dyDescent="0.25">
      <c r="B39" s="208">
        <f>VLOOKUP(C39,[1]Hoja1!$B$2:$C$260,2,FALSE)</f>
        <v>1370007</v>
      </c>
      <c r="C39" s="165" t="s">
        <v>1038</v>
      </c>
      <c r="D39" s="166">
        <v>1.0249999999999999</v>
      </c>
      <c r="E39" s="167">
        <f>VLOOKUP(B39,[2]Hoja1!$C$2:$E$279,3,FALSE)</f>
        <v>181.76</v>
      </c>
      <c r="F39" s="167">
        <f>E39*D39</f>
        <v>186.30399999999997</v>
      </c>
      <c r="G39" s="167">
        <v>195.56</v>
      </c>
      <c r="H39" s="167">
        <f>G39*D39</f>
        <v>200.44899999999998</v>
      </c>
      <c r="I39" s="270">
        <f>((E39/G39)*100)-100</f>
        <v>-7.0566578032317437</v>
      </c>
      <c r="J39" s="146">
        <f>J38*D39</f>
        <v>9376.6999999999989</v>
      </c>
    </row>
    <row r="40" spans="2:11" x14ac:dyDescent="0.25">
      <c r="B40" s="208">
        <f>VLOOKUP(C40,[1]Hoja1!$B$2:$C$260,2,FALSE)</f>
        <v>1310018</v>
      </c>
      <c r="C40" s="226" t="s">
        <v>890</v>
      </c>
      <c r="D40" s="166">
        <v>7.4999999999999997E-2</v>
      </c>
      <c r="E40" s="167">
        <f>VLOOKUP(B40,[2]Hoja1!$C$2:$E$279,3,FALSE)</f>
        <v>478.26</v>
      </c>
      <c r="F40" s="167">
        <f>E40*D40</f>
        <v>35.869499999999995</v>
      </c>
      <c r="G40" s="871">
        <v>503.51</v>
      </c>
      <c r="H40" s="167">
        <f>G40*D40</f>
        <v>37.763249999999999</v>
      </c>
      <c r="I40" s="270">
        <f>((E40/G40)*100)-100</f>
        <v>-5.0147961311592582</v>
      </c>
      <c r="J40" s="146">
        <f>J38*D40</f>
        <v>686.1</v>
      </c>
    </row>
    <row r="41" spans="2:11" x14ac:dyDescent="0.25">
      <c r="B41" s="208">
        <v>1320010</v>
      </c>
      <c r="C41" s="226" t="s">
        <v>1284</v>
      </c>
      <c r="D41" s="166">
        <v>7.4999999999999997E-2</v>
      </c>
      <c r="E41" s="167">
        <f>VLOOKUP(B41,[2]Hoja1!$C$2:$E$279,3,FALSE)</f>
        <v>741.22</v>
      </c>
      <c r="F41" s="167">
        <f>E41*D41</f>
        <v>55.591500000000003</v>
      </c>
      <c r="G41" s="24">
        <v>828.94</v>
      </c>
      <c r="H41" s="167">
        <f>G41*D41</f>
        <v>62.170500000000004</v>
      </c>
      <c r="I41" s="270">
        <f>((E41/G41)*100)-100</f>
        <v>-10.582189302000145</v>
      </c>
      <c r="J41" s="146">
        <f>J38*D41</f>
        <v>686.1</v>
      </c>
    </row>
    <row r="42" spans="2:11" x14ac:dyDescent="0.25">
      <c r="B42" s="208">
        <f>VLOOKUP(C42,[1]Hoja1!$B$2:$C$260,2,FALSE)</f>
        <v>1330048</v>
      </c>
      <c r="C42" s="226" t="s">
        <v>895</v>
      </c>
      <c r="D42" s="167">
        <v>1</v>
      </c>
      <c r="E42" s="167">
        <f>VLOOKUP(B42,[2]Hoja1!$C$2:$E$279,3,FALSE)</f>
        <v>112</v>
      </c>
      <c r="F42" s="167">
        <f>E42*D42</f>
        <v>112</v>
      </c>
      <c r="G42" s="167">
        <v>87.62</v>
      </c>
      <c r="H42" s="167">
        <f>G42*D42</f>
        <v>87.62</v>
      </c>
      <c r="I42" s="270">
        <f>((E42/G42)*100)-100</f>
        <v>27.824697557635233</v>
      </c>
      <c r="J42" s="146">
        <f>J38*D42</f>
        <v>9148</v>
      </c>
    </row>
    <row r="43" spans="2:11" x14ac:dyDescent="0.25">
      <c r="B43" s="208">
        <f>VLOOKUP(C43,[1]Hoja1!$B$2:$C$260,2,FALSE)</f>
        <v>1330040</v>
      </c>
      <c r="C43" s="226" t="s">
        <v>1002</v>
      </c>
      <c r="D43" s="672">
        <v>1</v>
      </c>
      <c r="E43" s="167">
        <f>VLOOKUP(B43,[2]Hoja1!$C$2:$E$279,3,FALSE)</f>
        <v>123.19</v>
      </c>
      <c r="F43" s="167">
        <f>E43*D43</f>
        <v>123.19</v>
      </c>
      <c r="G43" s="167">
        <v>140.08000000000001</v>
      </c>
      <c r="H43" s="167">
        <f>G43*D43</f>
        <v>140.08000000000001</v>
      </c>
      <c r="I43" s="270">
        <f>((E43/G43)*100)-100</f>
        <v>-12.057395773843524</v>
      </c>
      <c r="J43" s="146"/>
    </row>
    <row r="44" spans="2:11" x14ac:dyDescent="0.25">
      <c r="B44" s="1266"/>
      <c r="C44" s="1266" t="s">
        <v>37</v>
      </c>
      <c r="D44" s="1267"/>
      <c r="E44" s="1267"/>
      <c r="F44" s="1267">
        <f>SUM(F39:F43)</f>
        <v>512.95499999999993</v>
      </c>
      <c r="G44" s="1267"/>
      <c r="H44" s="1267">
        <f>SUM(H39:H43)</f>
        <v>528.08275000000003</v>
      </c>
      <c r="I44" s="1287">
        <f>((F44/H44)*100)-100</f>
        <v>-2.8646552079196113</v>
      </c>
    </row>
    <row r="45" spans="2:11" x14ac:dyDescent="0.25">
      <c r="H45" s="1" t="str">
        <f>+'CIF Y PV'!$G$1</f>
        <v>MAYO</v>
      </c>
      <c r="I45" s="205"/>
      <c r="J45" s="146"/>
      <c r="K45" s="205"/>
    </row>
    <row r="46" spans="2:11" x14ac:dyDescent="0.25">
      <c r="B46" s="1735" t="s">
        <v>788</v>
      </c>
      <c r="C46" s="1735"/>
      <c r="E46" s="899"/>
      <c r="F46" s="899"/>
      <c r="G46" s="899"/>
      <c r="H46" s="898">
        <f>+F44+G24</f>
        <v>3199.296739014077</v>
      </c>
      <c r="I46" s="409"/>
      <c r="J46" s="898"/>
      <c r="K46" s="409"/>
    </row>
    <row r="47" spans="2:11" x14ac:dyDescent="0.25">
      <c r="B47" s="1736" t="s">
        <v>48</v>
      </c>
      <c r="C47" s="1737"/>
      <c r="E47" s="884"/>
      <c r="F47" s="884"/>
      <c r="G47" s="884"/>
      <c r="H47" s="884">
        <f>+('CIF Y PV'!C3/1000)*240</f>
        <v>453.59999999999997</v>
      </c>
      <c r="I47" s="205"/>
      <c r="J47" s="884"/>
      <c r="K47" s="205"/>
    </row>
    <row r="48" spans="2:11" x14ac:dyDescent="0.25">
      <c r="B48" s="1736" t="s">
        <v>789</v>
      </c>
      <c r="C48" s="1737"/>
      <c r="E48" s="884"/>
      <c r="F48" s="884"/>
      <c r="G48" s="884"/>
      <c r="H48" s="884">
        <f>+H46+H47</f>
        <v>3652.896739014077</v>
      </c>
      <c r="I48" s="206"/>
      <c r="J48" s="884"/>
      <c r="K48" s="206"/>
    </row>
    <row r="49" spans="2:11" x14ac:dyDescent="0.25">
      <c r="B49" s="1735" t="s">
        <v>49</v>
      </c>
      <c r="C49" s="1735"/>
      <c r="E49" s="884"/>
      <c r="F49" s="884"/>
      <c r="G49" s="884"/>
      <c r="H49" s="884">
        <f>'CIF Y PV'!C41</f>
        <v>7883.5884999999998</v>
      </c>
      <c r="J49" s="884"/>
      <c r="K49" s="403"/>
    </row>
    <row r="50" spans="2:11" x14ac:dyDescent="0.2">
      <c r="B50" s="1735" t="s">
        <v>805</v>
      </c>
      <c r="C50" s="1735"/>
      <c r="E50" s="884"/>
      <c r="F50" s="884"/>
      <c r="G50" s="884"/>
      <c r="H50" s="928">
        <f>+(H49-H48)/H49</f>
        <v>0.5366454325953115</v>
      </c>
      <c r="I50" s="172"/>
      <c r="J50" s="146"/>
      <c r="K50" s="172">
        <f>1-K49</f>
        <v>1</v>
      </c>
    </row>
    <row r="51" spans="2:11" x14ac:dyDescent="0.25">
      <c r="H51" s="146"/>
      <c r="I51" s="205"/>
    </row>
    <row r="52" spans="2:11" x14ac:dyDescent="0.25">
      <c r="H52" s="146"/>
    </row>
  </sheetData>
  <mergeCells count="9">
    <mergeCell ref="B48:C48"/>
    <mergeCell ref="B49:C49"/>
    <mergeCell ref="B50:C50"/>
    <mergeCell ref="B2:I2"/>
    <mergeCell ref="B24:C24"/>
    <mergeCell ref="B26:C26"/>
    <mergeCell ref="B37:I37"/>
    <mergeCell ref="B46:C46"/>
    <mergeCell ref="B47:C47"/>
  </mergeCells>
  <dataValidations disablePrompts="1" count="1">
    <dataValidation type="list" allowBlank="1" showInputMessage="1" showErrorMessage="1" sqref="C19" xr:uid="{4B1DAB97-AC23-4540-B4B7-61281FAA78EF}">
      <formula1>$AG$2:$AG$297</formula1>
    </dataValidation>
  </dataValidations>
  <pageMargins left="0.7" right="0.7" top="0.75" bottom="0.75" header="0.3" footer="0.3"/>
  <pageSetup scale="3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EDB9-F8B9-49F7-8F86-63F3362C86AC}">
  <sheetPr codeName="Hoja44">
    <tabColor rgb="FF7030A0"/>
  </sheetPr>
  <dimension ref="B2:L52"/>
  <sheetViews>
    <sheetView view="pageBreakPreview" topLeftCell="A26" zoomScale="90" zoomScaleNormal="100" zoomScaleSheetLayoutView="90" workbookViewId="0">
      <selection activeCell="D47" sqref="D47"/>
    </sheetView>
  </sheetViews>
  <sheetFormatPr baseColWidth="10" defaultColWidth="11.5703125" defaultRowHeight="13.5" x14ac:dyDescent="0.25"/>
  <cols>
    <col min="1" max="2" width="11.5703125" style="120"/>
    <col min="3" max="3" width="58.7109375" style="120" customWidth="1"/>
    <col min="4" max="5" width="11.5703125" style="120" customWidth="1"/>
    <col min="6" max="6" width="12.7109375" style="120" customWidth="1"/>
    <col min="7" max="7" width="11.5703125" style="120" customWidth="1"/>
    <col min="8" max="8" width="12.5703125" style="120" customWidth="1"/>
    <col min="9" max="9" width="14.42578125" style="120" customWidth="1"/>
    <col min="10" max="10" width="12.5703125" style="120" customWidth="1"/>
    <col min="11" max="11" width="11.5703125" style="120" customWidth="1"/>
    <col min="12" max="12" width="16" style="120" customWidth="1"/>
    <col min="13" max="16384" width="11.5703125" style="120"/>
  </cols>
  <sheetData>
    <row r="2" spans="2:12" ht="25.5" x14ac:dyDescent="0.25">
      <c r="B2" s="1743" t="s">
        <v>233</v>
      </c>
      <c r="C2" s="1743"/>
      <c r="D2" s="1743"/>
      <c r="E2" s="1743"/>
      <c r="F2" s="1743"/>
      <c r="G2" s="1743"/>
      <c r="H2" s="1743"/>
      <c r="I2" s="1743"/>
    </row>
    <row r="4" spans="2:12" ht="25.5" x14ac:dyDescent="0.25">
      <c r="B4" s="1271" t="s">
        <v>0</v>
      </c>
      <c r="C4" s="1271" t="s">
        <v>1</v>
      </c>
      <c r="D4" s="1271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272">
        <f>+D26/1000</f>
        <v>0.54767999999999994</v>
      </c>
    </row>
    <row r="5" spans="2:12" x14ac:dyDescent="0.25">
      <c r="B5" s="154">
        <f>VLOOKUP(C5,[1]Hoja1!$B$2:$C$260,2,FALSE)</f>
        <v>2903003</v>
      </c>
      <c r="C5" s="154" t="s">
        <v>1039</v>
      </c>
      <c r="D5" s="166">
        <v>0.35356062531253324</v>
      </c>
      <c r="E5" s="805">
        <v>64.556059252215391</v>
      </c>
      <c r="F5" s="107">
        <f>VLOOKUP(B5,[2]Hoja1!$C$2:$E$279,3,FALSE)</f>
        <v>11506.13</v>
      </c>
      <c r="G5" s="167">
        <f>F5*D5</f>
        <v>4068.1145177272979</v>
      </c>
      <c r="H5" s="38">
        <v>14000</v>
      </c>
      <c r="I5" s="167">
        <f>H5*D5</f>
        <v>4949.8487543754654</v>
      </c>
      <c r="J5" s="270">
        <f>((F5/H5)*100)-100</f>
        <v>-17.813357142857143</v>
      </c>
      <c r="K5" s="119">
        <f>$K$4*E5%</f>
        <v>0.35356062531253324</v>
      </c>
    </row>
    <row r="6" spans="2:12" x14ac:dyDescent="0.25">
      <c r="B6" s="154">
        <f>VLOOKUP(C6,[1]Hoja1!$B$2:$C$260,2,FALSE)</f>
        <v>1121009</v>
      </c>
      <c r="C6" s="154" t="s">
        <v>1272</v>
      </c>
      <c r="D6" s="143">
        <v>2.8060367088296286E-2</v>
      </c>
      <c r="E6" s="96">
        <v>5.1234967660488406</v>
      </c>
      <c r="F6" s="107">
        <f>VLOOKUP(B6,[2]Hoja1!$C$2:$E$279,3,FALSE)</f>
        <v>8741.6200000000008</v>
      </c>
      <c r="G6" s="167">
        <f t="shared" ref="G6:G22" si="0">F6*D6</f>
        <v>245.29306614639259</v>
      </c>
      <c r="H6" s="879">
        <v>8754.2800000000007</v>
      </c>
      <c r="I6" s="167">
        <f t="shared" ref="I6:I22" si="1">H6*D6</f>
        <v>245.64831039373044</v>
      </c>
      <c r="J6" s="250">
        <f t="shared" ref="J6:J22" si="2">((F6/H6)*100)-100</f>
        <v>-0.14461497690273006</v>
      </c>
      <c r="K6" s="119">
        <f t="shared" ref="K6:K22" si="3">$K$4*E6%</f>
        <v>2.8060367088296286E-2</v>
      </c>
    </row>
    <row r="7" spans="2:12" x14ac:dyDescent="0.25">
      <c r="B7" s="154">
        <f>VLOOKUP(C7,[1]Hoja1!$B$2:$C$260,2,FALSE)</f>
        <v>2903002</v>
      </c>
      <c r="C7" s="154" t="s">
        <v>1057</v>
      </c>
      <c r="D7" s="143">
        <v>5.1631075442465174E-2</v>
      </c>
      <c r="E7" s="96">
        <v>9.4272340495298668</v>
      </c>
      <c r="F7" s="107">
        <f>VLOOKUP(B7,[2]Hoja1!$C$2:$E$279,3,FALSE)</f>
        <v>13428.98</v>
      </c>
      <c r="G7" s="167">
        <f t="shared" si="0"/>
        <v>693.35267949535591</v>
      </c>
      <c r="H7" s="879">
        <v>14706.29</v>
      </c>
      <c r="I7" s="167">
        <f t="shared" si="1"/>
        <v>759.30156846877117</v>
      </c>
      <c r="J7" s="250">
        <f t="shared" si="2"/>
        <v>-8.6854672388481475</v>
      </c>
      <c r="K7" s="119">
        <f t="shared" si="3"/>
        <v>5.1631075442465174E-2</v>
      </c>
    </row>
    <row r="8" spans="2:12" x14ac:dyDescent="0.25">
      <c r="B8" s="154">
        <f>VLOOKUP(C8,[1]Hoja1!$B$2:$C$260,2,FALSE)</f>
        <v>1131002</v>
      </c>
      <c r="C8" s="154" t="s">
        <v>663</v>
      </c>
      <c r="D8" s="143">
        <v>9.3114399731118874E-2</v>
      </c>
      <c r="E8" s="96">
        <v>17.001606728585834</v>
      </c>
      <c r="F8" s="107">
        <f>VLOOKUP(B8,[2]Hoja1!$C$2:$E$279,3,FALSE)</f>
        <v>0</v>
      </c>
      <c r="G8" s="167">
        <f t="shared" si="0"/>
        <v>0</v>
      </c>
      <c r="H8" s="879">
        <v>0</v>
      </c>
      <c r="I8" s="167">
        <f t="shared" si="1"/>
        <v>0</v>
      </c>
      <c r="J8" s="250" t="e">
        <f t="shared" si="2"/>
        <v>#DIV/0!</v>
      </c>
      <c r="K8" s="119">
        <f t="shared" si="3"/>
        <v>9.3114399731118874E-2</v>
      </c>
    </row>
    <row r="9" spans="2:12" x14ac:dyDescent="0.25">
      <c r="B9" s="154">
        <f>VLOOKUP(C9,[1]Hoja1!$B$2:$C$260,2,FALSE)</f>
        <v>1250009</v>
      </c>
      <c r="C9" s="154" t="s">
        <v>1279</v>
      </c>
      <c r="D9" s="143">
        <v>1.3805700607441774E-4</v>
      </c>
      <c r="E9" s="96">
        <v>2.5207604088960296E-2</v>
      </c>
      <c r="F9" s="107">
        <f>VLOOKUP(B9,[2]Hoja1!$C$2:$E$279,3,FALSE)</f>
        <v>83551.55</v>
      </c>
      <c r="G9" s="167">
        <f t="shared" si="0"/>
        <v>11.534876845877017</v>
      </c>
      <c r="H9" s="237">
        <v>71910.02</v>
      </c>
      <c r="I9" s="167">
        <f t="shared" si="1"/>
        <v>9.9276820679515012</v>
      </c>
      <c r="J9" s="250">
        <f t="shared" si="2"/>
        <v>16.18902344902699</v>
      </c>
      <c r="K9" s="119">
        <f t="shared" si="3"/>
        <v>1.3805700607441774E-4</v>
      </c>
      <c r="L9" s="920"/>
    </row>
    <row r="10" spans="2:12" x14ac:dyDescent="0.25">
      <c r="B10" s="154">
        <f>VLOOKUP(C10,[1]Hoja1!$B$2:$C$260,2,FALSE)</f>
        <v>1250004</v>
      </c>
      <c r="C10" s="154" t="s">
        <v>969</v>
      </c>
      <c r="D10" s="143">
        <v>1.0775180961905775E-4</v>
      </c>
      <c r="E10" s="96">
        <v>1.9674227581627551E-2</v>
      </c>
      <c r="F10" s="107">
        <f>VLOOKUP(B10,[2]Hoja1!$C$2:$E$279,3,FALSE)</f>
        <v>164481.95000000001</v>
      </c>
      <c r="G10" s="167">
        <f t="shared" si="0"/>
        <v>17.723227762171376</v>
      </c>
      <c r="H10" s="106">
        <v>156520.01999999999</v>
      </c>
      <c r="I10" s="167">
        <f t="shared" si="1"/>
        <v>16.865315396611113</v>
      </c>
      <c r="J10" s="250">
        <f t="shared" si="2"/>
        <v>5.0868444816196927</v>
      </c>
      <c r="K10" s="119">
        <f t="shared" si="3"/>
        <v>1.0775180961905775E-4</v>
      </c>
      <c r="L10" s="775"/>
    </row>
    <row r="11" spans="2:12" x14ac:dyDescent="0.25">
      <c r="B11" s="154">
        <f>VLOOKUP(C11,[1]Hoja1!$B$2:$C$260,2,FALSE)</f>
        <v>1210006</v>
      </c>
      <c r="C11" s="154" t="s">
        <v>1130</v>
      </c>
      <c r="D11" s="143">
        <v>9.2557919999999988E-3</v>
      </c>
      <c r="E11" s="96">
        <v>1.69</v>
      </c>
      <c r="F11" s="107">
        <f>VLOOKUP(B11,[2]Hoja1!$C$2:$E$279,3,FALSE)</f>
        <v>8904.4500000000007</v>
      </c>
      <c r="G11" s="167">
        <f t="shared" si="0"/>
        <v>82.417737074399994</v>
      </c>
      <c r="H11" s="805">
        <v>8910.1</v>
      </c>
      <c r="I11" s="167">
        <f t="shared" si="1"/>
        <v>82.4700322992</v>
      </c>
      <c r="J11" s="250">
        <f t="shared" si="2"/>
        <v>-6.3411185059649711E-2</v>
      </c>
      <c r="K11" s="119">
        <f t="shared" si="3"/>
        <v>9.2557919999999988E-3</v>
      </c>
      <c r="L11" s="920"/>
    </row>
    <row r="12" spans="2:12" x14ac:dyDescent="0.25">
      <c r="B12" s="154">
        <f>VLOOKUP(C12,[1]Hoja1!$B$2:$C$260,2,FALSE)</f>
        <v>1210004</v>
      </c>
      <c r="C12" s="154" t="s">
        <v>1131</v>
      </c>
      <c r="D12" s="143">
        <v>4.3814399999999996E-4</v>
      </c>
      <c r="E12" s="96">
        <v>0.08</v>
      </c>
      <c r="F12" s="107">
        <f>VLOOKUP(B12,[2]Hoja1!$C$2:$E$279,3,FALSE)</f>
        <v>3841</v>
      </c>
      <c r="G12" s="167">
        <f t="shared" si="0"/>
        <v>1.6829111039999998</v>
      </c>
      <c r="H12" s="95">
        <v>3508.01</v>
      </c>
      <c r="I12" s="167">
        <f t="shared" si="1"/>
        <v>1.5370135334399999</v>
      </c>
      <c r="J12" s="250">
        <f t="shared" si="2"/>
        <v>9.4922762477871885</v>
      </c>
      <c r="K12" s="119">
        <f t="shared" si="3"/>
        <v>4.3814399999999996E-4</v>
      </c>
      <c r="L12" s="775"/>
    </row>
    <row r="13" spans="2:12" x14ac:dyDescent="0.25">
      <c r="B13" s="154">
        <f>VLOOKUP(C13,[1]Hoja1!$B$2:$C$260,2,FALSE)</f>
        <v>121007</v>
      </c>
      <c r="C13" s="154" t="s">
        <v>821</v>
      </c>
      <c r="D13" s="143">
        <v>2.2448293670637031E-3</v>
      </c>
      <c r="E13" s="96">
        <v>0.40987974128390725</v>
      </c>
      <c r="F13" s="107">
        <f>VLOOKUP(B13,[2]Hoja1!$C$2:$E$279,3,FALSE)</f>
        <v>16905</v>
      </c>
      <c r="G13" s="167">
        <f t="shared" si="0"/>
        <v>37.948840450211897</v>
      </c>
      <c r="H13" s="880">
        <v>16100</v>
      </c>
      <c r="I13" s="167">
        <f t="shared" si="1"/>
        <v>36.141752809725617</v>
      </c>
      <c r="J13" s="250">
        <f t="shared" si="2"/>
        <v>5</v>
      </c>
      <c r="K13" s="119">
        <f t="shared" si="3"/>
        <v>2.2448293670637031E-3</v>
      </c>
      <c r="L13" s="775"/>
    </row>
    <row r="14" spans="2:12" x14ac:dyDescent="0.25">
      <c r="B14" s="154">
        <f>VLOOKUP(C14,[1]Hoja1!$B$2:$C$260,2,FALSE)</f>
        <v>1240002</v>
      </c>
      <c r="C14" s="154" t="s">
        <v>1140</v>
      </c>
      <c r="D14" s="143">
        <v>1.7172944658037331E-3</v>
      </c>
      <c r="E14" s="96">
        <v>0.31355800208218909</v>
      </c>
      <c r="F14" s="107">
        <f>VLOOKUP(B14,[2]Hoja1!$C$2:$E$279,3,FALSE)</f>
        <v>66115.8</v>
      </c>
      <c r="G14" s="167">
        <f t="shared" si="0"/>
        <v>113.54029744218646</v>
      </c>
      <c r="H14" s="914">
        <v>70840.75</v>
      </c>
      <c r="I14" s="167">
        <f t="shared" si="1"/>
        <v>121.6544279283858</v>
      </c>
      <c r="J14" s="250">
        <f t="shared" si="2"/>
        <v>-6.6698192777461998</v>
      </c>
      <c r="K14" s="119">
        <f t="shared" si="3"/>
        <v>1.7172944658037331E-3</v>
      </c>
    </row>
    <row r="15" spans="2:12" x14ac:dyDescent="0.25">
      <c r="B15" s="154">
        <f>VLOOKUP(C15,[1]Hoja1!$B$2:$C$260,2,FALSE)</f>
        <v>1220014</v>
      </c>
      <c r="C15" s="154" t="s">
        <v>1146</v>
      </c>
      <c r="D15" s="143">
        <v>2.5265554526301979E-3</v>
      </c>
      <c r="E15" s="96">
        <v>0.46131964881503762</v>
      </c>
      <c r="F15" s="107">
        <f>VLOOKUP(B15,[2]Hoja1!$C$2:$E$279,3,FALSE)</f>
        <v>14060</v>
      </c>
      <c r="G15" s="167">
        <f t="shared" si="0"/>
        <v>35.523369663980581</v>
      </c>
      <c r="H15" s="914">
        <v>13300.01</v>
      </c>
      <c r="I15" s="167">
        <f t="shared" si="1"/>
        <v>33.603212785536158</v>
      </c>
      <c r="J15" s="250">
        <f t="shared" si="2"/>
        <v>5.7142062299201086</v>
      </c>
      <c r="K15" s="119">
        <f t="shared" si="3"/>
        <v>2.5265554526301979E-3</v>
      </c>
      <c r="L15" s="761"/>
    </row>
    <row r="16" spans="2:12" x14ac:dyDescent="0.25">
      <c r="B16" s="154">
        <f>VLOOKUP(C16,[1]Hoja1!$B$2:$C$260,2,FALSE)</f>
        <v>1220009</v>
      </c>
      <c r="C16" s="154" t="s">
        <v>1133</v>
      </c>
      <c r="D16" s="143">
        <v>1.1224146835318517E-4</v>
      </c>
      <c r="E16" s="96">
        <v>2.0493987064195366E-2</v>
      </c>
      <c r="F16" s="107">
        <f>VLOOKUP(B16,[2]Hoja1!$C$2:$E$279,3,FALSE)</f>
        <v>21312.16</v>
      </c>
      <c r="G16" s="167">
        <f t="shared" si="0"/>
        <v>2.3921081321780187</v>
      </c>
      <c r="H16" s="95">
        <v>20299</v>
      </c>
      <c r="I16" s="167">
        <f t="shared" si="1"/>
        <v>2.2783895661013056</v>
      </c>
      <c r="J16" s="250">
        <f t="shared" si="2"/>
        <v>4.9911818316173253</v>
      </c>
      <c r="K16" s="119">
        <f t="shared" si="3"/>
        <v>1.1224146835318517E-4</v>
      </c>
    </row>
    <row r="17" spans="2:11" x14ac:dyDescent="0.25">
      <c r="B17" s="154">
        <f>VLOOKUP(C17,[1]Hoja1!$B$2:$C$260,2,FALSE)</f>
        <v>1210003</v>
      </c>
      <c r="C17" s="154" t="s">
        <v>1143</v>
      </c>
      <c r="D17" s="143">
        <v>2.5815537721232587E-4</v>
      </c>
      <c r="E17" s="96">
        <v>4.7136170247649337E-2</v>
      </c>
      <c r="F17" s="107">
        <f>VLOOKUP(B17,[2]Hoja1!$C$2:$E$279,3,FALSE)</f>
        <v>16235.45</v>
      </c>
      <c r="G17" s="167">
        <f t="shared" si="0"/>
        <v>4.1912687189618563</v>
      </c>
      <c r="H17" s="914">
        <v>12852.58</v>
      </c>
      <c r="I17" s="167">
        <f t="shared" si="1"/>
        <v>3.3179626380515952</v>
      </c>
      <c r="J17" s="250">
        <f t="shared" si="2"/>
        <v>26.320551982559152</v>
      </c>
      <c r="K17" s="119">
        <f t="shared" si="3"/>
        <v>2.5815537721232587E-4</v>
      </c>
    </row>
    <row r="18" spans="2:11" x14ac:dyDescent="0.25">
      <c r="B18" s="154">
        <f>VLOOKUP(C18,[1]Hoja1!$B$2:$C$260,2,FALSE)</f>
        <v>1260005</v>
      </c>
      <c r="C18" s="154" t="s">
        <v>811</v>
      </c>
      <c r="D18" s="143">
        <v>3.3672440505955545E-4</v>
      </c>
      <c r="E18" s="96">
        <v>6.1481961192586088E-2</v>
      </c>
      <c r="F18" s="107">
        <f>VLOOKUP(B18,[2]Hoja1!$C$2:$E$279,3,FALSE)</f>
        <v>26429</v>
      </c>
      <c r="G18" s="167">
        <f t="shared" si="0"/>
        <v>8.8992893013189907</v>
      </c>
      <c r="H18" s="25">
        <v>25850</v>
      </c>
      <c r="I18" s="167">
        <f t="shared" si="1"/>
        <v>8.7043258707895088</v>
      </c>
      <c r="J18" s="250">
        <f t="shared" si="2"/>
        <v>2.2398452611218715</v>
      </c>
      <c r="K18" s="119">
        <f t="shared" si="3"/>
        <v>3.3672440505955545E-4</v>
      </c>
    </row>
    <row r="19" spans="2:11" x14ac:dyDescent="0.25">
      <c r="B19" s="154">
        <f>VLOOKUP(C19,[1]Hoja1!$B$2:$C$260,2,FALSE)</f>
        <v>1220005</v>
      </c>
      <c r="C19" s="154" t="s">
        <v>1135</v>
      </c>
      <c r="D19" s="143">
        <v>1.1224146835318517E-4</v>
      </c>
      <c r="E19" s="96">
        <v>2.0493987064195366E-2</v>
      </c>
      <c r="F19" s="107">
        <f>VLOOKUP(B19,[2]Hoja1!$C$2:$E$279,3,FALSE)</f>
        <v>17429.990000000002</v>
      </c>
      <c r="G19" s="167">
        <f t="shared" si="0"/>
        <v>1.9563676709813342</v>
      </c>
      <c r="H19" s="880">
        <v>17430</v>
      </c>
      <c r="I19" s="167">
        <f t="shared" si="1"/>
        <v>1.9563687933960174</v>
      </c>
      <c r="J19" s="250">
        <f t="shared" si="2"/>
        <v>-5.7372346518036466E-5</v>
      </c>
      <c r="K19" s="119">
        <f t="shared" si="3"/>
        <v>1.1224146835318517E-4</v>
      </c>
    </row>
    <row r="20" spans="2:11" x14ac:dyDescent="0.25">
      <c r="B20" s="154">
        <f>VLOOKUP(C20,[1]Hoja1!$B$2:$C$260,2,FALSE)</f>
        <v>1220007</v>
      </c>
      <c r="C20" s="154" t="s">
        <v>916</v>
      </c>
      <c r="D20" s="143">
        <v>3.3672440505955545E-4</v>
      </c>
      <c r="E20" s="96">
        <v>6.1481961192586088E-2</v>
      </c>
      <c r="F20" s="107">
        <f>VLOOKUP(B20,[2]Hoja1!$C$2:$E$279,3,FALSE)</f>
        <v>60081.72</v>
      </c>
      <c r="G20" s="167">
        <f t="shared" si="0"/>
        <v>20.230981421954795</v>
      </c>
      <c r="H20" s="106">
        <v>56748.6</v>
      </c>
      <c r="I20" s="167">
        <f t="shared" si="1"/>
        <v>19.108638572962686</v>
      </c>
      <c r="J20" s="250">
        <f t="shared" si="2"/>
        <v>5.8734841035726078</v>
      </c>
      <c r="K20" s="119">
        <f t="shared" si="3"/>
        <v>3.3672440505955545E-4</v>
      </c>
    </row>
    <row r="21" spans="2:11" ht="15" x14ac:dyDescent="0.25">
      <c r="B21" s="154">
        <f>VLOOKUP(C21,[1]Hoja1!$B$2:$C$260,2,FALSE)</f>
        <v>1220010</v>
      </c>
      <c r="C21" s="154" t="s">
        <v>1144</v>
      </c>
      <c r="D21" s="143">
        <v>3.4794855189487399E-3</v>
      </c>
      <c r="E21" s="96">
        <v>0.63531359899005624</v>
      </c>
      <c r="F21" s="107">
        <f>VLOOKUP(B21,[2]Hoja1!$C$2:$E$279,3,FALSE)</f>
        <v>4744.72</v>
      </c>
      <c r="G21" s="167">
        <f t="shared" si="0"/>
        <v>16.509184531466467</v>
      </c>
      <c r="H21" s="866">
        <v>9381</v>
      </c>
      <c r="I21" s="167">
        <f t="shared" si="1"/>
        <v>32.641053653258126</v>
      </c>
      <c r="J21" s="250">
        <f t="shared" si="2"/>
        <v>-49.42202323846071</v>
      </c>
      <c r="K21" s="119">
        <f t="shared" si="3"/>
        <v>3.4794855189487399E-3</v>
      </c>
    </row>
    <row r="22" spans="2:11" ht="15" x14ac:dyDescent="0.25">
      <c r="B22" s="154">
        <f>VLOOKUP(C22,[1]Hoja1!$B$2:$C$260,2,FALSE)</f>
        <v>1270004</v>
      </c>
      <c r="C22" s="231" t="s">
        <v>1032</v>
      </c>
      <c r="D22" s="143">
        <v>2.2448293670637034E-4</v>
      </c>
      <c r="E22" s="96">
        <v>4.0987974128390732E-2</v>
      </c>
      <c r="F22" s="107">
        <f>VLOOKUP(B22,[2]Hoja1!$C$2:$E$279,3,FALSE)</f>
        <v>50662</v>
      </c>
      <c r="G22" s="167">
        <f t="shared" si="0"/>
        <v>11.372754539418134</v>
      </c>
      <c r="H22" s="866">
        <v>53849.37</v>
      </c>
      <c r="I22" s="167">
        <f t="shared" si="1"/>
        <v>12.088264717387919</v>
      </c>
      <c r="J22" s="250">
        <f t="shared" si="2"/>
        <v>-5.9190478922966179</v>
      </c>
      <c r="K22" s="119">
        <f t="shared" si="3"/>
        <v>2.2448293670637034E-4</v>
      </c>
    </row>
    <row r="23" spans="2:11" hidden="1" x14ac:dyDescent="0.25">
      <c r="B23" s="154"/>
      <c r="C23" s="154"/>
      <c r="D23" s="204"/>
      <c r="E23" s="154"/>
      <c r="F23" s="107" t="e">
        <f>VLOOKUP(B23,[2]Hoja1!$C$2:$E$279,3,FALSE)</f>
        <v>#N/A</v>
      </c>
      <c r="G23" s="154"/>
      <c r="H23" s="95"/>
      <c r="I23" s="96"/>
      <c r="J23" s="233"/>
    </row>
    <row r="24" spans="2:11" s="146" customFormat="1" x14ac:dyDescent="0.25">
      <c r="B24" s="1764" t="s">
        <v>37</v>
      </c>
      <c r="C24" s="1764"/>
      <c r="D24" s="1278">
        <f>SUM(D5:D22)</f>
        <v>0.54765494725529784</v>
      </c>
      <c r="E24" s="1281">
        <f>SUM(E5:E22)</f>
        <v>99.995425660111309</v>
      </c>
      <c r="F24" s="1281"/>
      <c r="G24" s="1281">
        <f>SUM(G5:G22)</f>
        <v>5372.6834780281542</v>
      </c>
      <c r="H24" s="1281"/>
      <c r="I24" s="1281">
        <f>SUM(I5:I22)</f>
        <v>6337.0930738707657</v>
      </c>
      <c r="J24" s="1282">
        <f>((G24/I24)*100)-100</f>
        <v>-15.218485583225615</v>
      </c>
      <c r="K24" s="1283"/>
    </row>
    <row r="25" spans="2:11" x14ac:dyDescent="0.25">
      <c r="J25" s="775"/>
    </row>
    <row r="26" spans="2:11" ht="25.5" x14ac:dyDescent="0.25">
      <c r="B26" s="1765" t="s">
        <v>50</v>
      </c>
      <c r="C26" s="1766"/>
      <c r="D26" s="38">
        <f>+C29+(C29*C35%)</f>
        <v>547.67999999999995</v>
      </c>
      <c r="E26" s="159"/>
      <c r="F26" s="159"/>
      <c r="G26" s="159"/>
      <c r="H26" s="159"/>
      <c r="I26" s="159"/>
      <c r="J26" s="159"/>
    </row>
    <row r="27" spans="2:11" x14ac:dyDescent="0.25">
      <c r="B27" s="1284" t="s">
        <v>38</v>
      </c>
      <c r="C27" s="161" t="s">
        <v>123</v>
      </c>
      <c r="D27" s="146"/>
      <c r="H27" s="146"/>
    </row>
    <row r="28" spans="2:11" x14ac:dyDescent="0.25">
      <c r="B28" s="1285" t="s">
        <v>39</v>
      </c>
      <c r="C28" s="163" t="s">
        <v>124</v>
      </c>
      <c r="D28" s="146"/>
      <c r="H28" s="146"/>
    </row>
    <row r="29" spans="2:11" x14ac:dyDescent="0.25">
      <c r="B29" s="1285" t="s">
        <v>40</v>
      </c>
      <c r="C29" s="163">
        <v>480</v>
      </c>
      <c r="D29" s="146"/>
      <c r="H29" s="146"/>
    </row>
    <row r="30" spans="2:11" x14ac:dyDescent="0.25">
      <c r="B30" s="1285" t="s">
        <v>41</v>
      </c>
      <c r="C30" s="163">
        <v>0</v>
      </c>
      <c r="D30" s="146"/>
      <c r="H30" s="146"/>
    </row>
    <row r="31" spans="2:11" x14ac:dyDescent="0.25">
      <c r="B31" s="1285" t="s">
        <v>42</v>
      </c>
      <c r="C31" s="163">
        <v>9</v>
      </c>
      <c r="D31" s="146"/>
      <c r="H31" s="146"/>
    </row>
    <row r="32" spans="2:11" x14ac:dyDescent="0.25">
      <c r="B32" s="1285" t="s">
        <v>43</v>
      </c>
      <c r="C32" s="163">
        <v>2</v>
      </c>
      <c r="D32" s="146"/>
      <c r="H32" s="146"/>
    </row>
    <row r="33" spans="2:11" x14ac:dyDescent="0.25">
      <c r="B33" s="1285" t="s">
        <v>44</v>
      </c>
      <c r="C33" s="163">
        <v>1</v>
      </c>
      <c r="D33" s="146"/>
      <c r="H33" s="146"/>
    </row>
    <row r="34" spans="2:11" x14ac:dyDescent="0.25">
      <c r="B34" s="1285" t="s">
        <v>45</v>
      </c>
      <c r="C34" s="163">
        <v>2.1</v>
      </c>
      <c r="D34" s="146"/>
      <c r="H34" s="146"/>
    </row>
    <row r="35" spans="2:11" x14ac:dyDescent="0.25">
      <c r="B35" s="1285" t="s">
        <v>46</v>
      </c>
      <c r="C35" s="163">
        <f>C34+C33+C32+C31</f>
        <v>14.1</v>
      </c>
      <c r="D35" s="146"/>
      <c r="H35" s="146"/>
    </row>
    <row r="36" spans="2:11" x14ac:dyDescent="0.25">
      <c r="H36" s="159"/>
      <c r="I36" s="159"/>
    </row>
    <row r="37" spans="2:11" ht="25.5" x14ac:dyDescent="0.25">
      <c r="B37" s="1767" t="s">
        <v>47</v>
      </c>
      <c r="C37" s="1768"/>
      <c r="D37" s="1768"/>
      <c r="E37" s="1768"/>
      <c r="F37" s="1768"/>
      <c r="G37" s="1768"/>
      <c r="H37" s="1768"/>
      <c r="I37" s="1768"/>
    </row>
    <row r="38" spans="2:11" ht="25.5" x14ac:dyDescent="0.25">
      <c r="B38" s="1266" t="s">
        <v>0</v>
      </c>
      <c r="C38" s="1266" t="s">
        <v>1</v>
      </c>
      <c r="D38" s="1267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243" t="s">
        <v>3</v>
      </c>
      <c r="J38" s="146">
        <v>898</v>
      </c>
    </row>
    <row r="39" spans="2:11" x14ac:dyDescent="0.25">
      <c r="B39" s="165">
        <f>VLOOKUP(C39,[1]Hoja1!$B$2:$C$260,2,FALSE)</f>
        <v>1370007</v>
      </c>
      <c r="C39" s="165" t="s">
        <v>1038</v>
      </c>
      <c r="D39" s="166">
        <v>2.0299999999999998</v>
      </c>
      <c r="E39" s="167">
        <f>VLOOKUP(B39,[2]Hoja1!$C$2:$E$279,3,FALSE)</f>
        <v>181.76</v>
      </c>
      <c r="F39" s="167">
        <f>E39*D39</f>
        <v>368.97279999999995</v>
      </c>
      <c r="G39" s="167">
        <v>195.56</v>
      </c>
      <c r="H39" s="167">
        <f>G39*D39</f>
        <v>396.98679999999996</v>
      </c>
      <c r="I39" s="270">
        <f>((E39/G39)*100)-100</f>
        <v>-7.0566578032317437</v>
      </c>
      <c r="J39" s="146">
        <f>J38*D39</f>
        <v>1822.9399999999998</v>
      </c>
    </row>
    <row r="40" spans="2:11" x14ac:dyDescent="0.25">
      <c r="B40" s="165">
        <f>VLOOKUP(C40,[1]Hoja1!$B$2:$C$260,2,FALSE)</f>
        <v>1310018</v>
      </c>
      <c r="C40" s="1172" t="s">
        <v>890</v>
      </c>
      <c r="D40" s="166">
        <v>7.4999999999999997E-2</v>
      </c>
      <c r="E40" s="167">
        <f>VLOOKUP(B40,[2]Hoja1!$C$2:$E$279,3,FALSE)</f>
        <v>478.26</v>
      </c>
      <c r="F40" s="167">
        <f>E40*D40</f>
        <v>35.869499999999995</v>
      </c>
      <c r="G40" s="871">
        <v>503.51</v>
      </c>
      <c r="H40" s="167">
        <f>G40*D40</f>
        <v>37.763249999999999</v>
      </c>
      <c r="I40" s="270">
        <f>((E40/G40)*100)-100</f>
        <v>-5.0147961311592582</v>
      </c>
      <c r="J40" s="146">
        <f>J38*D40</f>
        <v>67.349999999999994</v>
      </c>
    </row>
    <row r="41" spans="2:11" x14ac:dyDescent="0.25">
      <c r="B41" s="165">
        <f>VLOOKUP(C41,[1]Hoja1!$B$2:$C$260,2,FALSE)</f>
        <v>1320004</v>
      </c>
      <c r="C41" s="226" t="s">
        <v>1141</v>
      </c>
      <c r="D41" s="166">
        <v>7.4999999999999997E-2</v>
      </c>
      <c r="E41" s="167">
        <f>VLOOKUP(B41,[2]Hoja1!$C$2:$E$279,3,FALSE)</f>
        <v>1481.51</v>
      </c>
      <c r="F41" s="167">
        <f>E41*D41</f>
        <v>111.11324999999999</v>
      </c>
      <c r="G41" s="24">
        <v>1575.9</v>
      </c>
      <c r="H41" s="167">
        <f>G41*D41</f>
        <v>118.1925</v>
      </c>
      <c r="I41" s="270">
        <f>((E41/G41)*100)-100</f>
        <v>-5.9895932483025547</v>
      </c>
      <c r="J41" s="146">
        <f>J38*D41</f>
        <v>67.349999999999994</v>
      </c>
    </row>
    <row r="42" spans="2:11" x14ac:dyDescent="0.25">
      <c r="B42" s="165">
        <f>VLOOKUP(C42,[1]Hoja1!$B$2:$C$260,2,FALSE)</f>
        <v>1330007</v>
      </c>
      <c r="C42" s="226" t="s">
        <v>1239</v>
      </c>
      <c r="D42" s="166">
        <v>1</v>
      </c>
      <c r="E42" s="167">
        <f>VLOOKUP(B42,[2]Hoja1!$C$2:$E$279,3,FALSE)</f>
        <v>154.38999999999999</v>
      </c>
      <c r="F42" s="167">
        <f>E42*D42</f>
        <v>154.38999999999999</v>
      </c>
      <c r="G42" s="24">
        <v>144.44999999999999</v>
      </c>
      <c r="H42" s="167"/>
      <c r="I42" s="270"/>
      <c r="J42" s="146"/>
    </row>
    <row r="43" spans="2:11" ht="15" x14ac:dyDescent="0.25">
      <c r="B43" s="165">
        <f>VLOOKUP(C43,[1]Hoja1!$B$2:$C$260,2,FALSE)</f>
        <v>1330055</v>
      </c>
      <c r="C43" s="978" t="s">
        <v>1059</v>
      </c>
      <c r="D43" s="167">
        <v>1</v>
      </c>
      <c r="E43" s="167">
        <f>VLOOKUP(B43,[2]Hoja1!$C$2:$E$279,3,FALSE)</f>
        <v>88.16</v>
      </c>
      <c r="F43" s="167">
        <f>E43*D43</f>
        <v>88.16</v>
      </c>
      <c r="G43" s="167">
        <v>82.58</v>
      </c>
      <c r="H43" s="167">
        <f>G43*D43</f>
        <v>82.58</v>
      </c>
      <c r="I43" s="270">
        <f>((E43/G43)*100)-100</f>
        <v>6.7570840397190608</v>
      </c>
      <c r="J43" s="146">
        <f>J38*D43</f>
        <v>898</v>
      </c>
    </row>
    <row r="44" spans="2:11" x14ac:dyDescent="0.25">
      <c r="B44" s="1266"/>
      <c r="C44" s="1266" t="s">
        <v>37</v>
      </c>
      <c r="D44" s="1267"/>
      <c r="E44" s="1267"/>
      <c r="F44" s="1267">
        <f>SUM(F39:F43)</f>
        <v>758.50554999999986</v>
      </c>
      <c r="G44" s="1267"/>
      <c r="H44" s="1267">
        <f>SUM(H39:H43)</f>
        <v>635.52255000000002</v>
      </c>
      <c r="I44" s="1287">
        <f>((F44/H44)*100)-100</f>
        <v>19.351476985356356</v>
      </c>
    </row>
    <row r="45" spans="2:11" x14ac:dyDescent="0.25">
      <c r="H45" s="1" t="str">
        <f>+'CIF Y PV'!$G$1</f>
        <v>MAYO</v>
      </c>
      <c r="I45" s="205"/>
      <c r="J45" s="146"/>
      <c r="K45" s="205"/>
    </row>
    <row r="46" spans="2:11" x14ac:dyDescent="0.25">
      <c r="B46" s="1735" t="s">
        <v>194</v>
      </c>
      <c r="C46" s="1735"/>
      <c r="E46" s="884"/>
      <c r="F46" s="884"/>
      <c r="G46" s="884"/>
      <c r="H46" s="884">
        <f>+F44+G24</f>
        <v>6131.1890280281541</v>
      </c>
      <c r="I46" s="409"/>
      <c r="J46" s="884"/>
      <c r="K46" s="409"/>
    </row>
    <row r="47" spans="2:11" x14ac:dyDescent="0.25">
      <c r="B47" s="1736" t="s">
        <v>48</v>
      </c>
      <c r="C47" s="1737"/>
      <c r="E47" s="884"/>
      <c r="F47" s="884"/>
      <c r="G47" s="884"/>
      <c r="H47" s="884">
        <f>+('CIF Y PV'!C3/1000)*480</f>
        <v>907.19999999999993</v>
      </c>
      <c r="I47" s="205"/>
      <c r="J47" s="884"/>
      <c r="K47" s="205"/>
    </row>
    <row r="48" spans="2:11" x14ac:dyDescent="0.25">
      <c r="B48" s="1736" t="s">
        <v>195</v>
      </c>
      <c r="C48" s="1737"/>
      <c r="E48" s="884"/>
      <c r="F48" s="884"/>
      <c r="G48" s="884"/>
      <c r="H48" s="884">
        <f>+H46+H47</f>
        <v>7038.3890280281539</v>
      </c>
      <c r="I48" s="206"/>
      <c r="J48" s="884"/>
      <c r="K48" s="206"/>
    </row>
    <row r="49" spans="2:11" x14ac:dyDescent="0.25">
      <c r="B49" s="1735" t="s">
        <v>49</v>
      </c>
      <c r="C49" s="1735"/>
      <c r="E49" s="884"/>
      <c r="F49" s="884"/>
      <c r="G49" s="884"/>
      <c r="H49" s="884">
        <f>'CIF Y PV'!C45</f>
        <v>14219.658000000001</v>
      </c>
      <c r="J49" s="884"/>
      <c r="K49" s="403"/>
    </row>
    <row r="50" spans="2:11" x14ac:dyDescent="0.2">
      <c r="B50" s="1735" t="s">
        <v>805</v>
      </c>
      <c r="C50" s="1735"/>
      <c r="E50" s="884"/>
      <c r="F50" s="884"/>
      <c r="G50" s="884"/>
      <c r="H50" s="928">
        <f>+(H49-H48)/H49</f>
        <v>0.50502402884597131</v>
      </c>
      <c r="I50" s="172"/>
      <c r="J50" s="146"/>
      <c r="K50" s="172"/>
    </row>
    <row r="51" spans="2:11" x14ac:dyDescent="0.25">
      <c r="H51" s="146"/>
      <c r="I51" s="205"/>
    </row>
    <row r="52" spans="2:11" x14ac:dyDescent="0.25">
      <c r="H52" s="146"/>
    </row>
  </sheetData>
  <autoFilter ref="A4:K4" xr:uid="{D05FEDB9-F8B9-49F7-8F86-63F3362C86AC}">
    <sortState xmlns:xlrd2="http://schemas.microsoft.com/office/spreadsheetml/2017/richdata2" ref="A5:K22">
      <sortCondition descending="1" ref="K4"/>
    </sortState>
  </autoFilter>
  <mergeCells count="9">
    <mergeCell ref="B50:C50"/>
    <mergeCell ref="B47:C47"/>
    <mergeCell ref="B48:C48"/>
    <mergeCell ref="B49:C49"/>
    <mergeCell ref="B2:I2"/>
    <mergeCell ref="B24:C24"/>
    <mergeCell ref="B26:C26"/>
    <mergeCell ref="B46:C46"/>
    <mergeCell ref="B37:I37"/>
  </mergeCells>
  <dataValidations disablePrompts="1" count="1">
    <dataValidation type="list" allowBlank="1" showInputMessage="1" showErrorMessage="1" sqref="C19" xr:uid="{A08072C5-9735-4E2E-A844-C8968157F844}">
      <formula1>$AG$2:$AG$297</formula1>
    </dataValidation>
  </dataValidations>
  <pageMargins left="0.7" right="0.7" top="0.75" bottom="0.75" header="0.3" footer="0.3"/>
  <pageSetup scale="46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058D-B09A-45FC-A96B-F99BD4548BFE}">
  <sheetPr codeName="Hoja45"/>
  <dimension ref="B2:L28"/>
  <sheetViews>
    <sheetView view="pageBreakPreview" zoomScale="70" zoomScaleNormal="100" zoomScaleSheetLayoutView="70" workbookViewId="0">
      <selection activeCell="C11" sqref="C11"/>
    </sheetView>
  </sheetViews>
  <sheetFormatPr baseColWidth="10" defaultColWidth="11.42578125" defaultRowHeight="16.5" x14ac:dyDescent="0.25"/>
  <cols>
    <col min="1" max="1" width="3.7109375" style="42" customWidth="1"/>
    <col min="2" max="2" width="10.7109375" style="42" bestFit="1" customWidth="1"/>
    <col min="3" max="3" width="38" style="42" bestFit="1" customWidth="1"/>
    <col min="4" max="4" width="14.85546875" style="42" customWidth="1"/>
    <col min="5" max="5" width="18.42578125" style="42" bestFit="1" customWidth="1"/>
    <col min="6" max="6" width="12.28515625" style="42" bestFit="1" customWidth="1"/>
    <col min="7" max="7" width="14.28515625" style="42" bestFit="1" customWidth="1"/>
    <col min="8" max="16384" width="11.42578125" style="42"/>
  </cols>
  <sheetData>
    <row r="2" spans="2:12" ht="26.25" customHeight="1" x14ac:dyDescent="0.25">
      <c r="B2" s="1743" t="s">
        <v>255</v>
      </c>
      <c r="C2" s="1743"/>
      <c r="D2" s="1743"/>
      <c r="E2" s="1743"/>
      <c r="F2" s="1743"/>
      <c r="G2" s="1743"/>
      <c r="H2" s="1743"/>
      <c r="I2" s="1743"/>
      <c r="J2" s="1743"/>
      <c r="K2" s="1743"/>
      <c r="L2" s="1743"/>
    </row>
    <row r="3" spans="2:12" ht="26.25" customHeight="1" x14ac:dyDescent="0.25">
      <c r="B3" s="43"/>
      <c r="C3" s="43"/>
      <c r="D3" s="43"/>
      <c r="E3" s="43"/>
    </row>
    <row r="4" spans="2:12" x14ac:dyDescent="0.25">
      <c r="C4" s="44" t="s">
        <v>134</v>
      </c>
      <c r="D4" s="45">
        <v>100</v>
      </c>
      <c r="E4" s="45"/>
    </row>
    <row r="5" spans="2:12" x14ac:dyDescent="0.25">
      <c r="C5" s="46" t="s">
        <v>135</v>
      </c>
      <c r="D5" s="42">
        <v>35</v>
      </c>
      <c r="E5" s="47"/>
      <c r="F5" s="42" t="s">
        <v>85</v>
      </c>
    </row>
    <row r="6" spans="2:12" x14ac:dyDescent="0.25">
      <c r="C6" s="46" t="s">
        <v>109</v>
      </c>
      <c r="D6" s="42">
        <f>SUM(D4:D5)</f>
        <v>135</v>
      </c>
    </row>
    <row r="7" spans="2:12" x14ac:dyDescent="0.25">
      <c r="C7" s="47"/>
      <c r="D7" s="48"/>
      <c r="E7" s="48"/>
    </row>
    <row r="8" spans="2:12" x14ac:dyDescent="0.25">
      <c r="C8" s="49" t="s">
        <v>136</v>
      </c>
      <c r="D8" s="50">
        <f>(D4*100)/$D$6</f>
        <v>74.074074074074076</v>
      </c>
      <c r="E8" s="50"/>
    </row>
    <row r="9" spans="2:12" x14ac:dyDescent="0.25">
      <c r="C9" s="49" t="s">
        <v>254</v>
      </c>
      <c r="D9" s="50">
        <f>100-D8</f>
        <v>25.925925925925924</v>
      </c>
      <c r="E9" s="50"/>
    </row>
    <row r="10" spans="2:12" x14ac:dyDescent="0.25">
      <c r="C10" s="51"/>
      <c r="D10" s="52"/>
      <c r="E10" s="50"/>
    </row>
    <row r="11" spans="2:12" ht="28.5" x14ac:dyDescent="0.25">
      <c r="C11" s="53" t="s">
        <v>110</v>
      </c>
      <c r="D11" s="54" t="s">
        <v>111</v>
      </c>
      <c r="E11" s="55"/>
      <c r="L11" s="42" t="s">
        <v>85</v>
      </c>
    </row>
    <row r="12" spans="2:12" x14ac:dyDescent="0.25">
      <c r="C12" s="77" t="s">
        <v>136</v>
      </c>
      <c r="D12" s="78">
        <f>D8</f>
        <v>74.074074074074076</v>
      </c>
      <c r="E12" s="55"/>
    </row>
    <row r="13" spans="2:12" hidden="1" x14ac:dyDescent="0.25">
      <c r="C13" s="56"/>
      <c r="D13" s="57"/>
      <c r="E13" s="58"/>
    </row>
    <row r="14" spans="2:12" x14ac:dyDescent="0.25">
      <c r="C14" s="59" t="s">
        <v>37</v>
      </c>
      <c r="D14" s="60">
        <f>SUM(D12)</f>
        <v>74.074074074074076</v>
      </c>
      <c r="E14" s="61"/>
    </row>
    <row r="15" spans="2:12" x14ac:dyDescent="0.25">
      <c r="C15" s="62"/>
      <c r="D15" s="63"/>
      <c r="E15" s="63"/>
    </row>
    <row r="16" spans="2:12" x14ac:dyDescent="0.25">
      <c r="C16" s="62"/>
      <c r="D16" s="63"/>
      <c r="E16" s="63"/>
    </row>
    <row r="17" spans="3:8" hidden="1" x14ac:dyDescent="0.25"/>
    <row r="18" spans="3:8" hidden="1" x14ac:dyDescent="0.25">
      <c r="C18" s="51"/>
      <c r="D18" s="64"/>
      <c r="E18" s="65"/>
    </row>
    <row r="19" spans="3:8" ht="28.5" x14ac:dyDescent="0.25">
      <c r="C19" s="79" t="s">
        <v>249</v>
      </c>
      <c r="D19" s="80" t="s">
        <v>111</v>
      </c>
      <c r="E19" s="80" t="s">
        <v>298</v>
      </c>
      <c r="G19" s="46"/>
    </row>
    <row r="20" spans="3:8" x14ac:dyDescent="0.25">
      <c r="C20" s="82" t="s">
        <v>137</v>
      </c>
      <c r="D20" s="84">
        <v>14.73</v>
      </c>
      <c r="E20" s="83">
        <f>(D20*100)/$D$23</f>
        <v>56.806787504820669</v>
      </c>
      <c r="F20" s="66"/>
      <c r="G20" s="67"/>
    </row>
    <row r="21" spans="3:8" x14ac:dyDescent="0.25">
      <c r="C21" s="82" t="s">
        <v>138</v>
      </c>
      <c r="D21" s="84">
        <v>11.2</v>
      </c>
      <c r="E21" s="83">
        <f>(D21*100)/$D$23</f>
        <v>43.193212495179331</v>
      </c>
      <c r="F21" s="66"/>
      <c r="G21" s="67"/>
    </row>
    <row r="22" spans="3:8" hidden="1" x14ac:dyDescent="0.25">
      <c r="C22" s="51"/>
      <c r="D22" s="86"/>
      <c r="E22" s="87"/>
      <c r="F22" s="66"/>
      <c r="G22" s="67"/>
    </row>
    <row r="23" spans="3:8" x14ac:dyDescent="0.25">
      <c r="C23" s="81" t="s">
        <v>37</v>
      </c>
      <c r="D23" s="99">
        <f>SUM(D20:D21)</f>
        <v>25.93</v>
      </c>
      <c r="E23" s="85">
        <f>SUM(E20:E21)</f>
        <v>100</v>
      </c>
    </row>
    <row r="24" spans="3:8" x14ac:dyDescent="0.25">
      <c r="C24" s="62"/>
      <c r="D24" s="63"/>
      <c r="E24" s="63"/>
    </row>
    <row r="25" spans="3:8" x14ac:dyDescent="0.25">
      <c r="C25" s="68" t="s">
        <v>112</v>
      </c>
      <c r="D25" s="98">
        <f>SUM(D14,D23)</f>
        <v>100.00407407407408</v>
      </c>
      <c r="E25" s="69"/>
    </row>
    <row r="26" spans="3:8" x14ac:dyDescent="0.25">
      <c r="F26" s="42" t="s">
        <v>85</v>
      </c>
    </row>
    <row r="28" spans="3:8" x14ac:dyDescent="0.25">
      <c r="H28" s="42" t="s">
        <v>85</v>
      </c>
    </row>
  </sheetData>
  <mergeCells count="1">
    <mergeCell ref="B2:L2"/>
  </mergeCells>
  <pageMargins left="0.7" right="0.7" top="0.75" bottom="0.75" header="0.3" footer="0.3"/>
  <pageSetup scale="53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D369-59B1-4980-BB03-50D4BF1ADBE2}">
  <sheetPr codeName="Hoja46"/>
  <dimension ref="B2:N74"/>
  <sheetViews>
    <sheetView view="pageBreakPreview" zoomScale="70" zoomScaleNormal="100" zoomScaleSheetLayoutView="70" workbookViewId="0">
      <selection activeCell="B4" sqref="B4"/>
    </sheetView>
  </sheetViews>
  <sheetFormatPr baseColWidth="10" defaultColWidth="11.5703125" defaultRowHeight="13.5" x14ac:dyDescent="0.25"/>
  <cols>
    <col min="1" max="1" width="7.5703125" style="120" customWidth="1"/>
    <col min="2" max="2" width="24.85546875" style="120" bestFit="1" customWidth="1"/>
    <col min="3" max="3" width="67.42578125" style="120" bestFit="1" customWidth="1"/>
    <col min="4" max="4" width="11.7109375" style="119" customWidth="1"/>
    <col min="5" max="5" width="11.7109375" style="146" bestFit="1" customWidth="1"/>
    <col min="6" max="6" width="13.5703125" style="146" bestFit="1" customWidth="1"/>
    <col min="7" max="7" width="17.140625" style="146" bestFit="1" customWidth="1"/>
    <col min="8" max="8" width="13.5703125" style="146" bestFit="1" customWidth="1"/>
    <col min="9" max="9" width="14.5703125" style="146" bestFit="1" customWidth="1"/>
    <col min="10" max="10" width="12.7109375" style="146" bestFit="1" customWidth="1"/>
    <col min="11" max="11" width="11.5703125" style="119"/>
    <col min="12" max="16384" width="11.5703125" style="120"/>
  </cols>
  <sheetData>
    <row r="2" spans="2:13" ht="25.5" x14ac:dyDescent="0.25">
      <c r="B2" s="1743" t="s">
        <v>256</v>
      </c>
      <c r="C2" s="1743"/>
      <c r="D2" s="1743"/>
      <c r="E2" s="1743"/>
      <c r="F2" s="1743"/>
      <c r="G2" s="1743"/>
      <c r="H2" s="1743"/>
      <c r="I2" s="1743"/>
    </row>
    <row r="4" spans="2:13" ht="25.5" x14ac:dyDescent="0.25">
      <c r="B4" s="117" t="s">
        <v>0</v>
      </c>
      <c r="C4" s="117" t="s">
        <v>1</v>
      </c>
      <c r="D4" s="142" t="s">
        <v>2</v>
      </c>
      <c r="E4" s="117" t="s">
        <v>3</v>
      </c>
      <c r="F4" s="149" t="s">
        <v>306</v>
      </c>
      <c r="G4" s="149" t="s">
        <v>307</v>
      </c>
      <c r="H4" s="121" t="s">
        <v>309</v>
      </c>
      <c r="I4" s="121" t="s">
        <v>308</v>
      </c>
      <c r="J4" s="121" t="s">
        <v>3</v>
      </c>
      <c r="K4" s="119">
        <v>1</v>
      </c>
    </row>
    <row r="5" spans="2:13" x14ac:dyDescent="0.25">
      <c r="B5" s="154" t="s">
        <v>4</v>
      </c>
      <c r="C5" s="154" t="s">
        <v>53</v>
      </c>
      <c r="D5" s="143">
        <v>0.37348392838001226</v>
      </c>
      <c r="E5" s="106">
        <f t="shared" ref="E5:E23" si="0">(D5*100)/$D$25</f>
        <v>37.348392838001232</v>
      </c>
      <c r="F5" s="106">
        <v>7</v>
      </c>
      <c r="G5" s="106">
        <f t="shared" ref="G5:G23" si="1">F5*D5</f>
        <v>2.6143874986600859</v>
      </c>
      <c r="H5" s="106">
        <v>7</v>
      </c>
      <c r="I5" s="106">
        <f t="shared" ref="I5:I23" si="2">H5*D5</f>
        <v>2.6143874986600859</v>
      </c>
      <c r="J5" s="106">
        <f t="shared" ref="J5:J23" si="3">((F5/H5)*100)-100</f>
        <v>0</v>
      </c>
      <c r="K5" s="119">
        <f t="shared" ref="K5:K23" si="4">$K$4*E5%</f>
        <v>0.37348392838001232</v>
      </c>
    </row>
    <row r="6" spans="2:13" ht="16.5" x14ac:dyDescent="0.25">
      <c r="B6" s="154" t="s">
        <v>6</v>
      </c>
      <c r="C6" s="154" t="s">
        <v>77</v>
      </c>
      <c r="D6" s="143">
        <v>0.19219853789541627</v>
      </c>
      <c r="E6" s="106">
        <f t="shared" si="0"/>
        <v>19.219853789541631</v>
      </c>
      <c r="F6" s="72">
        <v>7255</v>
      </c>
      <c r="G6" s="106">
        <f t="shared" si="1"/>
        <v>1394.4003924312451</v>
      </c>
      <c r="H6" s="106">
        <v>7036</v>
      </c>
      <c r="I6" s="106">
        <f t="shared" si="2"/>
        <v>1352.3089126321488</v>
      </c>
      <c r="J6" s="106">
        <f t="shared" si="3"/>
        <v>3.1125639567936219</v>
      </c>
      <c r="K6" s="119">
        <f t="shared" si="4"/>
        <v>0.1921985378954163</v>
      </c>
    </row>
    <row r="7" spans="2:13" x14ac:dyDescent="0.25">
      <c r="B7" s="154" t="s">
        <v>238</v>
      </c>
      <c r="C7" s="261" t="s">
        <v>239</v>
      </c>
      <c r="D7" s="143">
        <v>0.11323714849819522</v>
      </c>
      <c r="E7" s="106">
        <f t="shared" si="0"/>
        <v>11.323714849819524</v>
      </c>
      <c r="F7" s="106">
        <v>2688</v>
      </c>
      <c r="G7" s="106">
        <f t="shared" si="1"/>
        <v>304.38145516314876</v>
      </c>
      <c r="H7" s="106">
        <v>2688</v>
      </c>
      <c r="I7" s="106">
        <f t="shared" si="2"/>
        <v>304.38145516314876</v>
      </c>
      <c r="J7" s="106">
        <f t="shared" si="3"/>
        <v>0</v>
      </c>
      <c r="K7" s="119">
        <f t="shared" si="4"/>
        <v>0.11323714849819524</v>
      </c>
      <c r="M7" s="120" t="s">
        <v>85</v>
      </c>
    </row>
    <row r="8" spans="2:13" ht="16.5" x14ac:dyDescent="0.25">
      <c r="B8" s="154"/>
      <c r="C8" s="154" t="s">
        <v>447</v>
      </c>
      <c r="D8" s="143">
        <v>0.10924083081367064</v>
      </c>
      <c r="E8" s="106">
        <f t="shared" si="0"/>
        <v>10.924083081367066</v>
      </c>
      <c r="F8" s="72">
        <v>7400</v>
      </c>
      <c r="G8" s="106">
        <f t="shared" si="1"/>
        <v>808.38214802116272</v>
      </c>
      <c r="H8" s="70">
        <v>7400</v>
      </c>
      <c r="I8" s="106">
        <f t="shared" si="2"/>
        <v>808.38214802116272</v>
      </c>
      <c r="J8" s="106">
        <f t="shared" si="3"/>
        <v>0</v>
      </c>
      <c r="K8" s="119">
        <f t="shared" si="4"/>
        <v>0.10924083081367066</v>
      </c>
    </row>
    <row r="9" spans="2:13" ht="16.5" x14ac:dyDescent="0.25">
      <c r="B9" s="154" t="s">
        <v>215</v>
      </c>
      <c r="C9" s="154" t="s">
        <v>216</v>
      </c>
      <c r="D9" s="143">
        <v>9.0112930804879615E-2</v>
      </c>
      <c r="E9" s="106">
        <f t="shared" si="0"/>
        <v>9.0112930804879632</v>
      </c>
      <c r="F9" s="72">
        <v>16262</v>
      </c>
      <c r="G9" s="106">
        <f t="shared" si="1"/>
        <v>1465.4164807489524</v>
      </c>
      <c r="H9" s="106">
        <v>16721</v>
      </c>
      <c r="I9" s="106">
        <f t="shared" si="2"/>
        <v>1506.778315988392</v>
      </c>
      <c r="J9" s="106">
        <f t="shared" si="3"/>
        <v>-2.7450511333054237</v>
      </c>
      <c r="K9" s="119">
        <f t="shared" si="4"/>
        <v>9.0112930804879629E-2</v>
      </c>
    </row>
    <row r="10" spans="2:13" ht="16.5" x14ac:dyDescent="0.25">
      <c r="B10" s="154" t="s">
        <v>9</v>
      </c>
      <c r="C10" s="154" t="s">
        <v>10</v>
      </c>
      <c r="D10" s="143">
        <v>4.9665416007980377E-2</v>
      </c>
      <c r="E10" s="106">
        <f t="shared" si="0"/>
        <v>4.9665416007980383</v>
      </c>
      <c r="F10" s="72">
        <v>5761</v>
      </c>
      <c r="G10" s="106">
        <f t="shared" si="1"/>
        <v>286.12246162197494</v>
      </c>
      <c r="H10" s="106">
        <v>5680</v>
      </c>
      <c r="I10" s="106">
        <f t="shared" si="2"/>
        <v>282.09956292532854</v>
      </c>
      <c r="J10" s="106">
        <f t="shared" si="3"/>
        <v>1.4260563380281752</v>
      </c>
      <c r="K10" s="119">
        <f t="shared" si="4"/>
        <v>4.9665416007980384E-2</v>
      </c>
    </row>
    <row r="11" spans="2:13" ht="16.5" x14ac:dyDescent="0.25">
      <c r="B11" s="154" t="s">
        <v>11</v>
      </c>
      <c r="C11" s="154" t="s">
        <v>12</v>
      </c>
      <c r="D11" s="143">
        <v>2.6488221870922844E-2</v>
      </c>
      <c r="E11" s="106">
        <f t="shared" si="0"/>
        <v>2.6488221870922848</v>
      </c>
      <c r="F11" s="72">
        <v>15638</v>
      </c>
      <c r="G11" s="106">
        <f t="shared" si="1"/>
        <v>414.22281361749145</v>
      </c>
      <c r="H11" s="70">
        <v>14486</v>
      </c>
      <c r="I11" s="106">
        <f t="shared" si="2"/>
        <v>383.70838202218829</v>
      </c>
      <c r="J11" s="106">
        <f t="shared" si="3"/>
        <v>7.9525058677343736</v>
      </c>
      <c r="K11" s="119">
        <f t="shared" si="4"/>
        <v>2.6488221870922847E-2</v>
      </c>
    </row>
    <row r="12" spans="2:13" x14ac:dyDescent="0.25">
      <c r="B12" s="154" t="s">
        <v>17</v>
      </c>
      <c r="C12" s="154" t="s">
        <v>18</v>
      </c>
      <c r="D12" s="143">
        <v>1.2581905388688357E-2</v>
      </c>
      <c r="E12" s="106">
        <f t="shared" si="0"/>
        <v>1.2581905388688359</v>
      </c>
      <c r="F12" s="106">
        <v>878</v>
      </c>
      <c r="G12" s="106">
        <f t="shared" si="1"/>
        <v>11.046912931268377</v>
      </c>
      <c r="H12" s="106">
        <v>878</v>
      </c>
      <c r="I12" s="106">
        <f t="shared" si="2"/>
        <v>11.046912931268377</v>
      </c>
      <c r="J12" s="106">
        <f t="shared" si="3"/>
        <v>0</v>
      </c>
      <c r="K12" s="119">
        <f t="shared" si="4"/>
        <v>1.2581905388688358E-2</v>
      </c>
    </row>
    <row r="13" spans="2:13" x14ac:dyDescent="0.25">
      <c r="B13" s="154" t="s">
        <v>59</v>
      </c>
      <c r="C13" s="154" t="s">
        <v>60</v>
      </c>
      <c r="D13" s="143">
        <v>5.7611882569257198E-3</v>
      </c>
      <c r="E13" s="106">
        <f t="shared" si="0"/>
        <v>0.57611882569257211</v>
      </c>
      <c r="F13" s="106">
        <v>62000</v>
      </c>
      <c r="G13" s="106">
        <f t="shared" si="1"/>
        <v>357.19367192939461</v>
      </c>
      <c r="H13" s="106">
        <v>62000</v>
      </c>
      <c r="I13" s="106">
        <f t="shared" si="2"/>
        <v>357.19367192939461</v>
      </c>
      <c r="J13" s="106">
        <f t="shared" si="3"/>
        <v>0</v>
      </c>
      <c r="K13" s="119">
        <f t="shared" si="4"/>
        <v>5.7611882569257207E-3</v>
      </c>
    </row>
    <row r="14" spans="2:13" ht="16.5" x14ac:dyDescent="0.25">
      <c r="B14" s="154" t="s">
        <v>78</v>
      </c>
      <c r="C14" s="154" t="s">
        <v>79</v>
      </c>
      <c r="D14" s="143">
        <v>4.8341004914434224E-3</v>
      </c>
      <c r="E14" s="106">
        <f t="shared" si="0"/>
        <v>0.48341004914434232</v>
      </c>
      <c r="F14" s="72">
        <v>62980</v>
      </c>
      <c r="G14" s="106">
        <f t="shared" si="1"/>
        <v>304.45164895110673</v>
      </c>
      <c r="H14" s="106">
        <v>62980</v>
      </c>
      <c r="I14" s="106">
        <f t="shared" si="2"/>
        <v>304.45164895110673</v>
      </c>
      <c r="J14" s="106">
        <f t="shared" si="3"/>
        <v>0</v>
      </c>
      <c r="K14" s="119">
        <f t="shared" si="4"/>
        <v>4.8341004914434233E-3</v>
      </c>
    </row>
    <row r="15" spans="2:13" ht="16.5" x14ac:dyDescent="0.25">
      <c r="B15" s="154" t="s">
        <v>65</v>
      </c>
      <c r="C15" s="154" t="s">
        <v>66</v>
      </c>
      <c r="D15" s="143">
        <v>4.3705566087022703E-3</v>
      </c>
      <c r="E15" s="106">
        <f t="shared" si="0"/>
        <v>0.43705566087022707</v>
      </c>
      <c r="F15" s="72">
        <v>24619</v>
      </c>
      <c r="G15" s="106">
        <f t="shared" si="1"/>
        <v>107.59873314964119</v>
      </c>
      <c r="H15" s="106">
        <v>24619</v>
      </c>
      <c r="I15" s="106">
        <f t="shared" si="2"/>
        <v>107.59873314964119</v>
      </c>
      <c r="J15" s="106">
        <f t="shared" si="3"/>
        <v>0</v>
      </c>
      <c r="K15" s="119">
        <f t="shared" si="4"/>
        <v>4.3705566087022703E-3</v>
      </c>
    </row>
    <row r="16" spans="2:13" ht="16.5" x14ac:dyDescent="0.25">
      <c r="B16" s="154" t="s">
        <v>61</v>
      </c>
      <c r="C16" s="154" t="s">
        <v>62</v>
      </c>
      <c r="D16" s="143">
        <v>3.6421305072518932E-3</v>
      </c>
      <c r="E16" s="106">
        <f t="shared" si="0"/>
        <v>0.36421305072518939</v>
      </c>
      <c r="F16" s="72">
        <v>30713</v>
      </c>
      <c r="G16" s="106">
        <f t="shared" si="1"/>
        <v>111.8607542692274</v>
      </c>
      <c r="H16" s="106">
        <v>30713</v>
      </c>
      <c r="I16" s="106">
        <f t="shared" si="2"/>
        <v>111.8607542692274</v>
      </c>
      <c r="J16" s="106">
        <f t="shared" si="3"/>
        <v>0</v>
      </c>
      <c r="K16" s="119">
        <f t="shared" si="4"/>
        <v>3.6421305072518941E-3</v>
      </c>
    </row>
    <row r="17" spans="2:11" x14ac:dyDescent="0.25">
      <c r="B17" s="154" t="s">
        <v>63</v>
      </c>
      <c r="C17" s="154" t="s">
        <v>64</v>
      </c>
      <c r="D17" s="143">
        <v>3.3110277338653554E-3</v>
      </c>
      <c r="E17" s="106">
        <f t="shared" si="0"/>
        <v>0.3311027733865356</v>
      </c>
      <c r="F17" s="106">
        <v>46385</v>
      </c>
      <c r="G17" s="106">
        <f t="shared" si="1"/>
        <v>153.5820214353445</v>
      </c>
      <c r="H17" s="106">
        <v>46385</v>
      </c>
      <c r="I17" s="106">
        <f t="shared" si="2"/>
        <v>153.5820214353445</v>
      </c>
      <c r="J17" s="106">
        <f t="shared" si="3"/>
        <v>0</v>
      </c>
      <c r="K17" s="119">
        <f t="shared" si="4"/>
        <v>3.3110277338653559E-3</v>
      </c>
    </row>
    <row r="18" spans="2:11" x14ac:dyDescent="0.25">
      <c r="B18" s="154" t="s">
        <v>243</v>
      </c>
      <c r="C18" s="154" t="s">
        <v>244</v>
      </c>
      <c r="D18" s="143">
        <v>3.0461455151561288E-3</v>
      </c>
      <c r="E18" s="106">
        <f t="shared" si="0"/>
        <v>0.30461455151561295</v>
      </c>
      <c r="F18" s="106">
        <v>50633</v>
      </c>
      <c r="G18" s="106">
        <f t="shared" si="1"/>
        <v>154.23548586890027</v>
      </c>
      <c r="H18" s="106">
        <v>50633</v>
      </c>
      <c r="I18" s="106">
        <f t="shared" si="2"/>
        <v>154.23548586890027</v>
      </c>
      <c r="J18" s="106">
        <f t="shared" si="3"/>
        <v>0</v>
      </c>
      <c r="K18" s="119">
        <f t="shared" si="4"/>
        <v>3.0461455151561297E-3</v>
      </c>
    </row>
    <row r="19" spans="2:11" x14ac:dyDescent="0.25">
      <c r="B19" s="154" t="s">
        <v>27</v>
      </c>
      <c r="C19" s="154" t="s">
        <v>28</v>
      </c>
      <c r="D19" s="143">
        <v>2.9799249604788229E-3</v>
      </c>
      <c r="E19" s="106">
        <f t="shared" si="0"/>
        <v>0.29799249604788236</v>
      </c>
      <c r="F19" s="106">
        <v>16110</v>
      </c>
      <c r="G19" s="106">
        <f t="shared" si="1"/>
        <v>48.006591113313839</v>
      </c>
      <c r="H19" s="106">
        <v>16110</v>
      </c>
      <c r="I19" s="106">
        <f t="shared" si="2"/>
        <v>48.006591113313839</v>
      </c>
      <c r="J19" s="106">
        <f t="shared" si="3"/>
        <v>0</v>
      </c>
      <c r="K19" s="119">
        <f t="shared" si="4"/>
        <v>2.9799249604788238E-3</v>
      </c>
    </row>
    <row r="20" spans="2:11" ht="16.5" x14ac:dyDescent="0.25">
      <c r="B20" s="154" t="s">
        <v>25</v>
      </c>
      <c r="C20" s="154" t="s">
        <v>26</v>
      </c>
      <c r="D20" s="143">
        <v>2.9137044058015144E-3</v>
      </c>
      <c r="E20" s="106">
        <f t="shared" si="0"/>
        <v>0.29137044058015149</v>
      </c>
      <c r="F20" s="72">
        <v>59227</v>
      </c>
      <c r="G20" s="106">
        <f t="shared" si="1"/>
        <v>172.56997084240629</v>
      </c>
      <c r="H20" s="106">
        <v>59766</v>
      </c>
      <c r="I20" s="106">
        <f t="shared" si="2"/>
        <v>174.14045751713331</v>
      </c>
      <c r="J20" s="106">
        <f t="shared" si="3"/>
        <v>-0.90185055048020502</v>
      </c>
      <c r="K20" s="119">
        <f t="shared" si="4"/>
        <v>2.9137044058015148E-3</v>
      </c>
    </row>
    <row r="21" spans="2:11" ht="16.5" x14ac:dyDescent="0.25">
      <c r="B21" s="154" t="s">
        <v>219</v>
      </c>
      <c r="C21" s="154" t="s">
        <v>220</v>
      </c>
      <c r="D21" s="143">
        <v>1.0197965420305302E-3</v>
      </c>
      <c r="E21" s="106">
        <f t="shared" si="0"/>
        <v>0.10197965420305304</v>
      </c>
      <c r="F21" s="72">
        <v>32511</v>
      </c>
      <c r="G21" s="106">
        <f t="shared" si="1"/>
        <v>33.154605377954567</v>
      </c>
      <c r="H21" s="106">
        <v>32511</v>
      </c>
      <c r="I21" s="106">
        <f t="shared" si="2"/>
        <v>33.154605377954567</v>
      </c>
      <c r="J21" s="106">
        <f t="shared" si="3"/>
        <v>0</v>
      </c>
      <c r="K21" s="119">
        <f t="shared" si="4"/>
        <v>1.0197965420305304E-3</v>
      </c>
    </row>
    <row r="22" spans="2:11" x14ac:dyDescent="0.25">
      <c r="B22" s="154" t="s">
        <v>67</v>
      </c>
      <c r="C22" s="154" t="s">
        <v>68</v>
      </c>
      <c r="D22" s="143">
        <v>6.6220554677307172E-4</v>
      </c>
      <c r="E22" s="106">
        <f t="shared" si="0"/>
        <v>6.6220554677307183E-2</v>
      </c>
      <c r="F22" s="106">
        <v>69401</v>
      </c>
      <c r="G22" s="106">
        <f t="shared" si="1"/>
        <v>45.95772715159795</v>
      </c>
      <c r="H22" s="106">
        <v>69401</v>
      </c>
      <c r="I22" s="106">
        <f t="shared" si="2"/>
        <v>45.95772715159795</v>
      </c>
      <c r="J22" s="106">
        <f t="shared" si="3"/>
        <v>0</v>
      </c>
      <c r="K22" s="119">
        <f t="shared" si="4"/>
        <v>6.6220554677307183E-4</v>
      </c>
    </row>
    <row r="23" spans="2:11" x14ac:dyDescent="0.25">
      <c r="B23" s="154" t="s">
        <v>33</v>
      </c>
      <c r="C23" s="154" t="s">
        <v>34</v>
      </c>
      <c r="D23" s="143">
        <v>4.5029977180568873E-4</v>
      </c>
      <c r="E23" s="106">
        <f t="shared" si="0"/>
        <v>4.5029977180568878E-2</v>
      </c>
      <c r="F23" s="106">
        <v>26800</v>
      </c>
      <c r="G23" s="106">
        <f t="shared" si="1"/>
        <v>12.068033884392458</v>
      </c>
      <c r="H23" s="106">
        <v>26800</v>
      </c>
      <c r="I23" s="106">
        <f t="shared" si="2"/>
        <v>12.068033884392458</v>
      </c>
      <c r="J23" s="106">
        <f t="shared" si="3"/>
        <v>0</v>
      </c>
      <c r="K23" s="119">
        <f t="shared" si="4"/>
        <v>4.5029977180568878E-4</v>
      </c>
    </row>
    <row r="24" spans="2:11" ht="13.15" hidden="1" customHeight="1" x14ac:dyDescent="0.25">
      <c r="B24" s="154"/>
      <c r="C24" s="154"/>
      <c r="D24" s="143"/>
      <c r="E24" s="106"/>
      <c r="F24" s="106"/>
      <c r="G24" s="106"/>
      <c r="H24" s="106"/>
      <c r="I24" s="106"/>
      <c r="J24" s="106"/>
    </row>
    <row r="25" spans="2:11" s="146" customFormat="1" x14ac:dyDescent="0.25">
      <c r="B25" s="1817" t="s">
        <v>37</v>
      </c>
      <c r="C25" s="1818"/>
      <c r="D25" s="155">
        <f>SUM(D5:D23)</f>
        <v>0.99999999999999989</v>
      </c>
      <c r="E25" s="156">
        <f>SUM(E5:E23)</f>
        <v>99.999999999999986</v>
      </c>
      <c r="F25" s="156"/>
      <c r="G25" s="230">
        <f>SUM(G5:G23)</f>
        <v>6187.2662960071848</v>
      </c>
      <c r="H25" s="156"/>
      <c r="I25" s="157">
        <f>SUM(I5:I23)</f>
        <v>6153.5698078303058</v>
      </c>
      <c r="J25" s="156">
        <f>((G25/I25)*100)-100</f>
        <v>0.54759252318874019</v>
      </c>
      <c r="K25" s="119"/>
    </row>
    <row r="26" spans="2:11" s="146" customFormat="1" x14ac:dyDescent="0.25">
      <c r="B26" s="229"/>
      <c r="C26" s="229"/>
      <c r="D26" s="158"/>
      <c r="E26" s="130"/>
      <c r="F26" s="130"/>
      <c r="G26" s="130"/>
      <c r="H26" s="130"/>
      <c r="I26" s="130"/>
      <c r="K26" s="119"/>
    </row>
    <row r="28" spans="2:11" ht="25.5" x14ac:dyDescent="0.25">
      <c r="B28" s="1816" t="s">
        <v>50</v>
      </c>
      <c r="C28" s="1819"/>
      <c r="D28" s="158"/>
      <c r="E28" s="130"/>
      <c r="F28" s="130"/>
      <c r="G28" s="130"/>
      <c r="H28" s="130"/>
      <c r="I28" s="130"/>
      <c r="J28" s="130"/>
    </row>
    <row r="29" spans="2:11" x14ac:dyDescent="0.25">
      <c r="B29" s="216" t="s">
        <v>38</v>
      </c>
      <c r="C29" s="215" t="s">
        <v>90</v>
      </c>
    </row>
    <row r="30" spans="2:11" x14ac:dyDescent="0.25">
      <c r="B30" s="216" t="s">
        <v>39</v>
      </c>
      <c r="C30" s="215" t="s">
        <v>245</v>
      </c>
    </row>
    <row r="31" spans="2:11" x14ac:dyDescent="0.25">
      <c r="B31" s="216" t="s">
        <v>40</v>
      </c>
      <c r="C31" s="215">
        <v>360</v>
      </c>
    </row>
    <row r="32" spans="2:11" x14ac:dyDescent="0.25">
      <c r="B32" s="216" t="s">
        <v>41</v>
      </c>
      <c r="C32" s="215">
        <v>0.5</v>
      </c>
    </row>
    <row r="33" spans="2:14" x14ac:dyDescent="0.25">
      <c r="B33" s="216" t="s">
        <v>42</v>
      </c>
      <c r="C33" s="215">
        <v>0.5</v>
      </c>
    </row>
    <row r="34" spans="2:14" x14ac:dyDescent="0.25">
      <c r="B34" s="216" t="s">
        <v>43</v>
      </c>
      <c r="C34" s="215">
        <v>0</v>
      </c>
    </row>
    <row r="35" spans="2:14" x14ac:dyDescent="0.25">
      <c r="B35" s="216" t="s">
        <v>44</v>
      </c>
      <c r="C35" s="215">
        <v>7</v>
      </c>
    </row>
    <row r="36" spans="2:14" x14ac:dyDescent="0.25">
      <c r="B36" s="216" t="s">
        <v>45</v>
      </c>
      <c r="C36" s="215">
        <v>2</v>
      </c>
    </row>
    <row r="37" spans="2:14" x14ac:dyDescent="0.25">
      <c r="B37" s="216" t="s">
        <v>46</v>
      </c>
      <c r="C37" s="214">
        <f>SUM(C32,C33,C34,C35,C36)</f>
        <v>10</v>
      </c>
    </row>
    <row r="38" spans="2:14" x14ac:dyDescent="0.25">
      <c r="B38" s="159"/>
      <c r="C38" s="173"/>
    </row>
    <row r="39" spans="2:14" ht="25.5" x14ac:dyDescent="0.25">
      <c r="B39" s="1743" t="s">
        <v>257</v>
      </c>
      <c r="C39" s="1743"/>
      <c r="D39" s="1743"/>
      <c r="E39" s="1743"/>
      <c r="F39" s="1743"/>
      <c r="G39" s="1743"/>
      <c r="H39" s="1743"/>
      <c r="I39" s="1743"/>
    </row>
    <row r="41" spans="2:14" ht="25.5" x14ac:dyDescent="0.25">
      <c r="B41" s="117" t="s">
        <v>0</v>
      </c>
      <c r="C41" s="117" t="s">
        <v>1</v>
      </c>
      <c r="D41" s="142" t="s">
        <v>2</v>
      </c>
      <c r="E41" s="117" t="s">
        <v>3</v>
      </c>
      <c r="F41" s="149" t="s">
        <v>319</v>
      </c>
      <c r="G41" s="149" t="s">
        <v>307</v>
      </c>
      <c r="H41" s="121" t="s">
        <v>338</v>
      </c>
      <c r="I41" s="121" t="s">
        <v>308</v>
      </c>
      <c r="J41" s="121" t="s">
        <v>3</v>
      </c>
      <c r="K41" s="295">
        <v>0.39600000000000002</v>
      </c>
      <c r="L41" s="296" t="s">
        <v>443</v>
      </c>
      <c r="M41" s="297"/>
    </row>
    <row r="42" spans="2:14" x14ac:dyDescent="0.25">
      <c r="B42" s="154"/>
      <c r="C42" s="154" t="s">
        <v>136</v>
      </c>
      <c r="D42" s="143">
        <v>0.29304000000000008</v>
      </c>
      <c r="E42" s="106">
        <f>(D42*100)/$D$46</f>
        <v>74.000000000000014</v>
      </c>
      <c r="F42" s="250">
        <f>G25</f>
        <v>6187.2662960071848</v>
      </c>
      <c r="G42" s="106">
        <f>F42*D42</f>
        <v>1813.1165153819459</v>
      </c>
      <c r="H42" s="106">
        <v>6154</v>
      </c>
      <c r="I42" s="106">
        <f>H42*D42</f>
        <v>1803.3681600000004</v>
      </c>
      <c r="J42" s="106">
        <f>((H42/F42)*100)-100</f>
        <v>-0.53765741469140949</v>
      </c>
      <c r="K42" s="119">
        <f>$K$41*E42%</f>
        <v>0.29304000000000008</v>
      </c>
      <c r="L42" s="294">
        <f>K42/4</f>
        <v>7.326000000000002E-2</v>
      </c>
      <c r="M42" s="277"/>
      <c r="N42" s="277"/>
    </row>
    <row r="43" spans="2:14" x14ac:dyDescent="0.25">
      <c r="B43" s="154"/>
      <c r="C43" s="154" t="s">
        <v>247</v>
      </c>
      <c r="D43" s="143">
        <v>5.544000000000001E-2</v>
      </c>
      <c r="E43" s="106">
        <f>(D43*100)/$D$46</f>
        <v>14.000000000000004</v>
      </c>
      <c r="F43" s="106">
        <v>2240</v>
      </c>
      <c r="G43" s="106">
        <f>F43*D43</f>
        <v>124.18560000000002</v>
      </c>
      <c r="H43" s="106">
        <v>2240</v>
      </c>
      <c r="I43" s="106">
        <f>H43*D43</f>
        <v>124.18560000000002</v>
      </c>
      <c r="J43" s="106">
        <f>((H43/F43)*100)-100</f>
        <v>0</v>
      </c>
      <c r="K43" s="119">
        <f>$K$41*E43%</f>
        <v>5.5440000000000017E-2</v>
      </c>
      <c r="L43" s="294">
        <f>K43/4</f>
        <v>1.3860000000000004E-2</v>
      </c>
    </row>
    <row r="44" spans="2:14" x14ac:dyDescent="0.25">
      <c r="B44" s="154"/>
      <c r="C44" s="154" t="s">
        <v>246</v>
      </c>
      <c r="D44" s="143">
        <v>4.7519999999999979E-2</v>
      </c>
      <c r="E44" s="106">
        <f>(D44*100)/$D$46</f>
        <v>11.999999999999995</v>
      </c>
      <c r="F44" s="106">
        <v>7900</v>
      </c>
      <c r="G44" s="106">
        <f>F44*D44</f>
        <v>375.40799999999984</v>
      </c>
      <c r="H44" s="106">
        <v>7900</v>
      </c>
      <c r="I44" s="106">
        <f>H44*D44</f>
        <v>375.40799999999984</v>
      </c>
      <c r="J44" s="106">
        <f>((H44/F44)*100)-100</f>
        <v>0</v>
      </c>
      <c r="K44" s="119">
        <f>$K$41*E44%</f>
        <v>4.7519999999999979E-2</v>
      </c>
      <c r="L44" s="294">
        <f>K44/4</f>
        <v>1.1879999999999995E-2</v>
      </c>
    </row>
    <row r="45" spans="2:14" ht="13.15" hidden="1" customHeight="1" x14ac:dyDescent="0.25">
      <c r="B45" s="154"/>
      <c r="C45" s="154"/>
      <c r="D45" s="143"/>
      <c r="E45" s="106"/>
      <c r="F45" s="106"/>
      <c r="G45" s="106"/>
      <c r="H45" s="106"/>
      <c r="I45" s="106"/>
      <c r="J45" s="106"/>
    </row>
    <row r="46" spans="2:14" s="146" customFormat="1" x14ac:dyDescent="0.25">
      <c r="B46" s="1817" t="s">
        <v>37</v>
      </c>
      <c r="C46" s="1818"/>
      <c r="D46" s="155">
        <f>SUM(D42:D44)</f>
        <v>0.39600000000000002</v>
      </c>
      <c r="E46" s="156">
        <f>SUM(E42:E44)</f>
        <v>100.00000000000001</v>
      </c>
      <c r="F46" s="156"/>
      <c r="G46" s="174">
        <f>SUM(G42:G44)</f>
        <v>2312.7101153819458</v>
      </c>
      <c r="H46" s="156"/>
      <c r="I46" s="156">
        <f>SUM(I42:I44)</f>
        <v>2302.9617600000001</v>
      </c>
      <c r="J46" s="156">
        <f>((G46/I46)*100)-100</f>
        <v>0.4232964503043064</v>
      </c>
      <c r="K46" s="119"/>
    </row>
    <row r="47" spans="2:14" x14ac:dyDescent="0.25">
      <c r="G47" s="241"/>
      <c r="H47" s="130"/>
      <c r="I47" s="130"/>
    </row>
    <row r="48" spans="2:14" x14ac:dyDescent="0.25">
      <c r="G48" s="241"/>
      <c r="H48" s="130"/>
      <c r="I48" s="130"/>
    </row>
    <row r="49" spans="2:10" ht="25.5" x14ac:dyDescent="0.25">
      <c r="B49" s="1795" t="s">
        <v>47</v>
      </c>
      <c r="C49" s="1796"/>
      <c r="D49" s="1796"/>
      <c r="E49" s="1796"/>
      <c r="F49" s="1796"/>
      <c r="G49" s="1796"/>
      <c r="H49" s="1796"/>
      <c r="I49" s="1797"/>
      <c r="J49" s="289"/>
    </row>
    <row r="50" spans="2:10" ht="25.5" x14ac:dyDescent="0.25">
      <c r="B50" s="227" t="s">
        <v>0</v>
      </c>
      <c r="C50" s="227" t="s">
        <v>1</v>
      </c>
      <c r="D50" s="287" t="s">
        <v>2</v>
      </c>
      <c r="E50" s="201" t="s">
        <v>319</v>
      </c>
      <c r="F50" s="201" t="s">
        <v>307</v>
      </c>
      <c r="G50" s="138" t="s">
        <v>309</v>
      </c>
      <c r="H50" s="138" t="s">
        <v>308</v>
      </c>
      <c r="I50" s="138" t="s">
        <v>3</v>
      </c>
    </row>
    <row r="51" spans="2:10" x14ac:dyDescent="0.25">
      <c r="B51" s="222" t="s">
        <v>250</v>
      </c>
      <c r="C51" s="222" t="s">
        <v>251</v>
      </c>
      <c r="D51" s="221">
        <v>0.15</v>
      </c>
      <c r="E51" s="225">
        <v>795</v>
      </c>
      <c r="F51" s="225">
        <f>E51*D51</f>
        <v>119.25</v>
      </c>
      <c r="G51" s="225">
        <v>795</v>
      </c>
      <c r="H51" s="225">
        <f>G51*D51</f>
        <v>119.25</v>
      </c>
      <c r="I51" s="225">
        <f>((E51/G51)*100)-100</f>
        <v>0</v>
      </c>
    </row>
    <row r="52" spans="2:10" x14ac:dyDescent="0.25">
      <c r="B52" s="222" t="s">
        <v>200</v>
      </c>
      <c r="C52" s="222" t="s">
        <v>201</v>
      </c>
      <c r="D52" s="221">
        <v>0.2087</v>
      </c>
      <c r="E52" s="225">
        <v>52</v>
      </c>
      <c r="F52" s="225">
        <f>E52*D52</f>
        <v>10.852399999999999</v>
      </c>
      <c r="G52" s="225">
        <v>52</v>
      </c>
      <c r="H52" s="225">
        <f>G52*D52</f>
        <v>10.852399999999999</v>
      </c>
      <c r="I52" s="225">
        <f>((E52/G52)*100)-100</f>
        <v>0</v>
      </c>
    </row>
    <row r="53" spans="2:10" x14ac:dyDescent="0.25">
      <c r="B53" s="222" t="s">
        <v>394</v>
      </c>
      <c r="C53" s="222" t="s">
        <v>446</v>
      </c>
      <c r="D53" s="221">
        <v>3.3000000000000002E-2</v>
      </c>
      <c r="E53" s="225">
        <v>1624</v>
      </c>
      <c r="F53" s="225">
        <f>E53*D53</f>
        <v>53.592000000000006</v>
      </c>
      <c r="G53" s="225">
        <v>1353</v>
      </c>
      <c r="H53" s="225">
        <f>G53*D53</f>
        <v>44.649000000000001</v>
      </c>
      <c r="I53" s="225"/>
    </row>
    <row r="54" spans="2:10" x14ac:dyDescent="0.25">
      <c r="B54" s="222" t="s">
        <v>222</v>
      </c>
      <c r="C54" s="222" t="s">
        <v>223</v>
      </c>
      <c r="D54" s="221">
        <v>15</v>
      </c>
      <c r="E54" s="225">
        <v>4</v>
      </c>
      <c r="F54" s="225">
        <f>E54*D54</f>
        <v>60</v>
      </c>
      <c r="G54" s="225">
        <v>19</v>
      </c>
      <c r="H54" s="225">
        <f>G54*D54</f>
        <v>285</v>
      </c>
      <c r="I54" s="225">
        <f>((E54/G54)*100)-100</f>
        <v>-78.94736842105263</v>
      </c>
    </row>
    <row r="55" spans="2:10" x14ac:dyDescent="0.25">
      <c r="B55" s="222" t="s">
        <v>322</v>
      </c>
      <c r="C55" s="222" t="s">
        <v>323</v>
      </c>
      <c r="D55" s="221">
        <v>1</v>
      </c>
      <c r="E55" s="225">
        <v>437</v>
      </c>
      <c r="F55" s="225">
        <v>437</v>
      </c>
      <c r="G55" s="225">
        <v>437</v>
      </c>
      <c r="H55" s="225">
        <v>437</v>
      </c>
      <c r="I55" s="225">
        <f>((E55/G55)*100)-100</f>
        <v>0</v>
      </c>
    </row>
    <row r="56" spans="2:10" x14ac:dyDescent="0.25">
      <c r="B56" s="209"/>
      <c r="C56" s="209" t="s">
        <v>37</v>
      </c>
      <c r="D56" s="288"/>
      <c r="E56" s="220"/>
      <c r="F56" s="213">
        <f>SUM(F51:F55)</f>
        <v>680.69439999999997</v>
      </c>
      <c r="G56" s="220"/>
      <c r="H56" s="220">
        <f>SUM(H51:H55)</f>
        <v>896.75139999999999</v>
      </c>
      <c r="I56" s="290">
        <f>((F56/H56)*100)-100</f>
        <v>-24.093299436164813</v>
      </c>
    </row>
    <row r="57" spans="2:10" x14ac:dyDescent="0.25">
      <c r="I57" s="291"/>
    </row>
    <row r="58" spans="2:10" x14ac:dyDescent="0.25">
      <c r="B58" s="1798" t="s">
        <v>444</v>
      </c>
      <c r="C58" s="1798"/>
      <c r="D58" s="1799">
        <f>+G46+F56</f>
        <v>2993.4045153819457</v>
      </c>
      <c r="E58" s="1799"/>
      <c r="F58" s="1799"/>
      <c r="G58" s="1799"/>
      <c r="H58" s="1799"/>
      <c r="I58" s="292"/>
    </row>
    <row r="59" spans="2:10" x14ac:dyDescent="0.25">
      <c r="B59" s="1800" t="s">
        <v>48</v>
      </c>
      <c r="C59" s="1801"/>
      <c r="D59" s="1799">
        <f>+(921.6/1000)*360</f>
        <v>331.77600000000001</v>
      </c>
      <c r="E59" s="1799"/>
      <c r="F59" s="1799"/>
      <c r="G59" s="1799"/>
      <c r="H59" s="1799"/>
      <c r="I59" s="291"/>
    </row>
    <row r="60" spans="2:10" x14ac:dyDescent="0.25">
      <c r="B60" s="1800" t="s">
        <v>445</v>
      </c>
      <c r="C60" s="1801"/>
      <c r="D60" s="1799">
        <f>+D58+D59</f>
        <v>3325.1805153819455</v>
      </c>
      <c r="E60" s="1799"/>
      <c r="F60" s="1799"/>
      <c r="G60" s="1799"/>
      <c r="H60" s="1799"/>
      <c r="I60" s="293"/>
    </row>
    <row r="61" spans="2:10" x14ac:dyDescent="0.25">
      <c r="B61" s="1798" t="s">
        <v>49</v>
      </c>
      <c r="C61" s="1798"/>
      <c r="D61" s="1799">
        <f>D60/I62</f>
        <v>5541.9675256365763</v>
      </c>
      <c r="E61" s="1799"/>
      <c r="F61" s="1799"/>
      <c r="G61" s="1799"/>
      <c r="H61" s="1799"/>
      <c r="I61" s="298">
        <v>0.4</v>
      </c>
    </row>
    <row r="62" spans="2:10" x14ac:dyDescent="0.25">
      <c r="I62" s="299">
        <f>1-I61</f>
        <v>0.6</v>
      </c>
    </row>
    <row r="63" spans="2:10" x14ac:dyDescent="0.25">
      <c r="I63" s="291"/>
    </row>
    <row r="71" spans="9:11" x14ac:dyDescent="0.25">
      <c r="I71" s="146" t="s">
        <v>491</v>
      </c>
      <c r="J71" s="146">
        <v>5500</v>
      </c>
      <c r="K71" s="301">
        <v>0.25</v>
      </c>
    </row>
    <row r="72" spans="9:11" x14ac:dyDescent="0.25">
      <c r="J72" s="146">
        <f>J71/K72</f>
        <v>7333.333333333333</v>
      </c>
      <c r="K72" s="301">
        <f>1-K71</f>
        <v>0.75</v>
      </c>
    </row>
    <row r="73" spans="9:11" x14ac:dyDescent="0.25">
      <c r="J73" s="146">
        <f>J72-J71</f>
        <v>1833.333333333333</v>
      </c>
    </row>
    <row r="74" spans="9:11" x14ac:dyDescent="0.25">
      <c r="J74" s="218">
        <f>J71-J73</f>
        <v>3666.666666666667</v>
      </c>
    </row>
  </sheetData>
  <autoFilter ref="B4:K4" xr:uid="{7682D369-59B1-4980-BB03-50D4BF1ADBE2}">
    <sortState xmlns:xlrd2="http://schemas.microsoft.com/office/spreadsheetml/2017/richdata2" ref="B5:K23">
      <sortCondition descending="1" ref="D4"/>
    </sortState>
  </autoFilter>
  <mergeCells count="14">
    <mergeCell ref="B49:I49"/>
    <mergeCell ref="B2:I2"/>
    <mergeCell ref="B25:C25"/>
    <mergeCell ref="B28:C28"/>
    <mergeCell ref="B39:I39"/>
    <mergeCell ref="B46:C46"/>
    <mergeCell ref="B61:C61"/>
    <mergeCell ref="D61:H61"/>
    <mergeCell ref="B58:C58"/>
    <mergeCell ref="D58:H58"/>
    <mergeCell ref="B59:C59"/>
    <mergeCell ref="D59:H59"/>
    <mergeCell ref="B60:C60"/>
    <mergeCell ref="D60:H60"/>
  </mergeCells>
  <pageMargins left="0.7" right="0.7" top="0.75" bottom="0.75" header="0.3" footer="0.3"/>
  <pageSetup scale="35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9B394-D389-4CAF-831C-5BEBC12B959B}">
  <sheetPr codeName="Hoja47"/>
  <dimension ref="B2:N77"/>
  <sheetViews>
    <sheetView view="pageBreakPreview" zoomScale="70" zoomScaleNormal="100" zoomScaleSheetLayoutView="70" workbookViewId="0">
      <selection activeCell="C14" sqref="C14"/>
    </sheetView>
  </sheetViews>
  <sheetFormatPr baseColWidth="10" defaultColWidth="11.5703125" defaultRowHeight="13.5" x14ac:dyDescent="0.25"/>
  <cols>
    <col min="1" max="1" width="7.5703125" style="120" customWidth="1"/>
    <col min="2" max="2" width="13.28515625" style="120" customWidth="1"/>
    <col min="3" max="3" width="67.42578125" style="120" bestFit="1" customWidth="1"/>
    <col min="4" max="4" width="11.7109375" style="119" customWidth="1"/>
    <col min="5" max="5" width="11.7109375" style="146" bestFit="1" customWidth="1"/>
    <col min="6" max="6" width="13.5703125" style="146" bestFit="1" customWidth="1"/>
    <col min="7" max="7" width="17.140625" style="146" bestFit="1" customWidth="1"/>
    <col min="8" max="8" width="13.5703125" style="146" bestFit="1" customWidth="1"/>
    <col min="9" max="9" width="14.5703125" style="146" bestFit="1" customWidth="1"/>
    <col min="10" max="10" width="12.7109375" style="146" bestFit="1" customWidth="1"/>
    <col min="11" max="11" width="11.5703125" style="119"/>
    <col min="12" max="16384" width="11.5703125" style="120"/>
  </cols>
  <sheetData>
    <row r="2" spans="2:13" ht="25.5" x14ac:dyDescent="0.25">
      <c r="B2" s="1743" t="s">
        <v>256</v>
      </c>
      <c r="C2" s="1743"/>
      <c r="D2" s="1743"/>
      <c r="E2" s="1743"/>
      <c r="F2" s="1743"/>
      <c r="G2" s="1743"/>
      <c r="H2" s="1743"/>
      <c r="I2" s="1743"/>
    </row>
    <row r="4" spans="2:13" ht="25.5" x14ac:dyDescent="0.25">
      <c r="B4" s="117" t="s">
        <v>0</v>
      </c>
      <c r="C4" s="117" t="s">
        <v>1</v>
      </c>
      <c r="D4" s="142" t="s">
        <v>2</v>
      </c>
      <c r="E4" s="117" t="s">
        <v>3</v>
      </c>
      <c r="F4" s="149" t="s">
        <v>501</v>
      </c>
      <c r="G4" s="149" t="s">
        <v>502</v>
      </c>
      <c r="H4" s="121" t="s">
        <v>306</v>
      </c>
      <c r="I4" s="121" t="s">
        <v>307</v>
      </c>
      <c r="J4" s="121" t="s">
        <v>3</v>
      </c>
      <c r="K4" s="119">
        <v>1</v>
      </c>
    </row>
    <row r="5" spans="2:13" x14ac:dyDescent="0.25">
      <c r="B5" s="154" t="s">
        <v>4</v>
      </c>
      <c r="C5" s="154" t="s">
        <v>53</v>
      </c>
      <c r="D5" s="143">
        <v>0.37355876867655513</v>
      </c>
      <c r="E5" s="106">
        <f t="shared" ref="E5:E26" si="0">(D5*100)/$D$28</f>
        <v>37.355876867655503</v>
      </c>
      <c r="F5" s="106">
        <v>7</v>
      </c>
      <c r="G5" s="106">
        <f>F5*D5</f>
        <v>2.6149113807358857</v>
      </c>
      <c r="H5" s="106">
        <v>7</v>
      </c>
      <c r="I5" s="106">
        <f>H5*D5</f>
        <v>2.6149113807358857</v>
      </c>
      <c r="J5" s="106">
        <f>((F5/H5)*100)-100</f>
        <v>0</v>
      </c>
      <c r="K5" s="119">
        <f>$K$4*E5%</f>
        <v>0.37355876867655502</v>
      </c>
    </row>
    <row r="6" spans="2:13" ht="16.5" x14ac:dyDescent="0.25">
      <c r="B6" s="154" t="s">
        <v>6</v>
      </c>
      <c r="C6" s="154" t="s">
        <v>77</v>
      </c>
      <c r="D6" s="143">
        <v>9.6019236887914514E-2</v>
      </c>
      <c r="E6" s="106">
        <f t="shared" si="0"/>
        <v>9.6019236887914499</v>
      </c>
      <c r="F6" s="72">
        <v>6993</v>
      </c>
      <c r="G6" s="106">
        <f t="shared" ref="G6:G26" si="1">F6*D6</f>
        <v>671.46252355718616</v>
      </c>
      <c r="H6" s="106">
        <v>7255</v>
      </c>
      <c r="I6" s="106">
        <f t="shared" ref="I6:I26" si="2">H6*D6</f>
        <v>696.61956362181979</v>
      </c>
      <c r="J6" s="106">
        <f>((F6/H6)*100)-100</f>
        <v>-3.6113025499655436</v>
      </c>
      <c r="K6" s="119">
        <f t="shared" ref="K6:K26" si="3">$K$4*E6%</f>
        <v>9.60192368879145E-2</v>
      </c>
    </row>
    <row r="7" spans="2:13" ht="16.5" x14ac:dyDescent="0.25">
      <c r="B7" s="154" t="s">
        <v>54</v>
      </c>
      <c r="C7" s="343" t="s">
        <v>503</v>
      </c>
      <c r="D7" s="143">
        <v>9.6019236887914514E-2</v>
      </c>
      <c r="E7" s="106">
        <f t="shared" si="0"/>
        <v>9.6019236887914499</v>
      </c>
      <c r="F7" s="72">
        <v>5448</v>
      </c>
      <c r="G7" s="106">
        <f t="shared" si="1"/>
        <v>523.11280256535827</v>
      </c>
      <c r="H7" s="106">
        <v>7255</v>
      </c>
      <c r="I7" s="106">
        <f t="shared" si="2"/>
        <v>696.61956362181979</v>
      </c>
      <c r="J7" s="106"/>
      <c r="K7" s="119">
        <f t="shared" si="3"/>
        <v>9.60192368879145E-2</v>
      </c>
    </row>
    <row r="8" spans="2:13" x14ac:dyDescent="0.25">
      <c r="B8" s="154" t="s">
        <v>498</v>
      </c>
      <c r="C8" s="261" t="s">
        <v>499</v>
      </c>
      <c r="D8" s="143">
        <v>0.11325983943916834</v>
      </c>
      <c r="E8" s="106">
        <f t="shared" si="0"/>
        <v>11.325983943916832</v>
      </c>
      <c r="F8" s="106">
        <v>3160</v>
      </c>
      <c r="G8" s="106">
        <f t="shared" si="1"/>
        <v>357.90109262777196</v>
      </c>
      <c r="H8" s="106">
        <v>7255</v>
      </c>
      <c r="I8" s="106">
        <f t="shared" si="2"/>
        <v>821.70013513116635</v>
      </c>
      <c r="J8" s="106">
        <f t="shared" ref="J8:J26" si="4">((F8/H8)*100)-100</f>
        <v>-56.443831840110271</v>
      </c>
      <c r="K8" s="119">
        <f t="shared" si="3"/>
        <v>0.11325983943916831</v>
      </c>
      <c r="M8" s="120" t="s">
        <v>85</v>
      </c>
    </row>
    <row r="9" spans="2:13" ht="16.5" x14ac:dyDescent="0.25">
      <c r="B9" s="154" t="s">
        <v>509</v>
      </c>
      <c r="C9" s="154" t="s">
        <v>447</v>
      </c>
      <c r="D9" s="143">
        <v>0.10115018273453791</v>
      </c>
      <c r="E9" s="106">
        <f t="shared" si="0"/>
        <v>10.115018273453789</v>
      </c>
      <c r="F9" s="72">
        <v>6800</v>
      </c>
      <c r="G9" s="106">
        <f t="shared" si="1"/>
        <v>687.82124259485772</v>
      </c>
      <c r="H9" s="70">
        <v>7400</v>
      </c>
      <c r="I9" s="106">
        <f t="shared" si="2"/>
        <v>748.51135223558049</v>
      </c>
      <c r="J9" s="106">
        <f t="shared" si="4"/>
        <v>-8.1081081081080981</v>
      </c>
      <c r="K9" s="119">
        <f t="shared" si="3"/>
        <v>0.10115018273453788</v>
      </c>
    </row>
    <row r="10" spans="2:13" ht="16.5" x14ac:dyDescent="0.25">
      <c r="B10" s="231" t="s">
        <v>15</v>
      </c>
      <c r="C10" s="344" t="s">
        <v>16</v>
      </c>
      <c r="D10" s="143">
        <v>1.0000018065698262E-2</v>
      </c>
      <c r="E10" s="106">
        <f t="shared" si="0"/>
        <v>1.000001806569826</v>
      </c>
      <c r="F10" s="72">
        <v>28967</v>
      </c>
      <c r="G10" s="106">
        <f t="shared" si="1"/>
        <v>289.67052330908155</v>
      </c>
      <c r="H10" s="70">
        <v>29262</v>
      </c>
      <c r="I10" s="106">
        <f t="shared" si="2"/>
        <v>292.62052863846253</v>
      </c>
      <c r="J10" s="106">
        <f t="shared" si="4"/>
        <v>-1.0081334153509687</v>
      </c>
      <c r="K10" s="119">
        <f t="shared" si="3"/>
        <v>1.0000018065698259E-2</v>
      </c>
    </row>
    <row r="11" spans="2:13" ht="16.5" x14ac:dyDescent="0.25">
      <c r="B11" s="154" t="s">
        <v>467</v>
      </c>
      <c r="C11" s="343" t="s">
        <v>508</v>
      </c>
      <c r="D11" s="143">
        <v>9.0130988016854013E-2</v>
      </c>
      <c r="E11" s="106">
        <f t="shared" si="0"/>
        <v>9.0130988016854001</v>
      </c>
      <c r="F11" s="72">
        <v>5600</v>
      </c>
      <c r="G11" s="106">
        <f t="shared" si="1"/>
        <v>504.73353289438245</v>
      </c>
      <c r="H11" s="106">
        <v>16262</v>
      </c>
      <c r="I11" s="106">
        <f t="shared" si="2"/>
        <v>1465.7101271300799</v>
      </c>
      <c r="J11" s="106">
        <f t="shared" si="4"/>
        <v>-65.563891280285333</v>
      </c>
      <c r="K11" s="119">
        <f t="shared" si="3"/>
        <v>9.0130988016854E-2</v>
      </c>
    </row>
    <row r="12" spans="2:13" ht="16.5" x14ac:dyDescent="0.25">
      <c r="B12" s="154" t="s">
        <v>9</v>
      </c>
      <c r="C12" s="154" t="s">
        <v>10</v>
      </c>
      <c r="D12" s="143">
        <v>4.9675368175073842E-2</v>
      </c>
      <c r="E12" s="106">
        <f t="shared" si="0"/>
        <v>4.9675368175073835</v>
      </c>
      <c r="F12" s="72">
        <v>5975</v>
      </c>
      <c r="G12" s="106">
        <f t="shared" si="1"/>
        <v>296.81032484606618</v>
      </c>
      <c r="H12" s="106">
        <v>5761</v>
      </c>
      <c r="I12" s="106">
        <f t="shared" si="2"/>
        <v>286.17979605660042</v>
      </c>
      <c r="J12" s="106">
        <f t="shared" si="4"/>
        <v>3.7146328762367631</v>
      </c>
      <c r="K12" s="119">
        <f t="shared" si="3"/>
        <v>4.9675368175073835E-2</v>
      </c>
    </row>
    <row r="13" spans="2:13" ht="16.5" x14ac:dyDescent="0.25">
      <c r="B13" s="154" t="s">
        <v>11</v>
      </c>
      <c r="C13" s="343" t="s">
        <v>504</v>
      </c>
      <c r="D13" s="143">
        <v>2.6493529693372694E-2</v>
      </c>
      <c r="E13" s="106">
        <f t="shared" si="0"/>
        <v>2.649352969337269</v>
      </c>
      <c r="F13" s="72">
        <v>14450</v>
      </c>
      <c r="G13" s="106">
        <f t="shared" si="1"/>
        <v>382.83150406923545</v>
      </c>
      <c r="H13" s="70">
        <v>15638</v>
      </c>
      <c r="I13" s="106">
        <f t="shared" si="2"/>
        <v>414.30581734496218</v>
      </c>
      <c r="J13" s="106">
        <f t="shared" si="4"/>
        <v>-7.5968793963422456</v>
      </c>
      <c r="K13" s="119">
        <f t="shared" si="3"/>
        <v>2.6493529693372691E-2</v>
      </c>
    </row>
    <row r="14" spans="2:13" x14ac:dyDescent="0.25">
      <c r="B14" s="154" t="s">
        <v>17</v>
      </c>
      <c r="C14" s="154" t="s">
        <v>18</v>
      </c>
      <c r="D14" s="143">
        <v>1.2584426604352036E-2</v>
      </c>
      <c r="E14" s="106">
        <f t="shared" si="0"/>
        <v>1.2584426604352035</v>
      </c>
      <c r="F14" s="106">
        <v>878</v>
      </c>
      <c r="G14" s="106">
        <f t="shared" si="1"/>
        <v>11.049126558621088</v>
      </c>
      <c r="H14" s="106">
        <v>878</v>
      </c>
      <c r="I14" s="106">
        <f t="shared" si="2"/>
        <v>11.049126558621088</v>
      </c>
      <c r="J14" s="106">
        <f t="shared" si="4"/>
        <v>0</v>
      </c>
      <c r="K14" s="119">
        <f t="shared" si="3"/>
        <v>1.2584426604352035E-2</v>
      </c>
    </row>
    <row r="15" spans="2:13" x14ac:dyDescent="0.25">
      <c r="B15" s="154" t="s">
        <v>59</v>
      </c>
      <c r="C15" s="154" t="s">
        <v>60</v>
      </c>
      <c r="D15" s="143">
        <v>5.7623427083085621E-3</v>
      </c>
      <c r="E15" s="106">
        <f t="shared" si="0"/>
        <v>0.5762342708308561</v>
      </c>
      <c r="F15" s="106">
        <v>65857</v>
      </c>
      <c r="G15" s="106">
        <f t="shared" si="1"/>
        <v>379.490603741077</v>
      </c>
      <c r="H15" s="106">
        <v>62000</v>
      </c>
      <c r="I15" s="106">
        <f t="shared" si="2"/>
        <v>357.26524791513083</v>
      </c>
      <c r="J15" s="106">
        <f t="shared" si="4"/>
        <v>6.2209677419354819</v>
      </c>
      <c r="K15" s="119">
        <f t="shared" si="3"/>
        <v>5.7623427083085613E-3</v>
      </c>
    </row>
    <row r="16" spans="2:13" ht="16.5" x14ac:dyDescent="0.25">
      <c r="B16" s="154" t="s">
        <v>78</v>
      </c>
      <c r="C16" s="343" t="s">
        <v>505</v>
      </c>
      <c r="D16" s="143">
        <v>4.8350691690405203E-3</v>
      </c>
      <c r="E16" s="106">
        <f t="shared" si="0"/>
        <v>0.4835069169040519</v>
      </c>
      <c r="F16" s="72">
        <v>55086</v>
      </c>
      <c r="G16" s="106">
        <f t="shared" si="1"/>
        <v>266.34462024576612</v>
      </c>
      <c r="H16" s="106">
        <v>62980</v>
      </c>
      <c r="I16" s="106">
        <f t="shared" si="2"/>
        <v>304.51265626617197</v>
      </c>
      <c r="J16" s="106">
        <f t="shared" si="4"/>
        <v>-12.534137821530649</v>
      </c>
      <c r="K16" s="119">
        <f t="shared" si="3"/>
        <v>4.8350691690405186E-3</v>
      </c>
    </row>
    <row r="17" spans="2:11" ht="16.5" x14ac:dyDescent="0.25">
      <c r="B17" s="154" t="s">
        <v>65</v>
      </c>
      <c r="C17" s="154" t="s">
        <v>66</v>
      </c>
      <c r="D17" s="143">
        <v>4.3714323994064955E-3</v>
      </c>
      <c r="E17" s="106">
        <f t="shared" si="0"/>
        <v>0.43714323994064941</v>
      </c>
      <c r="F17" s="72">
        <v>24619</v>
      </c>
      <c r="G17" s="106">
        <f t="shared" si="1"/>
        <v>107.62029424098851</v>
      </c>
      <c r="H17" s="106">
        <v>24619</v>
      </c>
      <c r="I17" s="106">
        <f t="shared" si="2"/>
        <v>107.62029424098851</v>
      </c>
      <c r="J17" s="106">
        <f t="shared" si="4"/>
        <v>0</v>
      </c>
      <c r="K17" s="119">
        <f t="shared" si="3"/>
        <v>4.3714323994064937E-3</v>
      </c>
    </row>
    <row r="18" spans="2:11" ht="16.5" x14ac:dyDescent="0.25">
      <c r="B18" s="154" t="s">
        <v>61</v>
      </c>
      <c r="C18" s="154" t="s">
        <v>62</v>
      </c>
      <c r="D18" s="143">
        <v>3.6428603328387483E-3</v>
      </c>
      <c r="E18" s="106">
        <f t="shared" si="0"/>
        <v>0.36428603328387477</v>
      </c>
      <c r="F18" s="72">
        <v>30713</v>
      </c>
      <c r="G18" s="106">
        <f t="shared" si="1"/>
        <v>111.88316940247647</v>
      </c>
      <c r="H18" s="106">
        <v>30713</v>
      </c>
      <c r="I18" s="106">
        <f t="shared" si="2"/>
        <v>111.88316940247647</v>
      </c>
      <c r="J18" s="106">
        <f t="shared" si="4"/>
        <v>0</v>
      </c>
      <c r="K18" s="119">
        <f t="shared" si="3"/>
        <v>3.6428603328387478E-3</v>
      </c>
    </row>
    <row r="19" spans="2:11" x14ac:dyDescent="0.25">
      <c r="B19" s="154" t="s">
        <v>63</v>
      </c>
      <c r="C19" s="154" t="s">
        <v>64</v>
      </c>
      <c r="D19" s="143">
        <v>3.3116912116715868E-3</v>
      </c>
      <c r="E19" s="106">
        <f t="shared" si="0"/>
        <v>0.33116912116715863</v>
      </c>
      <c r="F19" s="106">
        <v>46385</v>
      </c>
      <c r="G19" s="106">
        <f t="shared" si="1"/>
        <v>153.61279685338656</v>
      </c>
      <c r="H19" s="106">
        <v>46385</v>
      </c>
      <c r="I19" s="106">
        <f t="shared" si="2"/>
        <v>153.61279685338656</v>
      </c>
      <c r="J19" s="106">
        <f t="shared" si="4"/>
        <v>0</v>
      </c>
      <c r="K19" s="119">
        <f t="shared" si="3"/>
        <v>3.3116912116715864E-3</v>
      </c>
    </row>
    <row r="20" spans="2:11" x14ac:dyDescent="0.25">
      <c r="B20" s="154" t="s">
        <v>243</v>
      </c>
      <c r="C20" s="154" t="s">
        <v>244</v>
      </c>
      <c r="D20" s="143">
        <v>3.0467559147378618E-3</v>
      </c>
      <c r="E20" s="106">
        <f t="shared" si="0"/>
        <v>0.30467559147378614</v>
      </c>
      <c r="F20" s="106">
        <v>50633</v>
      </c>
      <c r="G20" s="106">
        <f t="shared" si="1"/>
        <v>154.26639223092215</v>
      </c>
      <c r="H20" s="106">
        <v>50633</v>
      </c>
      <c r="I20" s="106">
        <f t="shared" si="2"/>
        <v>154.26639223092215</v>
      </c>
      <c r="J20" s="106">
        <f t="shared" si="4"/>
        <v>0</v>
      </c>
      <c r="K20" s="119">
        <f t="shared" si="3"/>
        <v>3.0467559147378614E-3</v>
      </c>
    </row>
    <row r="21" spans="2:11" x14ac:dyDescent="0.25">
      <c r="B21" s="154" t="s">
        <v>27</v>
      </c>
      <c r="C21" s="154" t="s">
        <v>28</v>
      </c>
      <c r="D21" s="143">
        <v>2.980522090504431E-3</v>
      </c>
      <c r="E21" s="106">
        <f t="shared" si="0"/>
        <v>0.29805220905044305</v>
      </c>
      <c r="F21" s="106">
        <v>16132</v>
      </c>
      <c r="G21" s="106">
        <f t="shared" si="1"/>
        <v>48.081782364017478</v>
      </c>
      <c r="H21" s="106">
        <v>16110</v>
      </c>
      <c r="I21" s="106">
        <f t="shared" si="2"/>
        <v>48.016210878026385</v>
      </c>
      <c r="J21" s="106">
        <f t="shared" si="4"/>
        <v>0.13656114214772686</v>
      </c>
      <c r="K21" s="119">
        <f t="shared" si="3"/>
        <v>2.9805220905044305E-3</v>
      </c>
    </row>
    <row r="22" spans="2:11" ht="16.5" x14ac:dyDescent="0.25">
      <c r="B22" s="154" t="s">
        <v>467</v>
      </c>
      <c r="C22" s="343" t="s">
        <v>506</v>
      </c>
      <c r="D22" s="143">
        <v>1.000001806569826E-3</v>
      </c>
      <c r="E22" s="106">
        <f t="shared" si="0"/>
        <v>0.10000018065698257</v>
      </c>
      <c r="F22" s="72">
        <v>13200</v>
      </c>
      <c r="G22" s="106">
        <f t="shared" si="1"/>
        <v>13.200023846721704</v>
      </c>
      <c r="H22" s="106">
        <v>59227</v>
      </c>
      <c r="I22" s="106">
        <f t="shared" si="2"/>
        <v>59.22710699771109</v>
      </c>
      <c r="J22" s="106">
        <f t="shared" si="4"/>
        <v>-77.712867442213849</v>
      </c>
      <c r="K22" s="119">
        <f t="shared" si="3"/>
        <v>1.0000018065698258E-3</v>
      </c>
    </row>
    <row r="23" spans="2:11" ht="16.5" x14ac:dyDescent="0.25">
      <c r="B23" s="154" t="s">
        <v>467</v>
      </c>
      <c r="C23" s="343" t="s">
        <v>507</v>
      </c>
      <c r="D23" s="143">
        <v>2.5000045164245653E-5</v>
      </c>
      <c r="E23" s="106">
        <f t="shared" si="0"/>
        <v>2.5000045164245647E-3</v>
      </c>
      <c r="F23" s="72">
        <v>320000</v>
      </c>
      <c r="G23" s="106">
        <f t="shared" si="1"/>
        <v>8.0000144525586094</v>
      </c>
      <c r="H23" s="106">
        <v>0</v>
      </c>
      <c r="I23" s="106">
        <f t="shared" si="2"/>
        <v>0</v>
      </c>
      <c r="J23" s="106" t="e">
        <f t="shared" si="4"/>
        <v>#DIV/0!</v>
      </c>
      <c r="K23" s="119">
        <f t="shared" si="3"/>
        <v>2.5000045164245646E-5</v>
      </c>
    </row>
    <row r="24" spans="2:11" ht="16.5" x14ac:dyDescent="0.25">
      <c r="B24" s="154" t="s">
        <v>219</v>
      </c>
      <c r="C24" s="154" t="s">
        <v>220</v>
      </c>
      <c r="D24" s="143">
        <v>1.0200008931948495E-3</v>
      </c>
      <c r="E24" s="106">
        <f t="shared" si="0"/>
        <v>0.10200008931948493</v>
      </c>
      <c r="F24" s="72">
        <v>32511</v>
      </c>
      <c r="G24" s="106">
        <f t="shared" si="1"/>
        <v>33.161249038657751</v>
      </c>
      <c r="H24" s="106">
        <v>32511</v>
      </c>
      <c r="I24" s="106">
        <f t="shared" si="2"/>
        <v>33.161249038657751</v>
      </c>
      <c r="J24" s="106">
        <f t="shared" si="4"/>
        <v>0</v>
      </c>
      <c r="K24" s="119">
        <f t="shared" si="3"/>
        <v>1.0200008931948493E-3</v>
      </c>
    </row>
    <row r="25" spans="2:11" x14ac:dyDescent="0.25">
      <c r="B25" s="154" t="s">
        <v>67</v>
      </c>
      <c r="C25" s="154" t="s">
        <v>68</v>
      </c>
      <c r="D25" s="143">
        <v>6.6233824233431803E-4</v>
      </c>
      <c r="E25" s="106">
        <f t="shared" si="0"/>
        <v>6.6233824233431784E-2</v>
      </c>
      <c r="F25" s="106">
        <v>69401</v>
      </c>
      <c r="G25" s="106">
        <f t="shared" si="1"/>
        <v>45.966936356244005</v>
      </c>
      <c r="H25" s="106">
        <v>69401</v>
      </c>
      <c r="I25" s="106">
        <f t="shared" si="2"/>
        <v>45.966936356244005</v>
      </c>
      <c r="J25" s="106">
        <f t="shared" si="4"/>
        <v>0</v>
      </c>
      <c r="K25" s="119">
        <f t="shared" si="3"/>
        <v>6.6233824233431781E-4</v>
      </c>
    </row>
    <row r="26" spans="2:11" x14ac:dyDescent="0.25">
      <c r="B26" s="154" t="s">
        <v>33</v>
      </c>
      <c r="C26" s="154" t="s">
        <v>34</v>
      </c>
      <c r="D26" s="143">
        <v>4.5039000478733617E-4</v>
      </c>
      <c r="E26" s="106">
        <f t="shared" si="0"/>
        <v>4.5039000478733611E-2</v>
      </c>
      <c r="F26" s="106">
        <v>26800</v>
      </c>
      <c r="G26" s="106">
        <f t="shared" si="1"/>
        <v>12.070452128300609</v>
      </c>
      <c r="H26" s="106">
        <v>26800</v>
      </c>
      <c r="I26" s="106">
        <f t="shared" si="2"/>
        <v>12.070452128300609</v>
      </c>
      <c r="J26" s="106">
        <f t="shared" si="4"/>
        <v>0</v>
      </c>
      <c r="K26" s="119">
        <f t="shared" si="3"/>
        <v>4.5039000478733611E-4</v>
      </c>
    </row>
    <row r="27" spans="2:11" ht="13.15" hidden="1" customHeight="1" x14ac:dyDescent="0.25">
      <c r="B27" s="154"/>
      <c r="C27" s="154"/>
      <c r="D27" s="143"/>
      <c r="E27" s="106"/>
      <c r="F27" s="106"/>
      <c r="G27" s="106"/>
      <c r="H27" s="106"/>
      <c r="I27" s="106"/>
      <c r="J27" s="106"/>
    </row>
    <row r="28" spans="2:11" s="146" customFormat="1" x14ac:dyDescent="0.25">
      <c r="B28" s="1817" t="s">
        <v>37</v>
      </c>
      <c r="C28" s="1818"/>
      <c r="D28" s="155">
        <f>SUM(D5:D26)</f>
        <v>1.0000000000000002</v>
      </c>
      <c r="E28" s="156">
        <f>SUM(E5:E26)</f>
        <v>99.999999999999986</v>
      </c>
      <c r="F28" s="156"/>
      <c r="G28" s="230">
        <f>SUM(G5:G26)</f>
        <v>5061.7059193044133</v>
      </c>
      <c r="H28" s="156"/>
      <c r="I28" s="157">
        <f>SUM(I5:I26)</f>
        <v>6823.533434027865</v>
      </c>
      <c r="J28" s="156">
        <f>((G28/I28)*100)-100</f>
        <v>-25.819870771607881</v>
      </c>
      <c r="K28" s="119"/>
    </row>
    <row r="29" spans="2:11" s="146" customFormat="1" x14ac:dyDescent="0.25">
      <c r="B29" s="229"/>
      <c r="C29" s="229"/>
      <c r="D29" s="158"/>
      <c r="E29" s="130"/>
      <c r="F29" s="130"/>
      <c r="G29" s="130"/>
      <c r="H29" s="130"/>
      <c r="I29" s="130"/>
      <c r="K29" s="119"/>
    </row>
    <row r="31" spans="2:11" ht="25.5" x14ac:dyDescent="0.25">
      <c r="B31" s="1816" t="s">
        <v>50</v>
      </c>
      <c r="C31" s="1819"/>
      <c r="D31" s="158"/>
      <c r="E31" s="130"/>
      <c r="F31" s="130"/>
      <c r="G31" s="130"/>
      <c r="H31" s="130"/>
      <c r="I31" s="130"/>
      <c r="J31" s="130"/>
    </row>
    <row r="32" spans="2:11" x14ac:dyDescent="0.25">
      <c r="B32" s="216" t="s">
        <v>38</v>
      </c>
      <c r="C32" s="215" t="s">
        <v>90</v>
      </c>
    </row>
    <row r="33" spans="2:14" x14ac:dyDescent="0.25">
      <c r="B33" s="216" t="s">
        <v>39</v>
      </c>
      <c r="C33" s="215" t="s">
        <v>245</v>
      </c>
    </row>
    <row r="34" spans="2:14" x14ac:dyDescent="0.25">
      <c r="B34" s="216" t="s">
        <v>40</v>
      </c>
      <c r="C34" s="215">
        <v>360</v>
      </c>
    </row>
    <row r="35" spans="2:14" x14ac:dyDescent="0.25">
      <c r="B35" s="216" t="s">
        <v>41</v>
      </c>
      <c r="C35" s="215">
        <v>0.5</v>
      </c>
    </row>
    <row r="36" spans="2:14" x14ac:dyDescent="0.25">
      <c r="B36" s="216" t="s">
        <v>42</v>
      </c>
      <c r="C36" s="215">
        <v>0.5</v>
      </c>
    </row>
    <row r="37" spans="2:14" x14ac:dyDescent="0.25">
      <c r="B37" s="216" t="s">
        <v>43</v>
      </c>
      <c r="C37" s="215">
        <v>0</v>
      </c>
    </row>
    <row r="38" spans="2:14" x14ac:dyDescent="0.25">
      <c r="B38" s="216" t="s">
        <v>44</v>
      </c>
      <c r="C38" s="215">
        <v>7</v>
      </c>
    </row>
    <row r="39" spans="2:14" x14ac:dyDescent="0.25">
      <c r="B39" s="216" t="s">
        <v>45</v>
      </c>
      <c r="C39" s="215">
        <v>2</v>
      </c>
    </row>
    <row r="40" spans="2:14" x14ac:dyDescent="0.25">
      <c r="B40" s="216" t="s">
        <v>46</v>
      </c>
      <c r="C40" s="214">
        <f>SUM(C35,C36,C37,C38,C39)</f>
        <v>10</v>
      </c>
    </row>
    <row r="41" spans="2:14" x14ac:dyDescent="0.25">
      <c r="B41" s="159"/>
      <c r="C41" s="173"/>
    </row>
    <row r="42" spans="2:14" ht="25.5" x14ac:dyDescent="0.25">
      <c r="B42" s="1743" t="s">
        <v>257</v>
      </c>
      <c r="C42" s="1743"/>
      <c r="D42" s="1743"/>
      <c r="E42" s="1743"/>
      <c r="F42" s="1743"/>
      <c r="G42" s="1743"/>
      <c r="H42" s="1743"/>
      <c r="I42" s="1743"/>
    </row>
    <row r="44" spans="2:14" ht="25.5" x14ac:dyDescent="0.25">
      <c r="B44" s="117" t="s">
        <v>0</v>
      </c>
      <c r="C44" s="117" t="s">
        <v>1</v>
      </c>
      <c r="D44" s="142" t="s">
        <v>2</v>
      </c>
      <c r="E44" s="117" t="s">
        <v>3</v>
      </c>
      <c r="F44" s="149" t="s">
        <v>511</v>
      </c>
      <c r="G44" s="149" t="s">
        <v>512</v>
      </c>
      <c r="H44" s="121" t="s">
        <v>510</v>
      </c>
      <c r="I44" s="121" t="s">
        <v>307</v>
      </c>
      <c r="J44" s="121" t="s">
        <v>3</v>
      </c>
      <c r="K44" s="295">
        <v>0.39600000000000002</v>
      </c>
      <c r="L44" s="296" t="s">
        <v>443</v>
      </c>
      <c r="M44" s="297"/>
    </row>
    <row r="45" spans="2:14" x14ac:dyDescent="0.25">
      <c r="B45" s="154"/>
      <c r="C45" s="154" t="s">
        <v>136</v>
      </c>
      <c r="D45" s="143">
        <v>0.29304000000000008</v>
      </c>
      <c r="E45" s="106">
        <f>(D45*100)/$D$49</f>
        <v>74.000000000000014</v>
      </c>
      <c r="F45" s="250">
        <f>G28</f>
        <v>5061.7059193044133</v>
      </c>
      <c r="G45" s="106">
        <f>F45*D45</f>
        <v>1483.2823025929656</v>
      </c>
      <c r="H45" s="106">
        <v>5061.7059193044133</v>
      </c>
      <c r="I45" s="106">
        <v>1483.2823025929656</v>
      </c>
      <c r="J45" s="106">
        <f>((H45/F45)*100)-100</f>
        <v>0</v>
      </c>
      <c r="K45" s="119">
        <f>$K$44*E45%</f>
        <v>0.29304000000000008</v>
      </c>
      <c r="L45" s="294">
        <f>K45/4</f>
        <v>7.326000000000002E-2</v>
      </c>
      <c r="M45" s="277"/>
      <c r="N45" s="277"/>
    </row>
    <row r="46" spans="2:14" x14ac:dyDescent="0.25">
      <c r="B46" s="154"/>
      <c r="C46" s="154" t="s">
        <v>247</v>
      </c>
      <c r="D46" s="143">
        <v>5.544000000000001E-2</v>
      </c>
      <c r="E46" s="106">
        <f>(D46*100)/$D$49</f>
        <v>14.000000000000004</v>
      </c>
      <c r="F46" s="106">
        <v>2240</v>
      </c>
      <c r="G46" s="106">
        <f>F46*D46</f>
        <v>124.18560000000002</v>
      </c>
      <c r="H46" s="106">
        <v>2240</v>
      </c>
      <c r="I46" s="106">
        <v>124.18560000000002</v>
      </c>
      <c r="J46" s="106">
        <f>((H46/F46)*100)-100</f>
        <v>0</v>
      </c>
      <c r="K46" s="119">
        <f>$K$44*E46%</f>
        <v>5.5440000000000017E-2</v>
      </c>
      <c r="L46" s="294">
        <f>K46/4</f>
        <v>1.3860000000000004E-2</v>
      </c>
    </row>
    <row r="47" spans="2:14" x14ac:dyDescent="0.25">
      <c r="B47" s="154"/>
      <c r="C47" s="154" t="s">
        <v>246</v>
      </c>
      <c r="D47" s="143">
        <v>4.7519999999999979E-2</v>
      </c>
      <c r="E47" s="106">
        <f>(D47*100)/$D$49</f>
        <v>11.999999999999995</v>
      </c>
      <c r="F47" s="106">
        <v>7900</v>
      </c>
      <c r="G47" s="106">
        <f>F47*D47</f>
        <v>375.40799999999984</v>
      </c>
      <c r="H47" s="106">
        <v>7900</v>
      </c>
      <c r="I47" s="106">
        <v>375.40799999999984</v>
      </c>
      <c r="J47" s="106">
        <f>((H47/F47)*100)-100</f>
        <v>0</v>
      </c>
      <c r="K47" s="119">
        <f>$K$44*E47%</f>
        <v>4.7519999999999979E-2</v>
      </c>
      <c r="L47" s="294">
        <f>K47/4</f>
        <v>1.1879999999999995E-2</v>
      </c>
    </row>
    <row r="48" spans="2:14" ht="13.15" hidden="1" customHeight="1" x14ac:dyDescent="0.25">
      <c r="B48" s="154"/>
      <c r="C48" s="154"/>
      <c r="D48" s="143"/>
      <c r="E48" s="106"/>
      <c r="F48" s="106"/>
      <c r="G48" s="106"/>
      <c r="H48" s="106"/>
      <c r="I48" s="106"/>
      <c r="J48" s="106"/>
    </row>
    <row r="49" spans="2:11" s="146" customFormat="1" x14ac:dyDescent="0.25">
      <c r="B49" s="1817" t="s">
        <v>37</v>
      </c>
      <c r="C49" s="1818"/>
      <c r="D49" s="155">
        <f>SUM(D45:D47)</f>
        <v>0.39600000000000002</v>
      </c>
      <c r="E49" s="156">
        <f>SUM(E45:E47)</f>
        <v>100.00000000000001</v>
      </c>
      <c r="F49" s="156"/>
      <c r="G49" s="174">
        <f>SUM(G45:G47)</f>
        <v>1982.8759025929655</v>
      </c>
      <c r="H49" s="156"/>
      <c r="I49" s="156">
        <f>SUM(I45:I47)</f>
        <v>1982.8759025929655</v>
      </c>
      <c r="J49" s="156">
        <f>((G49/I49)*100)-100</f>
        <v>0</v>
      </c>
      <c r="K49" s="119"/>
    </row>
    <row r="50" spans="2:11" x14ac:dyDescent="0.25">
      <c r="G50" s="241"/>
      <c r="H50" s="130"/>
      <c r="I50" s="130"/>
    </row>
    <row r="51" spans="2:11" x14ac:dyDescent="0.25">
      <c r="G51" s="241"/>
      <c r="H51" s="130"/>
      <c r="I51" s="130"/>
    </row>
    <row r="52" spans="2:11" ht="25.5" x14ac:dyDescent="0.25">
      <c r="B52" s="1795" t="s">
        <v>47</v>
      </c>
      <c r="C52" s="1796"/>
      <c r="D52" s="1796"/>
      <c r="E52" s="1796"/>
      <c r="F52" s="1796"/>
      <c r="G52" s="1796"/>
      <c r="H52" s="1796"/>
      <c r="I52" s="1797"/>
      <c r="J52" s="289"/>
    </row>
    <row r="53" spans="2:11" ht="25.5" x14ac:dyDescent="0.25">
      <c r="B53" s="227" t="s">
        <v>0</v>
      </c>
      <c r="C53" s="227" t="s">
        <v>1</v>
      </c>
      <c r="D53" s="287" t="s">
        <v>2</v>
      </c>
      <c r="E53" s="201" t="s">
        <v>319</v>
      </c>
      <c r="F53" s="201" t="s">
        <v>307</v>
      </c>
      <c r="G53" s="138" t="s">
        <v>309</v>
      </c>
      <c r="H53" s="138" t="s">
        <v>308</v>
      </c>
      <c r="I53" s="138" t="s">
        <v>3</v>
      </c>
    </row>
    <row r="54" spans="2:11" x14ac:dyDescent="0.25">
      <c r="B54" s="222" t="s">
        <v>250</v>
      </c>
      <c r="C54" s="222" t="s">
        <v>251</v>
      </c>
      <c r="D54" s="221">
        <v>0.15</v>
      </c>
      <c r="E54" s="225">
        <v>795</v>
      </c>
      <c r="F54" s="225">
        <f>E54*D54</f>
        <v>119.25</v>
      </c>
      <c r="G54" s="225">
        <v>795</v>
      </c>
      <c r="H54" s="225">
        <f>G54*D54</f>
        <v>119.25</v>
      </c>
      <c r="I54" s="225">
        <f>((E54/G54)*100)-100</f>
        <v>0</v>
      </c>
    </row>
    <row r="55" spans="2:11" x14ac:dyDescent="0.25">
      <c r="B55" s="222" t="s">
        <v>200</v>
      </c>
      <c r="C55" s="222" t="s">
        <v>201</v>
      </c>
      <c r="D55" s="221">
        <v>0.2087</v>
      </c>
      <c r="E55" s="225">
        <v>52</v>
      </c>
      <c r="F55" s="225">
        <f>E55*D55</f>
        <v>10.852399999999999</v>
      </c>
      <c r="G55" s="225">
        <v>52</v>
      </c>
      <c r="H55" s="225">
        <f>G55*D55</f>
        <v>10.852399999999999</v>
      </c>
      <c r="I55" s="225">
        <f>((E55/G55)*100)-100</f>
        <v>0</v>
      </c>
    </row>
    <row r="56" spans="2:11" x14ac:dyDescent="0.25">
      <c r="B56" s="222" t="s">
        <v>394</v>
      </c>
      <c r="C56" s="222" t="s">
        <v>446</v>
      </c>
      <c r="D56" s="221">
        <v>3.3000000000000002E-2</v>
      </c>
      <c r="E56" s="225">
        <v>1624</v>
      </c>
      <c r="F56" s="225">
        <f>E56*D56</f>
        <v>53.592000000000006</v>
      </c>
      <c r="G56" s="225">
        <v>1353</v>
      </c>
      <c r="H56" s="225">
        <f>G56*D56</f>
        <v>44.649000000000001</v>
      </c>
      <c r="I56" s="225"/>
    </row>
    <row r="57" spans="2:11" x14ac:dyDescent="0.25">
      <c r="B57" s="222" t="s">
        <v>222</v>
      </c>
      <c r="C57" s="222" t="s">
        <v>223</v>
      </c>
      <c r="D57" s="221">
        <v>15</v>
      </c>
      <c r="E57" s="225">
        <v>4</v>
      </c>
      <c r="F57" s="225">
        <f>E57*D57</f>
        <v>60</v>
      </c>
      <c r="G57" s="225">
        <v>19</v>
      </c>
      <c r="H57" s="225">
        <f>G57*D57</f>
        <v>285</v>
      </c>
      <c r="I57" s="225">
        <f>((E57/G57)*100)-100</f>
        <v>-78.94736842105263</v>
      </c>
    </row>
    <row r="58" spans="2:11" x14ac:dyDescent="0.25">
      <c r="B58" s="222" t="s">
        <v>322</v>
      </c>
      <c r="C58" s="222" t="s">
        <v>323</v>
      </c>
      <c r="D58" s="221">
        <v>1</v>
      </c>
      <c r="E58" s="225">
        <v>437</v>
      </c>
      <c r="F58" s="225">
        <v>437</v>
      </c>
      <c r="G58" s="225">
        <v>437</v>
      </c>
      <c r="H58" s="225">
        <v>437</v>
      </c>
      <c r="I58" s="225">
        <f>((E58/G58)*100)-100</f>
        <v>0</v>
      </c>
    </row>
    <row r="59" spans="2:11" x14ac:dyDescent="0.25">
      <c r="B59" s="209"/>
      <c r="C59" s="209" t="s">
        <v>37</v>
      </c>
      <c r="D59" s="288"/>
      <c r="E59" s="220"/>
      <c r="F59" s="213">
        <f>SUM(F54:F58)</f>
        <v>680.69439999999997</v>
      </c>
      <c r="G59" s="220"/>
      <c r="H59" s="220">
        <f>SUM(H54:H58)</f>
        <v>896.75139999999999</v>
      </c>
      <c r="I59" s="290">
        <f>((F59/H59)*100)-100</f>
        <v>-24.093299436164813</v>
      </c>
    </row>
    <row r="60" spans="2:11" x14ac:dyDescent="0.25">
      <c r="I60" s="291"/>
    </row>
    <row r="61" spans="2:11" x14ac:dyDescent="0.25">
      <c r="B61" s="1798" t="s">
        <v>444</v>
      </c>
      <c r="C61" s="1798"/>
      <c r="D61" s="1799">
        <f>+G49+F59</f>
        <v>2663.5703025929656</v>
      </c>
      <c r="E61" s="1799"/>
      <c r="F61" s="1799"/>
      <c r="G61" s="1799"/>
      <c r="H61" s="1799"/>
      <c r="I61" s="292"/>
    </row>
    <row r="62" spans="2:11" x14ac:dyDescent="0.25">
      <c r="B62" s="1800" t="s">
        <v>48</v>
      </c>
      <c r="C62" s="1801"/>
      <c r="D62" s="1799">
        <f>+(921.6/1000)*360</f>
        <v>331.77600000000001</v>
      </c>
      <c r="E62" s="1799"/>
      <c r="F62" s="1799"/>
      <c r="G62" s="1799"/>
      <c r="H62" s="1799"/>
      <c r="I62" s="291"/>
    </row>
    <row r="63" spans="2:11" x14ac:dyDescent="0.25">
      <c r="B63" s="1800" t="s">
        <v>445</v>
      </c>
      <c r="C63" s="1801"/>
      <c r="D63" s="1799">
        <v>3050</v>
      </c>
      <c r="E63" s="1799"/>
      <c r="F63" s="1799"/>
      <c r="G63" s="1799"/>
      <c r="H63" s="1799"/>
      <c r="I63" s="293"/>
    </row>
    <row r="64" spans="2:11" x14ac:dyDescent="0.25">
      <c r="B64" s="1798" t="s">
        <v>49</v>
      </c>
      <c r="C64" s="1798"/>
      <c r="D64" s="1799">
        <f>D63/I65</f>
        <v>4357.1428571428578</v>
      </c>
      <c r="E64" s="1799"/>
      <c r="F64" s="1799"/>
      <c r="G64" s="1799"/>
      <c r="H64" s="1799"/>
      <c r="I64" s="298">
        <v>0.3</v>
      </c>
    </row>
    <row r="65" spans="9:11" x14ac:dyDescent="0.25">
      <c r="I65" s="299">
        <f>1-I64</f>
        <v>0.7</v>
      </c>
    </row>
    <row r="66" spans="9:11" x14ac:dyDescent="0.25">
      <c r="I66" s="291"/>
    </row>
    <row r="74" spans="9:11" x14ac:dyDescent="0.25">
      <c r="I74" s="146" t="s">
        <v>491</v>
      </c>
      <c r="J74" s="146">
        <v>5500</v>
      </c>
      <c r="K74" s="301">
        <v>0.25</v>
      </c>
    </row>
    <row r="75" spans="9:11" x14ac:dyDescent="0.25">
      <c r="J75" s="146">
        <f>J74/K75</f>
        <v>7333.333333333333</v>
      </c>
      <c r="K75" s="301">
        <f>1-K74</f>
        <v>0.75</v>
      </c>
    </row>
    <row r="76" spans="9:11" x14ac:dyDescent="0.25">
      <c r="J76" s="146">
        <f>J75-J74</f>
        <v>1833.333333333333</v>
      </c>
    </row>
    <row r="77" spans="9:11" x14ac:dyDescent="0.25">
      <c r="J77" s="218">
        <f>J74-J76</f>
        <v>3666.666666666667</v>
      </c>
    </row>
  </sheetData>
  <autoFilter ref="B4:K4" xr:uid="{2899B394-D389-4CAF-831C-5BEBC12B959B}">
    <sortState xmlns:xlrd2="http://schemas.microsoft.com/office/spreadsheetml/2017/richdata2" ref="B5:K23">
      <sortCondition descending="1" ref="E4"/>
    </sortState>
  </autoFilter>
  <mergeCells count="14">
    <mergeCell ref="B52:I52"/>
    <mergeCell ref="B2:I2"/>
    <mergeCell ref="B28:C28"/>
    <mergeCell ref="B31:C31"/>
    <mergeCell ref="B42:I42"/>
    <mergeCell ref="B49:C49"/>
    <mergeCell ref="B64:C64"/>
    <mergeCell ref="D64:H64"/>
    <mergeCell ref="B61:C61"/>
    <mergeCell ref="D61:H61"/>
    <mergeCell ref="B62:C62"/>
    <mergeCell ref="D62:H62"/>
    <mergeCell ref="B63:C63"/>
    <mergeCell ref="D63:H63"/>
  </mergeCells>
  <pageMargins left="0.7" right="0.7" top="0.75" bottom="0.75" header="0.3" footer="0.3"/>
  <pageSetup scale="35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9217-71C7-4BE1-8CDF-F4F46FD2D052}">
  <sheetPr codeName="Hoja114"/>
  <dimension ref="B2:M51"/>
  <sheetViews>
    <sheetView view="pageBreakPreview" topLeftCell="A28" zoomScaleNormal="100" zoomScaleSheetLayoutView="100" workbookViewId="0">
      <selection activeCell="F22" sqref="F22"/>
    </sheetView>
  </sheetViews>
  <sheetFormatPr baseColWidth="10" defaultColWidth="11.5703125" defaultRowHeight="13.5" x14ac:dyDescent="0.25"/>
  <cols>
    <col min="1" max="2" width="11.5703125" style="120"/>
    <col min="3" max="3" width="58.7109375" style="120" customWidth="1"/>
    <col min="4" max="5" width="11.5703125" style="120" customWidth="1"/>
    <col min="6" max="6" width="12.7109375" style="120" customWidth="1"/>
    <col min="7" max="7" width="11.5703125" style="120" customWidth="1"/>
    <col min="8" max="8" width="12.5703125" style="120" customWidth="1"/>
    <col min="9" max="9" width="14.42578125" style="120" customWidth="1"/>
    <col min="10" max="10" width="12.5703125" style="120" customWidth="1"/>
    <col min="11" max="11" width="11.5703125" style="120" customWidth="1"/>
    <col min="12" max="12" width="16" style="120" customWidth="1"/>
    <col min="13" max="13" width="15.42578125" style="120" bestFit="1" customWidth="1"/>
    <col min="14" max="16384" width="11.5703125" style="120"/>
  </cols>
  <sheetData>
    <row r="2" spans="2:13" ht="25.5" x14ac:dyDescent="0.25">
      <c r="B2" s="1743" t="s">
        <v>1018</v>
      </c>
      <c r="C2" s="1743"/>
      <c r="D2" s="1743"/>
      <c r="E2" s="1743"/>
      <c r="F2" s="1743"/>
      <c r="G2" s="1743"/>
      <c r="H2" s="1743"/>
      <c r="I2" s="1743"/>
    </row>
    <row r="4" spans="2:13" ht="25.5" x14ac:dyDescent="0.25">
      <c r="B4" s="1271" t="s">
        <v>0</v>
      </c>
      <c r="C4" s="1271" t="s">
        <v>1</v>
      </c>
      <c r="D4" s="1271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272">
        <f>+D26/1000</f>
        <v>1.0953599999999999</v>
      </c>
      <c r="L4" s="1272">
        <v>487.96</v>
      </c>
      <c r="M4" s="1352" t="s">
        <v>1128</v>
      </c>
    </row>
    <row r="5" spans="2:13" x14ac:dyDescent="0.25">
      <c r="B5" s="154">
        <f>VLOOKUP(C5,[1]Hoja1!$B$2:$C$260,2,FALSE)</f>
        <v>2903003</v>
      </c>
      <c r="C5" s="154" t="s">
        <v>1039</v>
      </c>
      <c r="D5" s="166">
        <v>0.70712125062506648</v>
      </c>
      <c r="E5" s="805">
        <v>64.556059252215391</v>
      </c>
      <c r="F5" s="107">
        <f>VLOOKUP(B5,[2]Hoja1!$C$2:$E$279,3,FALSE)</f>
        <v>11506.13</v>
      </c>
      <c r="G5" s="167">
        <f>F5*D5</f>
        <v>8136.2290354545958</v>
      </c>
      <c r="H5" s="38">
        <v>14000</v>
      </c>
      <c r="I5" s="167">
        <f>H5*D5</f>
        <v>9899.6975087509309</v>
      </c>
      <c r="J5" s="270">
        <f>((F5/H5)*100)-100</f>
        <v>-17.813357142857143</v>
      </c>
      <c r="K5" s="119">
        <f>$K$4*E5%</f>
        <v>0.70712125062506648</v>
      </c>
      <c r="L5" s="277">
        <f>$L$4*E5%</f>
        <v>315.0077467271102</v>
      </c>
      <c r="M5" s="1231">
        <f>L5*F5</f>
        <v>3624520.0848492044</v>
      </c>
    </row>
    <row r="6" spans="2:13" x14ac:dyDescent="0.25">
      <c r="B6" s="154">
        <f>VLOOKUP(C6,[1]Hoja1!$B$2:$C$260,2,FALSE)</f>
        <v>1121009</v>
      </c>
      <c r="C6" s="154" t="s">
        <v>1272</v>
      </c>
      <c r="D6" s="143">
        <v>5.6120734176592572E-2</v>
      </c>
      <c r="E6" s="96">
        <v>5.1234967660488406</v>
      </c>
      <c r="F6" s="107">
        <f>VLOOKUP(B6,[2]Hoja1!$C$2:$E$279,3,FALSE)</f>
        <v>8741.6200000000008</v>
      </c>
      <c r="G6" s="167">
        <f t="shared" ref="G6:G22" si="0">F6*D6</f>
        <v>490.58613229278518</v>
      </c>
      <c r="H6" s="879">
        <v>8754.2800000000007</v>
      </c>
      <c r="I6" s="167">
        <f t="shared" ref="I6:I23" si="1">H6*D6</f>
        <v>491.29662078746088</v>
      </c>
      <c r="J6" s="250">
        <f t="shared" ref="J6:J22" si="2">((F6/H6)*100)-100</f>
        <v>-0.14461497690273006</v>
      </c>
      <c r="K6" s="119">
        <f t="shared" ref="K6:K22" si="3">$K$4*E6%</f>
        <v>5.6120734176592572E-2</v>
      </c>
      <c r="L6" s="277">
        <f t="shared" ref="L6:L23" si="4">$L$4*E6%</f>
        <v>25.000614819611922</v>
      </c>
      <c r="M6" s="1231">
        <f t="shared" ref="M6:M22" si="5">L6*F6</f>
        <v>218545.87451941599</v>
      </c>
    </row>
    <row r="7" spans="2:13" x14ac:dyDescent="0.25">
      <c r="B7" s="154">
        <f>VLOOKUP(C7,[1]Hoja1!$B$2:$C$260,2,FALSE)</f>
        <v>2903002</v>
      </c>
      <c r="C7" s="154" t="s">
        <v>1057</v>
      </c>
      <c r="D7" s="143">
        <v>0.10326215088493035</v>
      </c>
      <c r="E7" s="96">
        <v>9.4272340495298668</v>
      </c>
      <c r="F7" s="107">
        <f>VLOOKUP(B7,[2]Hoja1!$C$2:$E$279,3,FALSE)</f>
        <v>13428.98</v>
      </c>
      <c r="G7" s="167">
        <f t="shared" si="0"/>
        <v>1386.7053589907118</v>
      </c>
      <c r="H7" s="879">
        <v>14706.29</v>
      </c>
      <c r="I7" s="167">
        <f t="shared" si="1"/>
        <v>1518.6031369375423</v>
      </c>
      <c r="J7" s="250">
        <f t="shared" si="2"/>
        <v>-8.6854672388481475</v>
      </c>
      <c r="K7" s="119">
        <f t="shared" si="3"/>
        <v>0.10326215088493035</v>
      </c>
      <c r="L7" s="277">
        <f t="shared" si="4"/>
        <v>46.001131268085942</v>
      </c>
      <c r="M7" s="1231">
        <f t="shared" si="5"/>
        <v>617748.27177650074</v>
      </c>
    </row>
    <row r="8" spans="2:13" x14ac:dyDescent="0.25">
      <c r="B8" s="154">
        <f>VLOOKUP(C8,[1]Hoja1!$B$2:$C$260,2,FALSE)</f>
        <v>1131002</v>
      </c>
      <c r="C8" s="154" t="s">
        <v>663</v>
      </c>
      <c r="D8" s="143">
        <v>0.18622879946223775</v>
      </c>
      <c r="E8" s="96">
        <v>17.001606728585834</v>
      </c>
      <c r="F8" s="107">
        <f>VLOOKUP(B8,[2]Hoja1!$C$2:$E$279,3,FALSE)</f>
        <v>0</v>
      </c>
      <c r="G8" s="167">
        <f t="shared" si="0"/>
        <v>0</v>
      </c>
      <c r="H8" s="879">
        <v>0</v>
      </c>
      <c r="I8" s="167">
        <f t="shared" si="1"/>
        <v>0</v>
      </c>
      <c r="J8" s="250" t="e">
        <f t="shared" si="2"/>
        <v>#DIV/0!</v>
      </c>
      <c r="K8" s="119">
        <f t="shared" si="3"/>
        <v>0.18622879946223775</v>
      </c>
      <c r="L8" s="277">
        <f t="shared" si="4"/>
        <v>82.961040192807431</v>
      </c>
      <c r="M8" s="1231">
        <f t="shared" si="5"/>
        <v>0</v>
      </c>
    </row>
    <row r="9" spans="2:13" x14ac:dyDescent="0.25">
      <c r="B9" s="154">
        <f>VLOOKUP(C9,[1]Hoja1!$B$2:$C$260,2,FALSE)</f>
        <v>1250009</v>
      </c>
      <c r="C9" s="154" t="s">
        <v>1279</v>
      </c>
      <c r="D9" s="143">
        <v>2.7611401214883548E-4</v>
      </c>
      <c r="E9" s="96">
        <v>2.5207604088960296E-2</v>
      </c>
      <c r="F9" s="107">
        <f>VLOOKUP(B9,[2]Hoja1!$C$2:$E$279,3,FALSE)</f>
        <v>83551.55</v>
      </c>
      <c r="G9" s="167">
        <f t="shared" si="0"/>
        <v>23.069753691754034</v>
      </c>
      <c r="H9" s="237">
        <v>71910.02</v>
      </c>
      <c r="I9" s="167">
        <f t="shared" si="1"/>
        <v>19.855364135903002</v>
      </c>
      <c r="J9" s="250">
        <f t="shared" si="2"/>
        <v>16.18902344902699</v>
      </c>
      <c r="K9" s="119">
        <f t="shared" si="3"/>
        <v>2.7611401214883548E-4</v>
      </c>
      <c r="L9" s="277">
        <f t="shared" si="4"/>
        <v>0.12300302491249065</v>
      </c>
      <c r="M9" s="1231">
        <f t="shared" si="5"/>
        <v>10277.09338612721</v>
      </c>
    </row>
    <row r="10" spans="2:13" x14ac:dyDescent="0.25">
      <c r="B10" s="154">
        <f>VLOOKUP(C10,[1]Hoja1!$B$2:$C$260,2,FALSE)</f>
        <v>1250004</v>
      </c>
      <c r="C10" s="154" t="s">
        <v>969</v>
      </c>
      <c r="D10" s="143">
        <v>2.1550361923811551E-4</v>
      </c>
      <c r="E10" s="96">
        <v>1.9674227581627551E-2</v>
      </c>
      <c r="F10" s="107">
        <f>VLOOKUP(B10,[2]Hoja1!$C$2:$E$279,3,FALSE)</f>
        <v>164481.95000000001</v>
      </c>
      <c r="G10" s="167">
        <f t="shared" si="0"/>
        <v>35.446455524342753</v>
      </c>
      <c r="H10" s="106">
        <v>156520.01999999999</v>
      </c>
      <c r="I10" s="167">
        <f t="shared" si="1"/>
        <v>33.730630793222225</v>
      </c>
      <c r="J10" s="250">
        <f t="shared" si="2"/>
        <v>5.0868444816196927</v>
      </c>
      <c r="K10" s="119">
        <f t="shared" si="3"/>
        <v>2.1550361923811551E-4</v>
      </c>
      <c r="L10" s="277">
        <f t="shared" si="4"/>
        <v>9.6002360907309792E-2</v>
      </c>
      <c r="M10" s="1231">
        <f t="shared" si="5"/>
        <v>15790.655526638086</v>
      </c>
    </row>
    <row r="11" spans="2:13" x14ac:dyDescent="0.25">
      <c r="B11" s="154">
        <f>VLOOKUP(C11,[1]Hoja1!$B$2:$C$260,2,FALSE)</f>
        <v>1210006</v>
      </c>
      <c r="C11" s="154" t="s">
        <v>1130</v>
      </c>
      <c r="D11" s="143">
        <v>1.8511583999999998E-2</v>
      </c>
      <c r="E11" s="96">
        <v>1.69</v>
      </c>
      <c r="F11" s="107">
        <f>VLOOKUP(B11,[2]Hoja1!$C$2:$E$279,3,FALSE)</f>
        <v>8904.4500000000007</v>
      </c>
      <c r="G11" s="167">
        <f t="shared" si="0"/>
        <v>164.83547414879999</v>
      </c>
      <c r="H11" s="805">
        <v>8910.1</v>
      </c>
      <c r="I11" s="167">
        <f t="shared" si="1"/>
        <v>164.9400645984</v>
      </c>
      <c r="J11" s="250">
        <f t="shared" si="2"/>
        <v>-6.3411185059649711E-2</v>
      </c>
      <c r="K11" s="119">
        <f t="shared" si="3"/>
        <v>1.8511583999999998E-2</v>
      </c>
      <c r="L11" s="277">
        <f t="shared" si="4"/>
        <v>8.2465239999999991</v>
      </c>
      <c r="M11" s="1231">
        <f t="shared" si="5"/>
        <v>73430.760631800003</v>
      </c>
    </row>
    <row r="12" spans="2:13" x14ac:dyDescent="0.25">
      <c r="B12" s="154">
        <f>VLOOKUP(C12,[1]Hoja1!$B$2:$C$260,2,FALSE)</f>
        <v>1210004</v>
      </c>
      <c r="C12" s="154" t="s">
        <v>1131</v>
      </c>
      <c r="D12" s="143">
        <v>8.7628799999999992E-4</v>
      </c>
      <c r="E12" s="96">
        <v>0.08</v>
      </c>
      <c r="F12" s="107">
        <f>VLOOKUP(B12,[2]Hoja1!$C$2:$E$279,3,FALSE)</f>
        <v>3841</v>
      </c>
      <c r="G12" s="167">
        <f t="shared" si="0"/>
        <v>3.3658222079999995</v>
      </c>
      <c r="H12" s="95">
        <v>3508.01</v>
      </c>
      <c r="I12" s="167">
        <f t="shared" si="1"/>
        <v>3.0740270668799998</v>
      </c>
      <c r="J12" s="250">
        <f t="shared" si="2"/>
        <v>9.4922762477871885</v>
      </c>
      <c r="K12" s="119">
        <f t="shared" si="3"/>
        <v>8.7628799999999992E-4</v>
      </c>
      <c r="L12" s="277">
        <f t="shared" si="4"/>
        <v>0.39036799999999999</v>
      </c>
      <c r="M12" s="1231">
        <f t="shared" si="5"/>
        <v>1499.4034879999999</v>
      </c>
    </row>
    <row r="13" spans="2:13" x14ac:dyDescent="0.25">
      <c r="B13" s="154">
        <f>VLOOKUP(C13,[1]Hoja1!$B$2:$C$260,2,FALSE)</f>
        <v>121007</v>
      </c>
      <c r="C13" s="154" t="s">
        <v>821</v>
      </c>
      <c r="D13" s="143">
        <v>4.4896587341274061E-3</v>
      </c>
      <c r="E13" s="96">
        <v>0.40987974128390725</v>
      </c>
      <c r="F13" s="107">
        <f>VLOOKUP(B13,[2]Hoja1!$C$2:$E$279,3,FALSE)</f>
        <v>16905</v>
      </c>
      <c r="G13" s="167">
        <f t="shared" si="0"/>
        <v>75.897680900423794</v>
      </c>
      <c r="H13" s="880">
        <v>16100</v>
      </c>
      <c r="I13" s="167">
        <f t="shared" si="1"/>
        <v>72.283505619451233</v>
      </c>
      <c r="J13" s="250">
        <f t="shared" si="2"/>
        <v>5</v>
      </c>
      <c r="K13" s="119">
        <f t="shared" si="3"/>
        <v>4.4896587341274061E-3</v>
      </c>
      <c r="L13" s="277">
        <f t="shared" si="4"/>
        <v>2.0000491855689537</v>
      </c>
      <c r="M13" s="1231">
        <f t="shared" si="5"/>
        <v>33810.831482043162</v>
      </c>
    </row>
    <row r="14" spans="2:13" x14ac:dyDescent="0.25">
      <c r="B14" s="154">
        <f>VLOOKUP(C14,[1]Hoja1!$B$2:$C$260,2,FALSE)</f>
        <v>1240002</v>
      </c>
      <c r="C14" s="154" t="s">
        <v>1140</v>
      </c>
      <c r="D14" s="143">
        <v>3.4345889316074662E-3</v>
      </c>
      <c r="E14" s="96">
        <v>0.31355800208218909</v>
      </c>
      <c r="F14" s="107">
        <f>VLOOKUP(B14,[2]Hoja1!$C$2:$E$279,3,FALSE)</f>
        <v>66115.8</v>
      </c>
      <c r="G14" s="167">
        <f t="shared" si="0"/>
        <v>227.08059488437291</v>
      </c>
      <c r="H14" s="914">
        <v>70840.75</v>
      </c>
      <c r="I14" s="167">
        <f t="shared" si="1"/>
        <v>243.3088558567716</v>
      </c>
      <c r="J14" s="250">
        <f t="shared" si="2"/>
        <v>-6.6698192777461998</v>
      </c>
      <c r="K14" s="119">
        <f t="shared" si="3"/>
        <v>3.4345889316074662E-3</v>
      </c>
      <c r="L14" s="277">
        <f t="shared" si="4"/>
        <v>1.5300376269602498</v>
      </c>
      <c r="M14" s="1231">
        <f t="shared" si="5"/>
        <v>101159.66173657849</v>
      </c>
    </row>
    <row r="15" spans="2:13" x14ac:dyDescent="0.25">
      <c r="B15" s="154">
        <f>VLOOKUP(C15,[1]Hoja1!$B$2:$C$260,2,FALSE)</f>
        <v>1220014</v>
      </c>
      <c r="C15" s="154" t="s">
        <v>1146</v>
      </c>
      <c r="D15" s="143">
        <v>5.0531109052603957E-3</v>
      </c>
      <c r="E15" s="96">
        <v>0.46131964881503762</v>
      </c>
      <c r="F15" s="107">
        <f>VLOOKUP(B15,[2]Hoja1!$C$2:$E$279,3,FALSE)</f>
        <v>14060</v>
      </c>
      <c r="G15" s="167">
        <f t="shared" si="0"/>
        <v>71.046739327961163</v>
      </c>
      <c r="H15" s="914">
        <v>13300.01</v>
      </c>
      <c r="I15" s="167">
        <f t="shared" si="1"/>
        <v>67.206425571072316</v>
      </c>
      <c r="J15" s="250">
        <f t="shared" si="2"/>
        <v>5.7142062299201086</v>
      </c>
      <c r="K15" s="119">
        <f t="shared" si="3"/>
        <v>5.0531109052603957E-3</v>
      </c>
      <c r="L15" s="277">
        <f t="shared" si="4"/>
        <v>2.2510553583578572</v>
      </c>
      <c r="M15" s="1231">
        <f t="shared" si="5"/>
        <v>31649.838338511472</v>
      </c>
    </row>
    <row r="16" spans="2:13" x14ac:dyDescent="0.25">
      <c r="B16" s="154">
        <f>VLOOKUP(C16,[1]Hoja1!$B$2:$C$260,2,FALSE)</f>
        <v>1220009</v>
      </c>
      <c r="C16" s="154" t="s">
        <v>1133</v>
      </c>
      <c r="D16" s="143">
        <v>2.2448293670637034E-4</v>
      </c>
      <c r="E16" s="96">
        <v>2.0493987064195366E-2</v>
      </c>
      <c r="F16" s="107">
        <f>VLOOKUP(B16,[2]Hoja1!$C$2:$E$279,3,FALSE)</f>
        <v>21312.16</v>
      </c>
      <c r="G16" s="167">
        <f t="shared" si="0"/>
        <v>4.7842162643560373</v>
      </c>
      <c r="H16" s="95">
        <v>20299</v>
      </c>
      <c r="I16" s="167">
        <f t="shared" si="1"/>
        <v>4.5567791322026112</v>
      </c>
      <c r="J16" s="250">
        <f t="shared" si="2"/>
        <v>4.9911818316173253</v>
      </c>
      <c r="K16" s="119">
        <f t="shared" si="3"/>
        <v>2.2448293670637034E-4</v>
      </c>
      <c r="L16" s="277">
        <f t="shared" si="4"/>
        <v>0.10000245927844771</v>
      </c>
      <c r="M16" s="1231">
        <f t="shared" si="5"/>
        <v>2131.2684125357623</v>
      </c>
    </row>
    <row r="17" spans="2:13" x14ac:dyDescent="0.25">
      <c r="B17" s="154">
        <f>VLOOKUP(C17,[1]Hoja1!$B$2:$C$260,2,FALSE)</f>
        <v>1210003</v>
      </c>
      <c r="C17" s="154" t="s">
        <v>1143</v>
      </c>
      <c r="D17" s="143">
        <v>5.1631075442465173E-4</v>
      </c>
      <c r="E17" s="96">
        <v>4.7136170247649337E-2</v>
      </c>
      <c r="F17" s="107">
        <f>VLOOKUP(B17,[2]Hoja1!$C$2:$E$279,3,FALSE)</f>
        <v>16235.45</v>
      </c>
      <c r="G17" s="167">
        <f t="shared" si="0"/>
        <v>8.3825374379237125</v>
      </c>
      <c r="H17" s="914">
        <v>12852.58</v>
      </c>
      <c r="I17" s="167">
        <f t="shared" si="1"/>
        <v>6.6359252761031904</v>
      </c>
      <c r="J17" s="250">
        <f t="shared" si="2"/>
        <v>26.320551982559152</v>
      </c>
      <c r="K17" s="119">
        <f t="shared" si="3"/>
        <v>5.1631075442465173E-4</v>
      </c>
      <c r="L17" s="277">
        <f t="shared" si="4"/>
        <v>0.23000565634042969</v>
      </c>
      <c r="M17" s="1231">
        <f t="shared" si="5"/>
        <v>3734.2453332322293</v>
      </c>
    </row>
    <row r="18" spans="2:13" x14ac:dyDescent="0.25">
      <c r="B18" s="154">
        <f>VLOOKUP(C18,[1]Hoja1!$B$2:$C$260,2,FALSE)</f>
        <v>1260005</v>
      </c>
      <c r="C18" s="154" t="s">
        <v>811</v>
      </c>
      <c r="D18" s="143">
        <v>6.7344881011911089E-4</v>
      </c>
      <c r="E18" s="96">
        <v>6.1481961192586088E-2</v>
      </c>
      <c r="F18" s="107">
        <f>VLOOKUP(B18,[2]Hoja1!$C$2:$E$279,3,FALSE)</f>
        <v>26429</v>
      </c>
      <c r="G18" s="167">
        <f t="shared" si="0"/>
        <v>17.798578602637981</v>
      </c>
      <c r="H18" s="25">
        <v>25850</v>
      </c>
      <c r="I18" s="167">
        <f t="shared" si="1"/>
        <v>17.408651741579018</v>
      </c>
      <c r="J18" s="250">
        <f t="shared" si="2"/>
        <v>2.2398452611218715</v>
      </c>
      <c r="K18" s="119">
        <f t="shared" si="3"/>
        <v>6.7344881011911089E-4</v>
      </c>
      <c r="L18" s="277">
        <f t="shared" si="4"/>
        <v>0.30000737783534304</v>
      </c>
      <c r="M18" s="1231">
        <f t="shared" si="5"/>
        <v>7928.8949888102807</v>
      </c>
    </row>
    <row r="19" spans="2:13" x14ac:dyDescent="0.25">
      <c r="B19" s="154">
        <f>VLOOKUP(C19,[1]Hoja1!$B$2:$C$260,2,FALSE)</f>
        <v>1220005</v>
      </c>
      <c r="C19" s="154" t="s">
        <v>1135</v>
      </c>
      <c r="D19" s="143">
        <v>2.2448293670637034E-4</v>
      </c>
      <c r="E19" s="96">
        <v>2.0493987064195366E-2</v>
      </c>
      <c r="F19" s="107">
        <f>VLOOKUP(B19,[2]Hoja1!$C$2:$E$279,3,FALSE)</f>
        <v>17429.990000000002</v>
      </c>
      <c r="G19" s="167">
        <f t="shared" si="0"/>
        <v>3.9127353419626685</v>
      </c>
      <c r="H19" s="880">
        <v>17430</v>
      </c>
      <c r="I19" s="167">
        <f t="shared" si="1"/>
        <v>3.9127375867920349</v>
      </c>
      <c r="J19" s="250">
        <f t="shared" si="2"/>
        <v>-5.7372346518036466E-5</v>
      </c>
      <c r="K19" s="119">
        <f t="shared" si="3"/>
        <v>2.2448293670637034E-4</v>
      </c>
      <c r="L19" s="277">
        <f t="shared" si="4"/>
        <v>0.10000245927844771</v>
      </c>
      <c r="M19" s="1231">
        <f t="shared" si="5"/>
        <v>1743.0418651987509</v>
      </c>
    </row>
    <row r="20" spans="2:13" x14ac:dyDescent="0.25">
      <c r="B20" s="154">
        <f>VLOOKUP(C20,[1]Hoja1!$B$2:$C$260,2,FALSE)</f>
        <v>1220007</v>
      </c>
      <c r="C20" s="154" t="s">
        <v>916</v>
      </c>
      <c r="D20" s="143">
        <v>6.7344881011911089E-4</v>
      </c>
      <c r="E20" s="96">
        <v>6.1481961192586088E-2</v>
      </c>
      <c r="F20" s="107">
        <f>VLOOKUP(B20,[2]Hoja1!$C$2:$E$279,3,FALSE)</f>
        <v>60081.72</v>
      </c>
      <c r="G20" s="167">
        <f t="shared" si="0"/>
        <v>40.461962843909589</v>
      </c>
      <c r="H20" s="106">
        <v>56748.6</v>
      </c>
      <c r="I20" s="167">
        <f t="shared" si="1"/>
        <v>38.217277145925372</v>
      </c>
      <c r="J20" s="250">
        <f t="shared" si="2"/>
        <v>5.8734841035726078</v>
      </c>
      <c r="K20" s="119">
        <f t="shared" si="3"/>
        <v>6.7344881011911089E-4</v>
      </c>
      <c r="L20" s="277">
        <f t="shared" si="4"/>
        <v>0.30000737783534304</v>
      </c>
      <c r="M20" s="1231">
        <f t="shared" si="5"/>
        <v>18024.959273037286</v>
      </c>
    </row>
    <row r="21" spans="2:13" ht="15" x14ac:dyDescent="0.25">
      <c r="B21" s="154">
        <f>VLOOKUP(C21,[1]Hoja1!$B$2:$C$260,2,FALSE)</f>
        <v>1220010</v>
      </c>
      <c r="C21" s="154" t="s">
        <v>1144</v>
      </c>
      <c r="D21" s="143">
        <v>6.9589710378974799E-3</v>
      </c>
      <c r="E21" s="96">
        <v>0.63531359899005624</v>
      </c>
      <c r="F21" s="107">
        <f>VLOOKUP(B21,[2]Hoja1!$C$2:$E$279,3,FALSE)</f>
        <v>4744.72</v>
      </c>
      <c r="G21" s="167">
        <f t="shared" si="0"/>
        <v>33.018369062932933</v>
      </c>
      <c r="H21" s="866">
        <v>9381</v>
      </c>
      <c r="I21" s="167">
        <f t="shared" si="1"/>
        <v>65.282107306516252</v>
      </c>
      <c r="J21" s="250">
        <f t="shared" si="2"/>
        <v>-49.42202323846071</v>
      </c>
      <c r="K21" s="119">
        <f t="shared" si="3"/>
        <v>6.9589710378974799E-3</v>
      </c>
      <c r="L21" s="277">
        <f t="shared" si="4"/>
        <v>3.1000762376318787</v>
      </c>
      <c r="M21" s="1231">
        <f t="shared" si="5"/>
        <v>14708.993726216728</v>
      </c>
    </row>
    <row r="22" spans="2:13" ht="15" x14ac:dyDescent="0.25">
      <c r="B22" s="154">
        <f>VLOOKUP(C22,[1]Hoja1!$B$2:$C$260,2,FALSE)</f>
        <v>1270004</v>
      </c>
      <c r="C22" s="231" t="s">
        <v>1032</v>
      </c>
      <c r="D22" s="143">
        <v>4.4896587341274069E-4</v>
      </c>
      <c r="E22" s="96">
        <v>4.0987974128390732E-2</v>
      </c>
      <c r="F22" s="107">
        <f>VLOOKUP(B22,[2]Hoja1!$C$2:$E$279,3,FALSE)</f>
        <v>50662</v>
      </c>
      <c r="G22" s="167">
        <f t="shared" si="0"/>
        <v>22.745509078836267</v>
      </c>
      <c r="H22" s="866">
        <v>53849.37</v>
      </c>
      <c r="I22" s="167">
        <f t="shared" si="1"/>
        <v>24.176529434775837</v>
      </c>
      <c r="J22" s="250">
        <f t="shared" si="2"/>
        <v>-5.9190478922966179</v>
      </c>
      <c r="K22" s="119">
        <f t="shared" si="3"/>
        <v>4.4896587341274069E-4</v>
      </c>
      <c r="L22" s="277">
        <f t="shared" si="4"/>
        <v>0.20000491855689542</v>
      </c>
      <c r="M22" s="1231">
        <f t="shared" si="5"/>
        <v>10132.649183929436</v>
      </c>
    </row>
    <row r="23" spans="2:13" hidden="1" x14ac:dyDescent="0.25">
      <c r="B23" s="154"/>
      <c r="C23" s="154"/>
      <c r="D23" s="204"/>
      <c r="E23" s="154"/>
      <c r="F23" s="107" t="e">
        <f>VLOOKUP(B23,[2]Hoja1!$C$2:$E$279,3,FALSE)</f>
        <v>#N/A</v>
      </c>
      <c r="G23" s="154"/>
      <c r="H23" s="95" t="e">
        <v>#N/A</v>
      </c>
      <c r="I23" s="167" t="e">
        <f t="shared" si="1"/>
        <v>#N/A</v>
      </c>
      <c r="J23" s="233"/>
      <c r="L23" s="277">
        <f t="shared" si="4"/>
        <v>0</v>
      </c>
      <c r="M23" s="1231"/>
    </row>
    <row r="24" spans="2:13" s="146" customFormat="1" x14ac:dyDescent="0.25">
      <c r="B24" s="1764" t="s">
        <v>37</v>
      </c>
      <c r="C24" s="1764"/>
      <c r="D24" s="1278">
        <f>SUM(D5:D22)</f>
        <v>1.0953098945105957</v>
      </c>
      <c r="E24" s="1281">
        <f>SUM(E5:E22)</f>
        <v>99.995425660111309</v>
      </c>
      <c r="F24" s="1281"/>
      <c r="G24" s="1281">
        <f>SUM(G5:G22)</f>
        <v>10745.366956056308</v>
      </c>
      <c r="H24" s="1281"/>
      <c r="I24" s="1281">
        <f>SUM(I5:I22)</f>
        <v>12674.186147741531</v>
      </c>
      <c r="J24" s="1282">
        <f>((G24/I24)*100)-100</f>
        <v>-15.218485583225615</v>
      </c>
      <c r="K24" s="1283"/>
      <c r="L24" s="1283"/>
      <c r="M24" s="1311">
        <f>SUM(M5:M22)</f>
        <v>4786836.5285177818</v>
      </c>
    </row>
    <row r="25" spans="2:13" x14ac:dyDescent="0.25">
      <c r="J25" s="775"/>
    </row>
    <row r="26" spans="2:13" ht="25.5" x14ac:dyDescent="0.25">
      <c r="B26" s="1765" t="s">
        <v>50</v>
      </c>
      <c r="C26" s="1766"/>
      <c r="D26" s="38">
        <f>+C29+(C29*C35%)</f>
        <v>1095.3599999999999</v>
      </c>
      <c r="E26" s="159"/>
      <c r="F26" s="159"/>
      <c r="G26" s="159"/>
      <c r="H26" s="159"/>
      <c r="I26" s="159"/>
      <c r="J26" s="159"/>
    </row>
    <row r="27" spans="2:13" x14ac:dyDescent="0.25">
      <c r="B27" s="1284" t="s">
        <v>38</v>
      </c>
      <c r="C27" s="161" t="s">
        <v>123</v>
      </c>
      <c r="D27" s="146"/>
      <c r="H27" s="146"/>
    </row>
    <row r="28" spans="2:13" x14ac:dyDescent="0.25">
      <c r="B28" s="1285" t="s">
        <v>39</v>
      </c>
      <c r="C28" s="163" t="s">
        <v>124</v>
      </c>
      <c r="D28" s="146"/>
      <c r="H28" s="146"/>
    </row>
    <row r="29" spans="2:13" x14ac:dyDescent="0.25">
      <c r="B29" s="1285" t="s">
        <v>40</v>
      </c>
      <c r="C29" s="163">
        <v>960</v>
      </c>
      <c r="D29" s="146"/>
      <c r="H29" s="146"/>
    </row>
    <row r="30" spans="2:13" x14ac:dyDescent="0.25">
      <c r="B30" s="1285" t="s">
        <v>41</v>
      </c>
      <c r="C30" s="163">
        <v>0</v>
      </c>
      <c r="D30" s="146"/>
      <c r="H30" s="146"/>
    </row>
    <row r="31" spans="2:13" x14ac:dyDescent="0.25">
      <c r="B31" s="1285" t="s">
        <v>42</v>
      </c>
      <c r="C31" s="163">
        <v>9</v>
      </c>
      <c r="D31" s="146"/>
      <c r="H31" s="146"/>
    </row>
    <row r="32" spans="2:13" x14ac:dyDescent="0.25">
      <c r="B32" s="1285" t="s">
        <v>43</v>
      </c>
      <c r="C32" s="163">
        <v>2</v>
      </c>
      <c r="D32" s="146"/>
      <c r="H32" s="146"/>
    </row>
    <row r="33" spans="2:11" x14ac:dyDescent="0.25">
      <c r="B33" s="1285" t="s">
        <v>44</v>
      </c>
      <c r="C33" s="163">
        <v>1</v>
      </c>
      <c r="D33" s="146"/>
      <c r="H33" s="146"/>
    </row>
    <row r="34" spans="2:11" x14ac:dyDescent="0.25">
      <c r="B34" s="1285" t="s">
        <v>45</v>
      </c>
      <c r="C34" s="163">
        <v>2.1</v>
      </c>
      <c r="D34" s="146"/>
      <c r="H34" s="146"/>
    </row>
    <row r="35" spans="2:11" x14ac:dyDescent="0.25">
      <c r="B35" s="1285" t="s">
        <v>46</v>
      </c>
      <c r="C35" s="163">
        <f>C34+C33+C32+C31</f>
        <v>14.1</v>
      </c>
      <c r="D35" s="146"/>
      <c r="H35" s="146"/>
    </row>
    <row r="36" spans="2:11" x14ac:dyDescent="0.25">
      <c r="F36" s="120">
        <f>0.145*28</f>
        <v>4.0599999999999996</v>
      </c>
      <c r="H36" s="159"/>
      <c r="I36" s="159"/>
    </row>
    <row r="37" spans="2:11" ht="25.5" x14ac:dyDescent="0.25">
      <c r="B37" s="1767" t="s">
        <v>47</v>
      </c>
      <c r="C37" s="1768"/>
      <c r="D37" s="1768"/>
      <c r="E37" s="1768"/>
      <c r="F37" s="1768"/>
      <c r="G37" s="1768"/>
      <c r="H37" s="1768"/>
      <c r="I37" s="1768"/>
    </row>
    <row r="38" spans="2:11" ht="25.5" x14ac:dyDescent="0.25">
      <c r="B38" s="1266" t="s">
        <v>0</v>
      </c>
      <c r="C38" s="1266" t="s">
        <v>1</v>
      </c>
      <c r="D38" s="1267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243" t="s">
        <v>3</v>
      </c>
      <c r="J38" s="146">
        <v>898</v>
      </c>
    </row>
    <row r="39" spans="2:11" x14ac:dyDescent="0.25">
      <c r="B39" s="165">
        <f>VLOOKUP(C39,[1]Hoja1!$B$2:$C$260,2,FALSE)</f>
        <v>1370007</v>
      </c>
      <c r="C39" s="1197" t="s">
        <v>1038</v>
      </c>
      <c r="D39" s="1198">
        <v>4.0599999999999996</v>
      </c>
      <c r="E39" s="167">
        <f>VLOOKUP(B39,[2]Hoja1!$C$2:$E$279,3,FALSE)</f>
        <v>181.76</v>
      </c>
      <c r="F39" s="167">
        <f>E39*D39</f>
        <v>737.9455999999999</v>
      </c>
      <c r="G39" s="167">
        <v>195.56</v>
      </c>
      <c r="H39" s="167">
        <f>G39*D39</f>
        <v>793.97359999999992</v>
      </c>
      <c r="I39" s="270">
        <f>((E39/G39)*100)-100</f>
        <v>-7.0566578032317437</v>
      </c>
      <c r="J39" s="146">
        <f>J38*D39</f>
        <v>3645.8799999999997</v>
      </c>
    </row>
    <row r="40" spans="2:11" x14ac:dyDescent="0.25">
      <c r="B40" s="165">
        <f>VLOOKUP(C40,[1]Hoja1!$B$2:$C$260,2,FALSE)</f>
        <v>1310018</v>
      </c>
      <c r="C40" s="165" t="s">
        <v>890</v>
      </c>
      <c r="D40" s="166">
        <v>0.15</v>
      </c>
      <c r="E40" s="167">
        <f>VLOOKUP(B40,[2]Hoja1!$C$2:$E$279,3,FALSE)</f>
        <v>478.26</v>
      </c>
      <c r="F40" s="167">
        <f>E40*D40</f>
        <v>71.73899999999999</v>
      </c>
      <c r="G40" s="871">
        <v>503.51</v>
      </c>
      <c r="H40" s="167">
        <f>G40*D40</f>
        <v>75.526499999999999</v>
      </c>
      <c r="I40" s="270">
        <f>((E40/G40)*100)-100</f>
        <v>-5.0147961311592582</v>
      </c>
      <c r="J40" s="146">
        <f>J38*D40</f>
        <v>134.69999999999999</v>
      </c>
    </row>
    <row r="41" spans="2:11" x14ac:dyDescent="0.25">
      <c r="B41" s="165">
        <f>VLOOKUP(C41,[1]Hoja1!$B$2:$C$260,2,FALSE)</f>
        <v>1320004</v>
      </c>
      <c r="C41" s="226" t="s">
        <v>1141</v>
      </c>
      <c r="D41" s="166">
        <v>0.15</v>
      </c>
      <c r="E41" s="167">
        <f>VLOOKUP(B41,[2]Hoja1!$C$2:$E$279,3,FALSE)</f>
        <v>1481.51</v>
      </c>
      <c r="F41" s="167">
        <f>E41*D41</f>
        <v>222.22649999999999</v>
      </c>
      <c r="G41" s="24">
        <v>1575.9</v>
      </c>
      <c r="H41" s="167">
        <f>G41*D41</f>
        <v>236.38499999999999</v>
      </c>
      <c r="I41" s="270">
        <f>((E41/G41)*100)-100</f>
        <v>-5.9895932483025547</v>
      </c>
      <c r="J41" s="146">
        <f>J38*D41</f>
        <v>134.69999999999999</v>
      </c>
    </row>
    <row r="42" spans="2:11" ht="15" x14ac:dyDescent="0.25">
      <c r="B42" s="165">
        <f>VLOOKUP(C42,[1]Hoja1!$B$2:$C$260,2,FALSE)</f>
        <v>1330022</v>
      </c>
      <c r="C42" s="1183" t="s">
        <v>943</v>
      </c>
      <c r="D42" s="167">
        <v>1</v>
      </c>
      <c r="E42" s="167">
        <f>VLOOKUP(B42,[2]Hoja1!$C$2:$E$279,3,FALSE)</f>
        <v>40.869999999999997</v>
      </c>
      <c r="F42" s="167">
        <f>E42*D42</f>
        <v>40.869999999999997</v>
      </c>
      <c r="G42" s="167">
        <v>40.200000000000003</v>
      </c>
      <c r="H42" s="167">
        <f>G42*D42</f>
        <v>40.200000000000003</v>
      </c>
      <c r="I42" s="270">
        <f>((E42/G42)*100)-100</f>
        <v>1.6666666666666572</v>
      </c>
      <c r="J42" s="146">
        <f>J38*D42</f>
        <v>898</v>
      </c>
    </row>
    <row r="43" spans="2:11" x14ac:dyDescent="0.25">
      <c r="B43" s="1266"/>
      <c r="C43" s="1266" t="s">
        <v>37</v>
      </c>
      <c r="D43" s="1267"/>
      <c r="E43" s="1267"/>
      <c r="F43" s="1267">
        <f>SUM(F39:F42)</f>
        <v>1072.7810999999997</v>
      </c>
      <c r="G43" s="1267"/>
      <c r="H43" s="1267">
        <f>SUM(H39:H42)</f>
        <v>1146.0851</v>
      </c>
      <c r="I43" s="1287">
        <f>((F43/H43)*100)-100</f>
        <v>-6.3960346400106118</v>
      </c>
    </row>
    <row r="44" spans="2:11" x14ac:dyDescent="0.25">
      <c r="H44" s="1" t="str">
        <f>+'CIF Y PV'!$G$1</f>
        <v>MAYO</v>
      </c>
      <c r="I44" s="205"/>
      <c r="J44" s="146"/>
      <c r="K44" s="205"/>
    </row>
    <row r="45" spans="2:11" x14ac:dyDescent="0.25">
      <c r="B45" s="1735" t="s">
        <v>194</v>
      </c>
      <c r="C45" s="1735"/>
      <c r="E45" s="884"/>
      <c r="F45" s="884"/>
      <c r="G45" s="884"/>
      <c r="H45" s="884">
        <f>+F43+G24</f>
        <v>11818.148056056309</v>
      </c>
      <c r="I45" s="409"/>
      <c r="J45" s="884"/>
      <c r="K45" s="409"/>
    </row>
    <row r="46" spans="2:11" x14ac:dyDescent="0.25">
      <c r="B46" s="1736" t="s">
        <v>48</v>
      </c>
      <c r="C46" s="1737"/>
      <c r="E46" s="884"/>
      <c r="F46" s="884"/>
      <c r="G46" s="884"/>
      <c r="H46" s="884">
        <f>+('CIF Y PV'!C3/1000)*960</f>
        <v>1814.3999999999999</v>
      </c>
      <c r="I46" s="205"/>
      <c r="J46" s="884"/>
      <c r="K46" s="205"/>
    </row>
    <row r="47" spans="2:11" x14ac:dyDescent="0.25">
      <c r="B47" s="1736" t="s">
        <v>195</v>
      </c>
      <c r="C47" s="1737"/>
      <c r="E47" s="884"/>
      <c r="F47" s="884"/>
      <c r="G47" s="884"/>
      <c r="H47" s="884">
        <f>+H45+H46</f>
        <v>13632.548056056308</v>
      </c>
      <c r="I47" s="206"/>
      <c r="J47" s="884"/>
      <c r="K47" s="206"/>
    </row>
    <row r="48" spans="2:11" x14ac:dyDescent="0.25">
      <c r="B48" s="1735" t="s">
        <v>49</v>
      </c>
      <c r="C48" s="1735"/>
      <c r="E48" s="884"/>
      <c r="F48" s="884"/>
      <c r="G48" s="884"/>
      <c r="H48" s="884">
        <f>'CIF Y PV'!C68</f>
        <v>27372.080000000002</v>
      </c>
      <c r="J48" s="884"/>
      <c r="K48" s="403"/>
    </row>
    <row r="49" spans="2:11" x14ac:dyDescent="0.2">
      <c r="B49" s="1735" t="s">
        <v>805</v>
      </c>
      <c r="C49" s="1735"/>
      <c r="E49" s="884"/>
      <c r="F49" s="884"/>
      <c r="G49" s="884"/>
      <c r="H49" s="928">
        <f>+(H48-H47)/H48</f>
        <v>0.50195425206793542</v>
      </c>
      <c r="I49" s="172"/>
      <c r="J49" s="146"/>
      <c r="K49" s="172"/>
    </row>
    <row r="50" spans="2:11" x14ac:dyDescent="0.25">
      <c r="H50" s="146"/>
      <c r="I50" s="205"/>
    </row>
    <row r="51" spans="2:11" x14ac:dyDescent="0.25">
      <c r="H51" s="146"/>
    </row>
  </sheetData>
  <autoFilter ref="A4:K4" xr:uid="{D05FEDB9-F8B9-49F7-8F86-63F3362C86AC}">
    <sortState xmlns:xlrd2="http://schemas.microsoft.com/office/spreadsheetml/2017/richdata2" ref="A5:K22">
      <sortCondition descending="1" ref="K4"/>
    </sortState>
  </autoFilter>
  <mergeCells count="9">
    <mergeCell ref="B47:C47"/>
    <mergeCell ref="B48:C48"/>
    <mergeCell ref="B49:C49"/>
    <mergeCell ref="B2:I2"/>
    <mergeCell ref="B24:C24"/>
    <mergeCell ref="B26:C26"/>
    <mergeCell ref="B37:I37"/>
    <mergeCell ref="B45:C45"/>
    <mergeCell ref="B46:C46"/>
  </mergeCells>
  <dataValidations disablePrompts="1" count="1">
    <dataValidation type="list" allowBlank="1" showInputMessage="1" showErrorMessage="1" sqref="C19" xr:uid="{89D6E0C7-BCD4-4EB2-99C4-237EFA2B4573}">
      <formula1>$AG$2:$AG$296</formula1>
    </dataValidation>
  </dataValidations>
  <pageMargins left="0.7" right="0.7" top="0.75" bottom="0.75" header="0.3" footer="0.3"/>
  <pageSetup scale="38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B6E4-DD0D-4317-B189-A7C76C3EDEC8}">
  <sheetPr codeName="Hoja48"/>
  <dimension ref="B2:M46"/>
  <sheetViews>
    <sheetView view="pageBreakPreview" topLeftCell="A24" zoomScale="90" zoomScaleNormal="85" zoomScaleSheetLayoutView="90" workbookViewId="0">
      <selection activeCell="G5" sqref="G5:G22"/>
    </sheetView>
  </sheetViews>
  <sheetFormatPr baseColWidth="10" defaultColWidth="11.5703125" defaultRowHeight="13.5" x14ac:dyDescent="0.25"/>
  <cols>
    <col min="1" max="1" width="11.28515625" style="120" customWidth="1"/>
    <col min="2" max="2" width="11.5703125" style="120"/>
    <col min="3" max="3" width="67.42578125" style="120" bestFit="1" customWidth="1"/>
    <col min="4" max="4" width="13.5703125" style="120" bestFit="1" customWidth="1"/>
    <col min="5" max="5" width="11.5703125" style="120"/>
    <col min="6" max="6" width="12.5703125" style="120" bestFit="1" customWidth="1"/>
    <col min="7" max="7" width="11.5703125" style="120"/>
    <col min="8" max="8" width="12.5703125" style="146" bestFit="1" customWidth="1"/>
    <col min="9" max="9" width="14.42578125" style="120" bestFit="1" customWidth="1"/>
    <col min="10" max="10" width="12.5703125" style="120" bestFit="1" customWidth="1"/>
    <col min="11" max="12" width="11.5703125" style="120"/>
    <col min="13" max="13" width="16.140625" style="120" customWidth="1"/>
    <col min="14" max="16384" width="11.5703125" style="120"/>
  </cols>
  <sheetData>
    <row r="2" spans="2:13" ht="25.5" x14ac:dyDescent="0.25">
      <c r="B2" s="1743" t="s">
        <v>258</v>
      </c>
      <c r="C2" s="1743"/>
      <c r="D2" s="1743"/>
      <c r="E2" s="1743"/>
      <c r="F2" s="1743"/>
      <c r="G2" s="1743"/>
      <c r="H2" s="1743"/>
      <c r="I2" s="1743"/>
      <c r="J2" s="1743"/>
    </row>
    <row r="4" spans="2:13" ht="25.5" x14ac:dyDescent="0.25">
      <c r="B4" s="1271" t="s">
        <v>0</v>
      </c>
      <c r="C4" s="1271" t="s">
        <v>1</v>
      </c>
      <c r="D4" s="1271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51" t="s">
        <v>3</v>
      </c>
      <c r="K4" s="1249">
        <f>+D25/1000</f>
        <v>0.58687999999999996</v>
      </c>
      <c r="L4" s="1406">
        <f>K4*K41</f>
        <v>0</v>
      </c>
      <c r="M4" s="1272">
        <v>1432.75</v>
      </c>
    </row>
    <row r="5" spans="2:13" ht="16.5" x14ac:dyDescent="0.25">
      <c r="B5" s="523">
        <f>VLOOKUP(C5,[1]Hoja1!$B$2:$C$260,2,FALSE)</f>
        <v>1112001</v>
      </c>
      <c r="C5" s="523" t="s">
        <v>1060</v>
      </c>
      <c r="D5" s="143">
        <v>0.23348218461001569</v>
      </c>
      <c r="E5" s="96">
        <v>39.783632873844006</v>
      </c>
      <c r="F5" s="896">
        <f>VLOOKUP(B5,[2]Hoja1!$C$2:$E$279,3,FALSE)</f>
        <v>3663.96</v>
      </c>
      <c r="G5" s="96">
        <f>F5*D5</f>
        <v>855.4693851237131</v>
      </c>
      <c r="H5" s="896">
        <v>4222.72</v>
      </c>
      <c r="I5" s="96">
        <f>H5*D5</f>
        <v>985.92989059640547</v>
      </c>
      <c r="J5" s="233">
        <f>((F5/H5)*100)-100</f>
        <v>-13.232229463473786</v>
      </c>
      <c r="K5" s="146">
        <f>$K$4*E5%</f>
        <v>0.23348218461001569</v>
      </c>
      <c r="L5" s="178">
        <f>$M$4*E5%</f>
        <v>570</v>
      </c>
      <c r="M5" s="1231">
        <f>L5*F5</f>
        <v>2088457.2</v>
      </c>
    </row>
    <row r="6" spans="2:13" ht="16.5" x14ac:dyDescent="0.25">
      <c r="B6" s="523">
        <f>VLOOKUP(C6,[1]Hoja1!$B$2:$C$260,2,FALSE)</f>
        <v>2906001</v>
      </c>
      <c r="C6" s="523" t="s">
        <v>831</v>
      </c>
      <c r="D6" s="143">
        <v>4.9563761996161221E-2</v>
      </c>
      <c r="E6" s="96">
        <v>8.4452975047984644</v>
      </c>
      <c r="F6" s="896">
        <f>VLOOKUP(B6,[2]Hoja1!$C$2:$E$279,3,FALSE)</f>
        <v>1956.71</v>
      </c>
      <c r="G6" s="96">
        <f t="shared" ref="G6:G22" si="0">F6*D6</f>
        <v>96.981908735508625</v>
      </c>
      <c r="H6" s="896">
        <v>2033.73</v>
      </c>
      <c r="I6" s="96" t="e" cm="1">
        <f t="array" ref="I6">H6*K9D6</f>
        <v>#NAME?</v>
      </c>
      <c r="J6" s="233">
        <f t="shared" ref="J6:J22" si="1">((F6/H6)*100)-100</f>
        <v>-3.7871300516784459</v>
      </c>
      <c r="K6" s="146">
        <f t="shared" ref="K6:K22" si="2">$K$4*E6%</f>
        <v>4.9563761996161221E-2</v>
      </c>
      <c r="L6" s="178">
        <f t="shared" ref="L6:L22" si="3">$M$4*E6%</f>
        <v>121</v>
      </c>
      <c r="M6" s="1231">
        <f t="shared" ref="M6:M22" si="4">L6*F6</f>
        <v>236761.91</v>
      </c>
    </row>
    <row r="7" spans="2:13" ht="16.5" x14ac:dyDescent="0.25">
      <c r="B7" s="523">
        <f>VLOOKUP(C7,[1]Hoja1!$B$2:$C$260,2,FALSE)</f>
        <v>1121009</v>
      </c>
      <c r="C7" s="523" t="s">
        <v>1272</v>
      </c>
      <c r="D7" s="143">
        <v>1.9047230849764438E-2</v>
      </c>
      <c r="E7" s="96">
        <v>3.2455068923399057</v>
      </c>
      <c r="F7" s="896">
        <f>VLOOKUP(B7,[2]Hoja1!$C$2:$E$279,3,FALSE)</f>
        <v>8741.6200000000008</v>
      </c>
      <c r="G7" s="96">
        <f t="shared" si="0"/>
        <v>166.50365414091783</v>
      </c>
      <c r="H7" s="96">
        <v>5801.26</v>
      </c>
      <c r="I7" s="96">
        <f t="shared" ref="I7:I22" si="5">H7*D7</f>
        <v>110.49793843950445</v>
      </c>
      <c r="J7" s="233">
        <f t="shared" si="1"/>
        <v>50.684851221975919</v>
      </c>
      <c r="K7" s="146">
        <f t="shared" si="2"/>
        <v>1.9047230849764438E-2</v>
      </c>
      <c r="L7" s="178">
        <f t="shared" si="3"/>
        <v>46.499999999999993</v>
      </c>
      <c r="M7" s="1231">
        <f t="shared" si="4"/>
        <v>406485.32999999996</v>
      </c>
    </row>
    <row r="8" spans="2:13" ht="16.5" x14ac:dyDescent="0.25">
      <c r="B8" s="523"/>
      <c r="C8" s="523" t="s">
        <v>823</v>
      </c>
      <c r="D8" s="143">
        <v>4.4238729715581918E-2</v>
      </c>
      <c r="E8" s="96">
        <v>7.5379514918862327</v>
      </c>
      <c r="F8" s="896">
        <v>0</v>
      </c>
      <c r="G8" s="96">
        <f t="shared" si="0"/>
        <v>0</v>
      </c>
      <c r="H8" s="96">
        <v>0</v>
      </c>
      <c r="I8" s="96">
        <f t="shared" si="5"/>
        <v>0</v>
      </c>
      <c r="J8" s="233" t="e">
        <f t="shared" si="1"/>
        <v>#DIV/0!</v>
      </c>
      <c r="K8" s="146">
        <f t="shared" si="2"/>
        <v>4.4238729715581918E-2</v>
      </c>
      <c r="L8" s="178">
        <f t="shared" si="3"/>
        <v>108</v>
      </c>
      <c r="M8" s="1217">
        <f t="shared" si="4"/>
        <v>0</v>
      </c>
    </row>
    <row r="9" spans="2:13" ht="16.5" x14ac:dyDescent="0.25">
      <c r="B9" s="523">
        <f>VLOOKUP(C9,[1]Hoja1!$B$2:$C$260,2,FALSE)</f>
        <v>1131002</v>
      </c>
      <c r="C9" s="523" t="s">
        <v>663</v>
      </c>
      <c r="D9" s="143">
        <v>0.14578709530622927</v>
      </c>
      <c r="E9" s="96">
        <v>24.841039958122494</v>
      </c>
      <c r="F9" s="896">
        <f>VLOOKUP(B9,[2]Hoja1!$C$2:$E$279,3,FALSE)</f>
        <v>0</v>
      </c>
      <c r="G9" s="96">
        <f t="shared" si="0"/>
        <v>0</v>
      </c>
      <c r="H9" s="237">
        <v>0</v>
      </c>
      <c r="I9" s="96">
        <f t="shared" si="5"/>
        <v>0</v>
      </c>
      <c r="J9" s="233" t="e">
        <f t="shared" si="1"/>
        <v>#DIV/0!</v>
      </c>
      <c r="K9" s="146">
        <f t="shared" si="2"/>
        <v>0.14578709530622927</v>
      </c>
      <c r="L9" s="178">
        <f t="shared" si="3"/>
        <v>355.91</v>
      </c>
      <c r="M9" s="1217">
        <f t="shared" si="4"/>
        <v>0</v>
      </c>
    </row>
    <row r="10" spans="2:13" ht="16.5" x14ac:dyDescent="0.25">
      <c r="B10" s="523">
        <f>VLOOKUP(C10,[1]Hoja1!$B$2:$C$260,2,FALSE)</f>
        <v>1250009</v>
      </c>
      <c r="C10" s="523" t="s">
        <v>1279</v>
      </c>
      <c r="D10" s="143">
        <v>6.1442680160530368E-4</v>
      </c>
      <c r="E10" s="96">
        <v>0.104693770720642</v>
      </c>
      <c r="F10" s="896">
        <f>VLOOKUP(B10,[2]Hoja1!$C$2:$E$279,3,FALSE)</f>
        <v>83551.55</v>
      </c>
      <c r="G10" s="96">
        <f t="shared" si="0"/>
        <v>51.336311635665609</v>
      </c>
      <c r="H10" s="237">
        <v>71910.02</v>
      </c>
      <c r="I10" s="96">
        <f t="shared" si="5"/>
        <v>44.183443591973422</v>
      </c>
      <c r="J10" s="233">
        <f t="shared" si="1"/>
        <v>16.18902344902699</v>
      </c>
      <c r="K10" s="146">
        <f t="shared" si="2"/>
        <v>6.1442680160530368E-4</v>
      </c>
      <c r="L10" s="178">
        <f t="shared" si="3"/>
        <v>1.499999999999998</v>
      </c>
      <c r="M10" s="1231">
        <f t="shared" si="4"/>
        <v>125327.32499999984</v>
      </c>
    </row>
    <row r="11" spans="2:13" ht="17.25" customHeight="1" x14ac:dyDescent="0.25">
      <c r="B11" s="523">
        <f>VLOOKUP(C11,[1]Hoja1!$B$2:$C$260,2,FALSE)</f>
        <v>1210005</v>
      </c>
      <c r="C11" s="523" t="s">
        <v>1155</v>
      </c>
      <c r="D11" s="143">
        <v>6.1035519999999991E-3</v>
      </c>
      <c r="E11" s="96">
        <v>1.04</v>
      </c>
      <c r="F11" s="896">
        <f>VLOOKUP(B11,[2]Hoja1!$C$2:$E$279,3,FALSE)</f>
        <v>1356</v>
      </c>
      <c r="G11" s="96">
        <f t="shared" si="0"/>
        <v>8.2764165119999991</v>
      </c>
      <c r="H11" s="880">
        <v>8910.1</v>
      </c>
      <c r="I11" s="96">
        <f t="shared" si="5"/>
        <v>54.383258675199997</v>
      </c>
      <c r="J11" s="233">
        <f t="shared" si="1"/>
        <v>-84.781315585683672</v>
      </c>
      <c r="K11" s="146">
        <f t="shared" si="2"/>
        <v>6.1035519999999991E-3</v>
      </c>
      <c r="L11" s="178">
        <f t="shared" si="3"/>
        <v>14.900599999999999</v>
      </c>
      <c r="M11" s="1231">
        <f t="shared" si="4"/>
        <v>20205.213599999999</v>
      </c>
    </row>
    <row r="12" spans="2:13" ht="17.25" customHeight="1" x14ac:dyDescent="0.25">
      <c r="B12" s="523">
        <v>1210010</v>
      </c>
      <c r="C12" s="523" t="s">
        <v>1351</v>
      </c>
      <c r="D12" s="143">
        <v>4.0846847999999993E-3</v>
      </c>
      <c r="E12" s="96">
        <v>0.69599999999999995</v>
      </c>
      <c r="F12" s="896">
        <f>VLOOKUP(B12,[2]Hoja1!$C$2:$E$279,3,FALSE)</f>
        <v>11600</v>
      </c>
      <c r="G12" s="96">
        <f t="shared" si="0"/>
        <v>47.382343679999991</v>
      </c>
      <c r="H12" s="1203"/>
      <c r="I12" s="96"/>
      <c r="J12" s="233"/>
      <c r="K12" s="146">
        <f t="shared" si="2"/>
        <v>4.0846847999999993E-3</v>
      </c>
      <c r="L12" s="178">
        <f t="shared" si="3"/>
        <v>9.9719399999999982</v>
      </c>
      <c r="M12" s="1231"/>
    </row>
    <row r="13" spans="2:13" ht="16.5" x14ac:dyDescent="0.25">
      <c r="B13" s="523">
        <f>VLOOKUP(C13,[1]Hoja1!$B$2:$C$260,2,FALSE)</f>
        <v>1210004</v>
      </c>
      <c r="C13" s="523" t="s">
        <v>1131</v>
      </c>
      <c r="D13" s="143">
        <v>5.2819199999999992E-4</v>
      </c>
      <c r="E13" s="96">
        <v>0.09</v>
      </c>
      <c r="F13" s="896">
        <f>VLOOKUP(B13,[2]Hoja1!$C$2:$E$279,3,FALSE)</f>
        <v>3841</v>
      </c>
      <c r="G13" s="96">
        <f t="shared" si="0"/>
        <v>2.0287854719999996</v>
      </c>
      <c r="H13" s="95">
        <v>3508.01</v>
      </c>
      <c r="I13" s="96">
        <f t="shared" si="5"/>
        <v>1.8529028179199998</v>
      </c>
      <c r="J13" s="233">
        <f t="shared" si="1"/>
        <v>9.4922762477871885</v>
      </c>
      <c r="K13" s="146">
        <f t="shared" si="2"/>
        <v>5.2819199999999992E-4</v>
      </c>
      <c r="L13" s="178">
        <f t="shared" si="3"/>
        <v>1.2894749999999999</v>
      </c>
      <c r="M13" s="1231">
        <f t="shared" si="4"/>
        <v>4952.8734749999994</v>
      </c>
    </row>
    <row r="14" spans="2:13" ht="16.5" x14ac:dyDescent="0.25">
      <c r="B14" s="523">
        <f>VLOOKUP(C14,[1]Hoja1!$B$2:$C$260,2,FALSE)</f>
        <v>1210002</v>
      </c>
      <c r="C14" s="523" t="s">
        <v>1033</v>
      </c>
      <c r="D14" s="143">
        <v>2.3348218461001569E-3</v>
      </c>
      <c r="E14" s="96">
        <v>0.39783632873844005</v>
      </c>
      <c r="F14" s="896">
        <f>VLOOKUP(B14,[2]Hoja1!$C$2:$E$279,3,FALSE)</f>
        <v>12886</v>
      </c>
      <c r="G14" s="96">
        <f t="shared" si="0"/>
        <v>30.08651430884662</v>
      </c>
      <c r="H14" s="95">
        <v>12858.08</v>
      </c>
      <c r="I14" s="96">
        <f t="shared" si="5"/>
        <v>30.021326082903506</v>
      </c>
      <c r="J14" s="233">
        <f t="shared" si="1"/>
        <v>0.21713972848201024</v>
      </c>
      <c r="K14" s="146">
        <f t="shared" si="2"/>
        <v>2.3348218461001569E-3</v>
      </c>
      <c r="L14" s="178">
        <f t="shared" si="3"/>
        <v>5.7</v>
      </c>
      <c r="M14" s="1231">
        <f t="shared" si="4"/>
        <v>73450.2</v>
      </c>
    </row>
    <row r="15" spans="2:13" ht="16.5" x14ac:dyDescent="0.25">
      <c r="B15" s="523">
        <f>VLOOKUP(C15,[1]Hoja1!$B$2:$C$260,2,FALSE)</f>
        <v>1220015</v>
      </c>
      <c r="C15" s="523" t="s">
        <v>1036</v>
      </c>
      <c r="D15" s="143">
        <v>3.9323315302739479E-3</v>
      </c>
      <c r="E15" s="96">
        <v>0.67004013261210948</v>
      </c>
      <c r="F15" s="896">
        <f>VLOOKUP(B15,[2]Hoja1!$C$2:$E$279,3,FALSE)</f>
        <v>30702.27</v>
      </c>
      <c r="G15" s="96">
        <f t="shared" si="0"/>
        <v>120.73150437198392</v>
      </c>
      <c r="H15" s="96">
        <v>29189.39</v>
      </c>
      <c r="I15" s="96">
        <f t="shared" si="5"/>
        <v>114.78235864646307</v>
      </c>
      <c r="J15" s="233">
        <f t="shared" si="1"/>
        <v>5.1829791578378348</v>
      </c>
      <c r="K15" s="146">
        <f t="shared" si="2"/>
        <v>3.9323315302739479E-3</v>
      </c>
      <c r="L15" s="178">
        <f t="shared" si="3"/>
        <v>9.5999999999999979</v>
      </c>
      <c r="M15" s="1231">
        <f t="shared" si="4"/>
        <v>294741.79199999996</v>
      </c>
    </row>
    <row r="16" spans="2:13" ht="16.5" x14ac:dyDescent="0.25">
      <c r="B16" s="523">
        <f>VLOOKUP(C16,[1]Hoja1!$B$2:$C$260,2,FALSE)</f>
        <v>1220014</v>
      </c>
      <c r="C16" s="523" t="s">
        <v>1146</v>
      </c>
      <c r="D16" s="143">
        <v>3.2769429418949571E-3</v>
      </c>
      <c r="E16" s="96">
        <v>0.55836677717675798</v>
      </c>
      <c r="F16" s="896">
        <f>VLOOKUP(B16,[2]Hoja1!$C$2:$E$279,3,FALSE)</f>
        <v>14060</v>
      </c>
      <c r="G16" s="96">
        <f t="shared" si="0"/>
        <v>46.073817763043095</v>
      </c>
      <c r="H16" s="914">
        <v>13300.01</v>
      </c>
      <c r="I16" s="96">
        <f t="shared" si="5"/>
        <v>43.583373896632352</v>
      </c>
      <c r="J16" s="233">
        <f t="shared" si="1"/>
        <v>5.7142062299201086</v>
      </c>
      <c r="K16" s="146">
        <f t="shared" si="2"/>
        <v>3.2769429418949571E-3</v>
      </c>
      <c r="L16" s="178">
        <f t="shared" si="3"/>
        <v>8</v>
      </c>
      <c r="M16" s="1231">
        <f t="shared" si="4"/>
        <v>112480</v>
      </c>
    </row>
    <row r="17" spans="2:13" ht="16.5" x14ac:dyDescent="0.25">
      <c r="B17" s="523">
        <f>VLOOKUP(C17,[1]Hoja1!$B$2:$C$260,2,FALSE)</f>
        <v>1210003</v>
      </c>
      <c r="C17" s="523" t="s">
        <v>1143</v>
      </c>
      <c r="D17" s="143">
        <v>2.8673250741580874E-4</v>
      </c>
      <c r="E17" s="96">
        <v>4.8857093002966319E-2</v>
      </c>
      <c r="F17" s="896">
        <f>VLOOKUP(B17,[2]Hoja1!$C$2:$E$279,3,FALSE)</f>
        <v>16235.45</v>
      </c>
      <c r="G17" s="96">
        <f t="shared" si="0"/>
        <v>4.6552312875239918</v>
      </c>
      <c r="H17" s="914">
        <v>12852.58</v>
      </c>
      <c r="I17" s="96">
        <f t="shared" si="5"/>
        <v>3.685252490162275</v>
      </c>
      <c r="J17" s="233">
        <f t="shared" si="1"/>
        <v>26.320551982559152</v>
      </c>
      <c r="K17" s="146">
        <f t="shared" si="2"/>
        <v>2.8673250741580874E-4</v>
      </c>
      <c r="L17" s="178">
        <f t="shared" si="3"/>
        <v>0.7</v>
      </c>
      <c r="M17" s="1231">
        <f t="shared" si="4"/>
        <v>11364.815000000001</v>
      </c>
    </row>
    <row r="18" spans="2:13" ht="16.5" x14ac:dyDescent="0.25">
      <c r="B18" s="523">
        <f>VLOOKUP(C18,[1]Hoja1!$B$2:$C$260,2,FALSE)</f>
        <v>1260006</v>
      </c>
      <c r="C18" s="523" t="s">
        <v>1147</v>
      </c>
      <c r="D18" s="143">
        <v>5.7346501483161744E-3</v>
      </c>
      <c r="E18" s="96">
        <v>0.97714186005932646</v>
      </c>
      <c r="F18" s="896">
        <f>VLOOKUP(B18,[2]Hoja1!$C$2:$E$279,3,FALSE)</f>
        <v>18900</v>
      </c>
      <c r="G18" s="96">
        <f t="shared" si="0"/>
        <v>108.3848878031757</v>
      </c>
      <c r="H18" s="914">
        <v>18900</v>
      </c>
      <c r="I18" s="96">
        <f t="shared" si="5"/>
        <v>108.3848878031757</v>
      </c>
      <c r="J18" s="233">
        <f t="shared" si="1"/>
        <v>0</v>
      </c>
      <c r="K18" s="146">
        <f t="shared" si="2"/>
        <v>5.7346501483161744E-3</v>
      </c>
      <c r="L18" s="178">
        <f t="shared" si="3"/>
        <v>14</v>
      </c>
      <c r="M18" s="1231">
        <f t="shared" si="4"/>
        <v>264600</v>
      </c>
    </row>
    <row r="19" spans="2:13" ht="16.5" x14ac:dyDescent="0.25">
      <c r="B19" s="523">
        <f>VLOOKUP(C19,[1]Hoja1!$B$2:$C$260,2,FALSE)</f>
        <v>1260005</v>
      </c>
      <c r="C19" s="523" t="s">
        <v>811</v>
      </c>
      <c r="D19" s="143">
        <v>5.7346501483161744E-3</v>
      </c>
      <c r="E19" s="96">
        <v>0.97714186005932646</v>
      </c>
      <c r="F19" s="896">
        <f>VLOOKUP(B19,[2]Hoja1!$C$2:$E$279,3,FALSE)</f>
        <v>26429</v>
      </c>
      <c r="G19" s="96">
        <f t="shared" si="0"/>
        <v>151.56106876984816</v>
      </c>
      <c r="H19" s="25">
        <v>25850</v>
      </c>
      <c r="I19" s="96">
        <f t="shared" si="5"/>
        <v>148.24070633397312</v>
      </c>
      <c r="J19" s="233">
        <f t="shared" si="1"/>
        <v>2.2398452611218715</v>
      </c>
      <c r="K19" s="146">
        <f t="shared" si="2"/>
        <v>5.7346501483161744E-3</v>
      </c>
      <c r="L19" s="178">
        <f t="shared" si="3"/>
        <v>14</v>
      </c>
      <c r="M19" s="1231">
        <f t="shared" si="4"/>
        <v>370006</v>
      </c>
    </row>
    <row r="20" spans="2:13" ht="16.5" x14ac:dyDescent="0.25">
      <c r="B20" s="523">
        <f>VLOOKUP(C20,[1]Hoja1!$B$2:$C$260,2,FALSE)</f>
        <v>1260010</v>
      </c>
      <c r="C20" s="523" t="s">
        <v>1043</v>
      </c>
      <c r="D20" s="143">
        <v>2.9492486477054616E-2</v>
      </c>
      <c r="E20" s="96">
        <v>5.0253009945908218</v>
      </c>
      <c r="F20" s="896">
        <f>VLOOKUP(B20,[2]Hoja1!$C$2:$E$279,3,FALSE)</f>
        <v>6959.71</v>
      </c>
      <c r="G20" s="96">
        <f t="shared" si="0"/>
        <v>205.25915305922177</v>
      </c>
      <c r="H20" s="106">
        <v>9565.2099999999991</v>
      </c>
      <c r="I20" s="96">
        <f t="shared" si="5"/>
        <v>282.10182657518754</v>
      </c>
      <c r="J20" s="233">
        <f t="shared" si="1"/>
        <v>-27.239339230398485</v>
      </c>
      <c r="K20" s="146">
        <f t="shared" si="2"/>
        <v>2.9492486477054616E-2</v>
      </c>
      <c r="L20" s="178">
        <f t="shared" si="3"/>
        <v>72</v>
      </c>
      <c r="M20" s="1231">
        <f t="shared" si="4"/>
        <v>501099.12</v>
      </c>
    </row>
    <row r="21" spans="2:13" ht="16.5" x14ac:dyDescent="0.25">
      <c r="B21" s="523">
        <f>VLOOKUP(C21,[1]Hoja1!$B$2:$C$260,2,FALSE)</f>
        <v>1260017</v>
      </c>
      <c r="C21" s="523" t="s">
        <v>832</v>
      </c>
      <c r="D21" s="143">
        <v>3.0721340080265221E-2</v>
      </c>
      <c r="E21" s="96">
        <v>5.234688536032106</v>
      </c>
      <c r="F21" s="896">
        <f>VLOOKUP(B21,[2]Hoja1!$C$2:$E$279,3,FALSE)</f>
        <v>4500</v>
      </c>
      <c r="G21" s="96">
        <f t="shared" si="0"/>
        <v>138.2460303611935</v>
      </c>
      <c r="H21" s="896">
        <v>4500</v>
      </c>
      <c r="I21" s="96">
        <f t="shared" si="5"/>
        <v>138.2460303611935</v>
      </c>
      <c r="J21" s="233">
        <f t="shared" si="1"/>
        <v>0</v>
      </c>
      <c r="K21" s="146">
        <f t="shared" si="2"/>
        <v>3.0721340080265221E-2</v>
      </c>
      <c r="L21" s="178">
        <f t="shared" si="3"/>
        <v>75</v>
      </c>
      <c r="M21" s="1231">
        <f t="shared" si="4"/>
        <v>337500</v>
      </c>
    </row>
    <row r="22" spans="2:13" ht="16.5" x14ac:dyDescent="0.25">
      <c r="B22" s="523">
        <f>VLOOKUP(C22,[1]Hoja1!$B$2:$C$260,2,FALSE)</f>
        <v>1260012</v>
      </c>
      <c r="C22" s="523" t="s">
        <v>1148</v>
      </c>
      <c r="D22" s="143">
        <v>1.8842421915896E-3</v>
      </c>
      <c r="E22" s="96">
        <v>0.3210608968766358</v>
      </c>
      <c r="F22" s="896">
        <f>VLOOKUP(B22,[2]Hoja1!$C$2:$E$279,3,FALSE)</f>
        <v>46081</v>
      </c>
      <c r="G22" s="96">
        <f t="shared" si="0"/>
        <v>86.827764430640357</v>
      </c>
      <c r="H22" s="154">
        <v>46081</v>
      </c>
      <c r="I22" s="96">
        <f t="shared" si="5"/>
        <v>86.827764430640357</v>
      </c>
      <c r="J22" s="233">
        <f t="shared" si="1"/>
        <v>0</v>
      </c>
      <c r="K22" s="146">
        <f t="shared" si="2"/>
        <v>1.8842421915896E-3</v>
      </c>
      <c r="L22" s="178">
        <f t="shared" si="3"/>
        <v>4.5999999999999996</v>
      </c>
      <c r="M22" s="1231">
        <f t="shared" si="4"/>
        <v>211972.59999999998</v>
      </c>
    </row>
    <row r="23" spans="2:13" s="146" customFormat="1" ht="15" customHeight="1" x14ac:dyDescent="0.25">
      <c r="B23" s="1764" t="s">
        <v>37</v>
      </c>
      <c r="C23" s="1764"/>
      <c r="D23" s="1278">
        <f>SUM(D5:D22)</f>
        <v>0.58684805595058442</v>
      </c>
      <c r="E23" s="1279">
        <f>SUM(E5:E22)</f>
        <v>99.994556970860245</v>
      </c>
      <c r="F23" s="1281"/>
      <c r="G23" s="1281">
        <f>SUM(G5:G22)</f>
        <v>2119.804777455282</v>
      </c>
      <c r="H23" s="1281"/>
      <c r="I23" s="1280" t="e">
        <f>SUM(I5:I22)</f>
        <v>#NAME?</v>
      </c>
      <c r="J23" s="1282" t="e">
        <f>((G23/I23)*100)-100</f>
        <v>#NAME?</v>
      </c>
      <c r="K23" s="1327">
        <f>SUM(K5:K22)</f>
        <v>0.58684805595058442</v>
      </c>
      <c r="L23" s="1327">
        <f>SUM(L5:L22)</f>
        <v>1432.6720149999999</v>
      </c>
      <c r="M23" s="1377">
        <f>SUM(M5:M22)</f>
        <v>5059404.3790749991</v>
      </c>
    </row>
    <row r="24" spans="2:13" x14ac:dyDescent="0.25">
      <c r="J24" s="775"/>
    </row>
    <row r="25" spans="2:13" ht="25.5" x14ac:dyDescent="0.25">
      <c r="B25" s="1765" t="s">
        <v>50</v>
      </c>
      <c r="C25" s="1766"/>
      <c r="D25" s="38">
        <f>+C28+(C28*C34%)</f>
        <v>586.88</v>
      </c>
      <c r="E25" s="159"/>
      <c r="F25" s="159"/>
      <c r="G25" s="159"/>
      <c r="H25" s="130"/>
      <c r="I25" s="159"/>
      <c r="J25" s="159"/>
    </row>
    <row r="26" spans="2:13" x14ac:dyDescent="0.25">
      <c r="B26" s="1284" t="s">
        <v>38</v>
      </c>
      <c r="C26" s="161" t="s">
        <v>123</v>
      </c>
      <c r="D26" s="146"/>
    </row>
    <row r="27" spans="2:13" x14ac:dyDescent="0.25">
      <c r="B27" s="1285" t="s">
        <v>39</v>
      </c>
      <c r="C27" s="163" t="s">
        <v>259</v>
      </c>
      <c r="D27" s="146"/>
    </row>
    <row r="28" spans="2:13" x14ac:dyDescent="0.25">
      <c r="B28" s="1285" t="s">
        <v>40</v>
      </c>
      <c r="C28" s="163">
        <v>560</v>
      </c>
      <c r="D28" s="146"/>
    </row>
    <row r="29" spans="2:13" x14ac:dyDescent="0.25">
      <c r="B29" s="1285" t="s">
        <v>41</v>
      </c>
      <c r="C29" s="163">
        <v>0</v>
      </c>
      <c r="D29" s="146"/>
    </row>
    <row r="30" spans="2:13" x14ac:dyDescent="0.25">
      <c r="B30" s="1285" t="s">
        <v>42</v>
      </c>
      <c r="C30" s="163">
        <v>0.5</v>
      </c>
      <c r="D30" s="146"/>
    </row>
    <row r="31" spans="2:13" x14ac:dyDescent="0.25">
      <c r="B31" s="1285" t="s">
        <v>43</v>
      </c>
      <c r="C31" s="163">
        <v>0.5</v>
      </c>
      <c r="D31" s="146"/>
    </row>
    <row r="32" spans="2:13" x14ac:dyDescent="0.25">
      <c r="B32" s="1285" t="s">
        <v>44</v>
      </c>
      <c r="C32" s="163">
        <v>2</v>
      </c>
      <c r="D32" s="146"/>
    </row>
    <row r="33" spans="2:11" x14ac:dyDescent="0.25">
      <c r="B33" s="1285" t="s">
        <v>45</v>
      </c>
      <c r="C33" s="163">
        <v>1.8</v>
      </c>
      <c r="D33" s="146"/>
    </row>
    <row r="34" spans="2:11" x14ac:dyDescent="0.25">
      <c r="B34" s="1285" t="s">
        <v>46</v>
      </c>
      <c r="C34" s="163">
        <f>C33+C32+C31+C30</f>
        <v>4.8</v>
      </c>
      <c r="D34" s="146"/>
    </row>
    <row r="35" spans="2:11" x14ac:dyDescent="0.25">
      <c r="H35" s="130"/>
      <c r="I35" s="159"/>
    </row>
    <row r="36" spans="2:11" ht="25.5" x14ac:dyDescent="0.25">
      <c r="B36" s="1767" t="s">
        <v>47</v>
      </c>
      <c r="C36" s="1768"/>
      <c r="D36" s="1768"/>
      <c r="E36" s="1768"/>
      <c r="F36" s="1768"/>
      <c r="G36" s="1768"/>
      <c r="H36" s="1768"/>
      <c r="I36" s="1768"/>
    </row>
    <row r="37" spans="2:11" ht="25.5" x14ac:dyDescent="0.25">
      <c r="B37" s="1266" t="s">
        <v>0</v>
      </c>
      <c r="C37" s="1266" t="s">
        <v>1</v>
      </c>
      <c r="D37" s="1267" t="s">
        <v>2</v>
      </c>
      <c r="E37" s="1243" t="str">
        <f>+'CIF Y PV'!$F$4</f>
        <v xml:space="preserve">JUN-COP/UMB </v>
      </c>
      <c r="F37" s="1243" t="str">
        <f>+'CIF Y PV'!$G$4</f>
        <v>JUN-COP/APP</v>
      </c>
      <c r="G37" s="1243" t="str">
        <f>+'CIF Y PV'!$H$4</f>
        <v xml:space="preserve">MAY-COP/UMB </v>
      </c>
      <c r="H37" s="1243" t="str">
        <f>+'CIF Y PV'!$I$4</f>
        <v>MAY-COP/APP</v>
      </c>
      <c r="I37" s="1243" t="s">
        <v>3</v>
      </c>
      <c r="J37" s="146">
        <v>18984</v>
      </c>
    </row>
    <row r="38" spans="2:11" ht="15" x14ac:dyDescent="0.25">
      <c r="B38" s="165">
        <f>VLOOKUP(C38,[1]Hoja1!$B$2:$C$260,2,FALSE)</f>
        <v>1370011</v>
      </c>
      <c r="C38" s="165" t="s">
        <v>1061</v>
      </c>
      <c r="D38" s="166">
        <v>1.74</v>
      </c>
      <c r="E38" s="866">
        <f>VLOOKUP(B38,[2]Hoja1!$C$2:$E$279,3,FALSE)</f>
        <v>144.65</v>
      </c>
      <c r="F38" s="167">
        <f>E38*D38</f>
        <v>251.691</v>
      </c>
      <c r="G38" s="866">
        <v>172.27</v>
      </c>
      <c r="H38" s="167">
        <f>G38*D38</f>
        <v>299.74979999999999</v>
      </c>
      <c r="I38" s="270">
        <f>((E38/G38)*100)-100</f>
        <v>-16.032971498229514</v>
      </c>
      <c r="J38" s="146">
        <f>$J$37*D38</f>
        <v>33032.159999999996</v>
      </c>
    </row>
    <row r="39" spans="2:11" ht="15" x14ac:dyDescent="0.25">
      <c r="B39" s="165">
        <f>VLOOKUP(C39,[1]Hoja1!$B$2:$C$260,2,FALSE)</f>
        <v>1330013</v>
      </c>
      <c r="C39" s="165" t="s">
        <v>1169</v>
      </c>
      <c r="D39" s="166">
        <v>1</v>
      </c>
      <c r="E39" s="866">
        <f>VLOOKUP(B39,[2]Hoja1!$C$2:$E$279,3,FALSE)</f>
        <v>256.63</v>
      </c>
      <c r="F39" s="167">
        <f>E39*D39</f>
        <v>256.63</v>
      </c>
      <c r="G39" s="167">
        <v>241.02</v>
      </c>
      <c r="H39" s="167">
        <f>G39*D39</f>
        <v>241.02</v>
      </c>
      <c r="I39" s="270">
        <f>((G39/E39)*100)-100</f>
        <v>-6.0826871371234716</v>
      </c>
      <c r="J39" s="146">
        <f>J37*D39</f>
        <v>18984</v>
      </c>
      <c r="K39" s="218">
        <f>J39/6</f>
        <v>3164</v>
      </c>
    </row>
    <row r="40" spans="2:11" x14ac:dyDescent="0.25">
      <c r="B40" s="1266"/>
      <c r="C40" s="1266" t="s">
        <v>37</v>
      </c>
      <c r="D40" s="1267"/>
      <c r="E40" s="1267"/>
      <c r="F40" s="1267">
        <f>SUM(F38:F39)</f>
        <v>508.32100000000003</v>
      </c>
      <c r="G40" s="1267"/>
      <c r="H40" s="1267">
        <f>SUM(H38:H39)</f>
        <v>540.76980000000003</v>
      </c>
      <c r="I40" s="875">
        <f>((F40/H40)*100)-100</f>
        <v>-6.0004830151387978</v>
      </c>
    </row>
    <row r="41" spans="2:11" x14ac:dyDescent="0.25">
      <c r="H41" s="1" t="str">
        <f>+'CIF Y PV'!$G$1</f>
        <v>MAYO</v>
      </c>
      <c r="J41" s="146"/>
    </row>
    <row r="42" spans="2:11" x14ac:dyDescent="0.25">
      <c r="B42" s="1735" t="s">
        <v>260</v>
      </c>
      <c r="C42" s="1735"/>
      <c r="E42" s="884"/>
      <c r="F42" s="884"/>
      <c r="G42" s="884"/>
      <c r="H42" s="884">
        <f>+F40+G23</f>
        <v>2628.1257774552819</v>
      </c>
      <c r="I42" s="181"/>
      <c r="J42" s="884"/>
      <c r="K42" s="181"/>
    </row>
    <row r="43" spans="2:11" x14ac:dyDescent="0.25">
      <c r="B43" s="1736" t="s">
        <v>48</v>
      </c>
      <c r="C43" s="1737"/>
      <c r="E43" s="884"/>
      <c r="F43" s="884"/>
      <c r="G43" s="884"/>
      <c r="H43" s="884">
        <f>+('CIF Y PV'!C3/1000)*560</f>
        <v>1058.3999999999999</v>
      </c>
      <c r="I43" s="207"/>
      <c r="J43" s="884"/>
      <c r="K43" s="207"/>
    </row>
    <row r="44" spans="2:11" x14ac:dyDescent="0.25">
      <c r="B44" s="1736" t="s">
        <v>267</v>
      </c>
      <c r="C44" s="1737"/>
      <c r="E44" s="884"/>
      <c r="F44" s="884"/>
      <c r="G44" s="884"/>
      <c r="H44" s="884">
        <f>+H42+H43</f>
        <v>3686.525777455282</v>
      </c>
      <c r="I44" s="219"/>
      <c r="J44" s="884"/>
      <c r="K44" s="219"/>
    </row>
    <row r="45" spans="2:11" x14ac:dyDescent="0.25">
      <c r="B45" s="1735" t="s">
        <v>49</v>
      </c>
      <c r="C45" s="1735"/>
      <c r="E45" s="884"/>
      <c r="F45" s="884"/>
      <c r="G45" s="884"/>
      <c r="H45" s="884">
        <f>'CIF Y PV'!C48</f>
        <v>7280.2800000000007</v>
      </c>
      <c r="J45" s="884"/>
      <c r="K45" s="300"/>
    </row>
    <row r="46" spans="2:11" x14ac:dyDescent="0.2">
      <c r="B46" s="1735" t="s">
        <v>805</v>
      </c>
      <c r="C46" s="1735"/>
      <c r="E46" s="884"/>
      <c r="F46" s="884"/>
      <c r="G46" s="884"/>
      <c r="H46" s="928">
        <f>+(H45-H44)/H45</f>
        <v>0.49362857232753665</v>
      </c>
      <c r="I46" s="199"/>
      <c r="J46" s="146"/>
      <c r="K46" s="199"/>
    </row>
  </sheetData>
  <mergeCells count="9">
    <mergeCell ref="B46:C46"/>
    <mergeCell ref="B2:J2"/>
    <mergeCell ref="B36:I36"/>
    <mergeCell ref="B43:C43"/>
    <mergeCell ref="B44:C44"/>
    <mergeCell ref="B45:C45"/>
    <mergeCell ref="B23:C23"/>
    <mergeCell ref="B25:C25"/>
    <mergeCell ref="B42:C42"/>
  </mergeCells>
  <dataValidations disablePrompts="1" count="1">
    <dataValidation allowBlank="1" showInputMessage="1" showErrorMessage="1" sqref="C10" xr:uid="{E0EB5215-BE64-4831-B027-20039B8D0FC5}"/>
  </dataValidations>
  <pageMargins left="0.7" right="0.7" top="0.75" bottom="0.75" header="0.3" footer="0.3"/>
  <pageSetup scale="37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69F6-6880-4F19-88CC-F798AEAD2416}">
  <sheetPr codeName="Hoja115"/>
  <dimension ref="B2:M47"/>
  <sheetViews>
    <sheetView view="pageBreakPreview" topLeftCell="A23" zoomScale="90" zoomScaleNormal="85" zoomScaleSheetLayoutView="90" workbookViewId="0">
      <selection activeCell="C20" sqref="C20"/>
    </sheetView>
  </sheetViews>
  <sheetFormatPr baseColWidth="10" defaultColWidth="11.5703125" defaultRowHeight="13.5" x14ac:dyDescent="0.25"/>
  <cols>
    <col min="1" max="1" width="15" style="120" customWidth="1"/>
    <col min="2" max="2" width="11.7109375" style="120" bestFit="1" customWidth="1"/>
    <col min="3" max="3" width="67.42578125" style="120" bestFit="1" customWidth="1"/>
    <col min="4" max="4" width="13.85546875" style="120" bestFit="1" customWidth="1"/>
    <col min="5" max="5" width="11.85546875" style="120" bestFit="1" customWidth="1"/>
    <col min="6" max="6" width="12.7109375" style="120" bestFit="1" customWidth="1"/>
    <col min="7" max="7" width="11.85546875" style="120" bestFit="1" customWidth="1"/>
    <col min="8" max="8" width="12.7109375" style="146" bestFit="1" customWidth="1"/>
    <col min="9" max="9" width="14.7109375" style="120" bestFit="1" customWidth="1"/>
    <col min="10" max="10" width="12.85546875" style="120" bestFit="1" customWidth="1"/>
    <col min="11" max="12" width="11.85546875" style="120" bestFit="1" customWidth="1"/>
    <col min="13" max="13" width="14.7109375" style="120" bestFit="1" customWidth="1"/>
    <col min="14" max="16384" width="11.5703125" style="120"/>
  </cols>
  <sheetData>
    <row r="2" spans="2:13" ht="25.5" x14ac:dyDescent="0.25">
      <c r="B2" s="1743" t="s">
        <v>1008</v>
      </c>
      <c r="C2" s="1743"/>
      <c r="D2" s="1743"/>
      <c r="E2" s="1743"/>
      <c r="F2" s="1743"/>
      <c r="G2" s="1743"/>
      <c r="H2" s="1743"/>
      <c r="I2" s="1743"/>
      <c r="J2" s="1743"/>
    </row>
    <row r="4" spans="2:13" ht="25.5" x14ac:dyDescent="0.25">
      <c r="B4" s="1271" t="s">
        <v>0</v>
      </c>
      <c r="C4" s="1271" t="s">
        <v>1</v>
      </c>
      <c r="D4" s="1271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51" t="s">
        <v>3</v>
      </c>
      <c r="K4" s="1261">
        <f>+D25/1000</f>
        <v>1.1737599999999999</v>
      </c>
      <c r="L4" s="1407">
        <v>1432.75</v>
      </c>
      <c r="M4" s="1352" t="s">
        <v>1128</v>
      </c>
    </row>
    <row r="5" spans="2:13" ht="16.5" x14ac:dyDescent="0.25">
      <c r="B5" s="523">
        <f>VLOOKUP(C5,[1]Hoja1!$B$2:$C$260,2,FALSE)</f>
        <v>1112001</v>
      </c>
      <c r="C5" s="523" t="s">
        <v>1060</v>
      </c>
      <c r="D5" s="190">
        <v>0.46696436922003137</v>
      </c>
      <c r="E5" s="73">
        <v>39.783632873844006</v>
      </c>
      <c r="F5" s="982">
        <f>VLOOKUP(B5,[2]Hoja1!$C$2:$E$279,3,FALSE)</f>
        <v>3663.96</v>
      </c>
      <c r="G5" s="73">
        <f>F5*D5</f>
        <v>1710.9387702474262</v>
      </c>
      <c r="H5" s="982">
        <v>4222.72</v>
      </c>
      <c r="I5" s="73">
        <f>H5*D5</f>
        <v>1971.8597811928109</v>
      </c>
      <c r="J5" s="536">
        <f>((F5/H5)*100)-100</f>
        <v>-13.232229463473786</v>
      </c>
      <c r="K5" s="345">
        <f>$K$4*E5%</f>
        <v>0.46696436922003137</v>
      </c>
      <c r="L5" s="1409">
        <f>$L$4*E5%</f>
        <v>570</v>
      </c>
      <c r="M5" s="1403">
        <f>L5*F5</f>
        <v>2088457.2</v>
      </c>
    </row>
    <row r="6" spans="2:13" ht="16.5" x14ac:dyDescent="0.25">
      <c r="B6" s="523">
        <f>VLOOKUP(C6,[1]Hoja1!$B$2:$C$260,2,FALSE)</f>
        <v>2906001</v>
      </c>
      <c r="C6" s="523" t="s">
        <v>831</v>
      </c>
      <c r="D6" s="190">
        <v>9.9127523992322442E-2</v>
      </c>
      <c r="E6" s="73">
        <v>8.4452975047984644</v>
      </c>
      <c r="F6" s="982">
        <f>VLOOKUP(B6,[2]Hoja1!$C$2:$E$279,3,FALSE)</f>
        <v>1956.71</v>
      </c>
      <c r="G6" s="73">
        <f t="shared" ref="G6:G22" si="0">F6*D6</f>
        <v>193.96381747101725</v>
      </c>
      <c r="H6" s="982">
        <v>2033.73</v>
      </c>
      <c r="I6" s="73">
        <f t="shared" ref="I6:I22" si="1">H6*D6</f>
        <v>201.59861936890593</v>
      </c>
      <c r="J6" s="536">
        <f t="shared" ref="J6:J22" si="2">((F6/H6)*100)-100</f>
        <v>-3.7871300516784459</v>
      </c>
      <c r="K6" s="345">
        <f t="shared" ref="K6:K22" si="3">$K$4*E6%</f>
        <v>9.9127523992322442E-2</v>
      </c>
      <c r="L6" s="1409">
        <f t="shared" ref="L6:L23" si="4">$L$4*E6%</f>
        <v>121</v>
      </c>
      <c r="M6" s="1403">
        <f t="shared" ref="M6:M22" si="5">L6*F6</f>
        <v>236761.91</v>
      </c>
    </row>
    <row r="7" spans="2:13" ht="16.5" x14ac:dyDescent="0.25">
      <c r="B7" s="523">
        <f>VLOOKUP(C7,[1]Hoja1!$B$2:$C$260,2,FALSE)</f>
        <v>1121009</v>
      </c>
      <c r="C7" s="523" t="s">
        <v>1272</v>
      </c>
      <c r="D7" s="190">
        <v>3.8094461699528875E-2</v>
      </c>
      <c r="E7" s="73">
        <v>3.2455068923399057</v>
      </c>
      <c r="F7" s="982">
        <f>VLOOKUP(B7,[2]Hoja1!$C$2:$E$279,3,FALSE)</f>
        <v>8741.6200000000008</v>
      </c>
      <c r="G7" s="73">
        <f t="shared" si="0"/>
        <v>333.00730828183566</v>
      </c>
      <c r="H7" s="73">
        <v>5801.26</v>
      </c>
      <c r="I7" s="73">
        <f t="shared" si="1"/>
        <v>220.9958768790089</v>
      </c>
      <c r="J7" s="536">
        <f t="shared" si="2"/>
        <v>50.684851221975919</v>
      </c>
      <c r="K7" s="345">
        <f t="shared" si="3"/>
        <v>3.8094461699528875E-2</v>
      </c>
      <c r="L7" s="1409">
        <f t="shared" si="4"/>
        <v>46.499999999999993</v>
      </c>
      <c r="M7" s="1403">
        <f t="shared" si="5"/>
        <v>406485.32999999996</v>
      </c>
    </row>
    <row r="8" spans="2:13" ht="16.5" x14ac:dyDescent="0.25">
      <c r="B8" s="523">
        <v>0</v>
      </c>
      <c r="C8" s="523" t="s">
        <v>823</v>
      </c>
      <c r="D8" s="190">
        <v>8.8477459431163835E-2</v>
      </c>
      <c r="E8" s="73">
        <v>7.5379514918862327</v>
      </c>
      <c r="F8" s="982">
        <v>0</v>
      </c>
      <c r="G8" s="73">
        <f t="shared" si="0"/>
        <v>0</v>
      </c>
      <c r="H8" s="73">
        <v>0</v>
      </c>
      <c r="I8" s="73">
        <f t="shared" si="1"/>
        <v>0</v>
      </c>
      <c r="J8" s="536" t="e">
        <f t="shared" si="2"/>
        <v>#DIV/0!</v>
      </c>
      <c r="K8" s="345">
        <f t="shared" si="3"/>
        <v>8.8477459431163835E-2</v>
      </c>
      <c r="L8" s="1409">
        <f t="shared" si="4"/>
        <v>108</v>
      </c>
      <c r="M8" s="1403">
        <f t="shared" si="5"/>
        <v>0</v>
      </c>
    </row>
    <row r="9" spans="2:13" ht="16.5" x14ac:dyDescent="0.25">
      <c r="B9" s="523">
        <f>VLOOKUP(C9,[1]Hoja1!$B$2:$C$260,2,FALSE)</f>
        <v>1131002</v>
      </c>
      <c r="C9" s="523" t="s">
        <v>663</v>
      </c>
      <c r="D9" s="190">
        <v>0.29157419061245854</v>
      </c>
      <c r="E9" s="73">
        <v>24.841039958122494</v>
      </c>
      <c r="F9" s="982">
        <f>VLOOKUP(B9,[2]Hoja1!$C$2:$E$279,3,FALSE)</f>
        <v>0</v>
      </c>
      <c r="G9" s="73">
        <f t="shared" si="0"/>
        <v>0</v>
      </c>
      <c r="H9" s="984">
        <v>0</v>
      </c>
      <c r="I9" s="73">
        <f t="shared" si="1"/>
        <v>0</v>
      </c>
      <c r="J9" s="536" t="e">
        <f t="shared" si="2"/>
        <v>#DIV/0!</v>
      </c>
      <c r="K9" s="345">
        <f t="shared" si="3"/>
        <v>0.29157419061245854</v>
      </c>
      <c r="L9" s="1409">
        <f t="shared" si="4"/>
        <v>355.91</v>
      </c>
      <c r="M9" s="1403">
        <f t="shared" si="5"/>
        <v>0</v>
      </c>
    </row>
    <row r="10" spans="2:13" ht="16.5" x14ac:dyDescent="0.25">
      <c r="B10" s="523">
        <f>VLOOKUP(C10,[1]Hoja1!$B$2:$C$260,2,FALSE)</f>
        <v>1250009</v>
      </c>
      <c r="C10" s="523" t="s">
        <v>1279</v>
      </c>
      <c r="D10" s="190">
        <v>1.2288536032106074E-3</v>
      </c>
      <c r="E10" s="73">
        <v>0.104693770720642</v>
      </c>
      <c r="F10" s="982">
        <f>VLOOKUP(B10,[2]Hoja1!$C$2:$E$279,3,FALSE)</f>
        <v>83551.55</v>
      </c>
      <c r="G10" s="73">
        <f t="shared" si="0"/>
        <v>102.67262327133122</v>
      </c>
      <c r="H10" s="984">
        <v>71910.02</v>
      </c>
      <c r="I10" s="73">
        <f t="shared" si="1"/>
        <v>88.366887183946844</v>
      </c>
      <c r="J10" s="536">
        <f t="shared" si="2"/>
        <v>16.18902344902699</v>
      </c>
      <c r="K10" s="345">
        <f t="shared" si="3"/>
        <v>1.2288536032106074E-3</v>
      </c>
      <c r="L10" s="1409">
        <f t="shared" si="4"/>
        <v>1.499999999999998</v>
      </c>
      <c r="M10" s="1403">
        <f t="shared" si="5"/>
        <v>125327.32499999984</v>
      </c>
    </row>
    <row r="11" spans="2:13" ht="16.5" x14ac:dyDescent="0.25">
      <c r="B11" s="523">
        <f>VLOOKUP(C11,[1]Hoja1!$B$2:$C$260,2,FALSE)</f>
        <v>1210005</v>
      </c>
      <c r="C11" s="523" t="s">
        <v>1155</v>
      </c>
      <c r="D11" s="190">
        <v>1.2207103999999998E-2</v>
      </c>
      <c r="E11" s="73">
        <v>1.04</v>
      </c>
      <c r="F11" s="982">
        <f>VLOOKUP(B11,[2]Hoja1!$C$2:$E$279,3,FALSE)</f>
        <v>1356</v>
      </c>
      <c r="G11" s="73">
        <f t="shared" si="0"/>
        <v>16.552833023999998</v>
      </c>
      <c r="H11" s="984">
        <v>71910.02</v>
      </c>
      <c r="I11" s="73"/>
      <c r="J11" s="536"/>
      <c r="K11" s="345">
        <f t="shared" si="3"/>
        <v>1.2207103999999998E-2</v>
      </c>
      <c r="L11" s="1409"/>
      <c r="M11" s="1403"/>
    </row>
    <row r="12" spans="2:13" ht="16.5" x14ac:dyDescent="0.3">
      <c r="B12" s="523">
        <v>1210010</v>
      </c>
      <c r="C12" s="523" t="s">
        <v>1351</v>
      </c>
      <c r="D12" s="190">
        <v>8.1693695999999986E-3</v>
      </c>
      <c r="E12" s="73">
        <v>0.69599999999999995</v>
      </c>
      <c r="F12" s="982">
        <f>VLOOKUP(B12,[2]Hoja1!$C$2:$E$279,3,FALSE)</f>
        <v>11600</v>
      </c>
      <c r="G12" s="73">
        <f t="shared" si="0"/>
        <v>94.764687359999982</v>
      </c>
      <c r="H12" s="964">
        <v>8910.1</v>
      </c>
      <c r="I12" s="73">
        <f t="shared" si="1"/>
        <v>72.789900072959995</v>
      </c>
      <c r="J12" s="536">
        <f t="shared" si="2"/>
        <v>30.189335697691376</v>
      </c>
      <c r="K12" s="345">
        <f t="shared" si="3"/>
        <v>8.1693695999999986E-3</v>
      </c>
      <c r="L12" s="1409">
        <f t="shared" si="4"/>
        <v>9.9719399999999982</v>
      </c>
      <c r="M12" s="1403">
        <f t="shared" si="5"/>
        <v>115674.50399999999</v>
      </c>
    </row>
    <row r="13" spans="2:13" ht="16.5" x14ac:dyDescent="0.25">
      <c r="B13" s="523">
        <f>VLOOKUP(C13,[1]Hoja1!$B$2:$C$260,2,FALSE)</f>
        <v>1210004</v>
      </c>
      <c r="C13" s="523" t="s">
        <v>1131</v>
      </c>
      <c r="D13" s="190">
        <v>1.0563839999999998E-3</v>
      </c>
      <c r="E13" s="73">
        <v>0.09</v>
      </c>
      <c r="F13" s="982">
        <f>VLOOKUP(B13,[2]Hoja1!$C$2:$E$279,3,FALSE)</f>
        <v>3841</v>
      </c>
      <c r="G13" s="73">
        <f t="shared" si="0"/>
        <v>4.0575709439999992</v>
      </c>
      <c r="H13" s="88">
        <v>3508.01</v>
      </c>
      <c r="I13" s="73">
        <f t="shared" si="1"/>
        <v>3.7058056358399996</v>
      </c>
      <c r="J13" s="536">
        <f t="shared" si="2"/>
        <v>9.4922762477871885</v>
      </c>
      <c r="K13" s="345">
        <f t="shared" si="3"/>
        <v>1.0563839999999998E-3</v>
      </c>
      <c r="L13" s="1409">
        <f t="shared" si="4"/>
        <v>1.2894749999999999</v>
      </c>
      <c r="M13" s="1403">
        <f t="shared" si="5"/>
        <v>4952.8734749999994</v>
      </c>
    </row>
    <row r="14" spans="2:13" ht="16.5" x14ac:dyDescent="0.25">
      <c r="B14" s="523">
        <f>VLOOKUP(C14,[1]Hoja1!$B$2:$C$260,2,FALSE)</f>
        <v>1210002</v>
      </c>
      <c r="C14" s="523" t="s">
        <v>1033</v>
      </c>
      <c r="D14" s="190">
        <v>4.6696436922003138E-3</v>
      </c>
      <c r="E14" s="73">
        <v>0.39783632873844005</v>
      </c>
      <c r="F14" s="982">
        <f>VLOOKUP(B14,[2]Hoja1!$C$2:$E$279,3,FALSE)</f>
        <v>12886</v>
      </c>
      <c r="G14" s="73">
        <f t="shared" si="0"/>
        <v>60.173028617693241</v>
      </c>
      <c r="H14" s="88">
        <v>12858.08</v>
      </c>
      <c r="I14" s="73">
        <f t="shared" si="1"/>
        <v>60.042652165807013</v>
      </c>
      <c r="J14" s="536">
        <f t="shared" si="2"/>
        <v>0.21713972848201024</v>
      </c>
      <c r="K14" s="345">
        <f t="shared" si="3"/>
        <v>4.6696436922003138E-3</v>
      </c>
      <c r="L14" s="1409">
        <f t="shared" si="4"/>
        <v>5.7</v>
      </c>
      <c r="M14" s="1403">
        <f t="shared" si="5"/>
        <v>73450.2</v>
      </c>
    </row>
    <row r="15" spans="2:13" ht="16.5" x14ac:dyDescent="0.25">
      <c r="B15" s="523">
        <f>VLOOKUP(C15,[1]Hoja1!$B$2:$C$260,2,FALSE)</f>
        <v>1220015</v>
      </c>
      <c r="C15" s="523" t="s">
        <v>1036</v>
      </c>
      <c r="D15" s="190">
        <v>7.8646630605478957E-3</v>
      </c>
      <c r="E15" s="73">
        <v>0.67004013261210948</v>
      </c>
      <c r="F15" s="982">
        <f>VLOOKUP(B15,[2]Hoja1!$C$2:$E$279,3,FALSE)</f>
        <v>30702.27</v>
      </c>
      <c r="G15" s="73">
        <f t="shared" si="0"/>
        <v>241.46300874396783</v>
      </c>
      <c r="H15" s="73">
        <v>29189.39</v>
      </c>
      <c r="I15" s="73">
        <f t="shared" si="1"/>
        <v>229.56471729292613</v>
      </c>
      <c r="J15" s="536">
        <f t="shared" si="2"/>
        <v>5.1829791578378348</v>
      </c>
      <c r="K15" s="345">
        <f t="shared" si="3"/>
        <v>7.8646630605478957E-3</v>
      </c>
      <c r="L15" s="1409">
        <f t="shared" si="4"/>
        <v>9.5999999999999979</v>
      </c>
      <c r="M15" s="1403">
        <f t="shared" si="5"/>
        <v>294741.79199999996</v>
      </c>
    </row>
    <row r="16" spans="2:13" ht="16.5" x14ac:dyDescent="0.3">
      <c r="B16" s="523">
        <f>VLOOKUP(C16,[1]Hoja1!$B$2:$C$260,2,FALSE)</f>
        <v>1220014</v>
      </c>
      <c r="C16" s="523" t="s">
        <v>1146</v>
      </c>
      <c r="D16" s="190">
        <v>6.5538858837899143E-3</v>
      </c>
      <c r="E16" s="73">
        <v>0.55836677717675798</v>
      </c>
      <c r="F16" s="982">
        <f>VLOOKUP(B16,[2]Hoja1!$C$2:$E$279,3,FALSE)</f>
        <v>14060</v>
      </c>
      <c r="G16" s="73">
        <f t="shared" si="0"/>
        <v>92.147635526086191</v>
      </c>
      <c r="H16" s="965">
        <v>13300.01</v>
      </c>
      <c r="I16" s="73">
        <f t="shared" si="1"/>
        <v>87.166747793264705</v>
      </c>
      <c r="J16" s="536">
        <f t="shared" si="2"/>
        <v>5.7142062299201086</v>
      </c>
      <c r="K16" s="345">
        <f t="shared" si="3"/>
        <v>6.5538858837899143E-3</v>
      </c>
      <c r="L16" s="1409">
        <f t="shared" si="4"/>
        <v>8</v>
      </c>
      <c r="M16" s="1403">
        <f t="shared" si="5"/>
        <v>112480</v>
      </c>
    </row>
    <row r="17" spans="2:13" ht="16.5" x14ac:dyDescent="0.3">
      <c r="B17" s="523">
        <f>VLOOKUP(C17,[1]Hoja1!$B$2:$C$260,2,FALSE)</f>
        <v>1210003</v>
      </c>
      <c r="C17" s="523" t="s">
        <v>1143</v>
      </c>
      <c r="D17" s="190">
        <v>5.7346501483161749E-4</v>
      </c>
      <c r="E17" s="73">
        <v>4.8857093002966319E-2</v>
      </c>
      <c r="F17" s="982">
        <f>VLOOKUP(B17,[2]Hoja1!$C$2:$E$279,3,FALSE)</f>
        <v>16235.45</v>
      </c>
      <c r="G17" s="73">
        <f t="shared" si="0"/>
        <v>9.3104625750479837</v>
      </c>
      <c r="H17" s="965">
        <v>12852.58</v>
      </c>
      <c r="I17" s="73">
        <f t="shared" si="1"/>
        <v>7.3705049803245499</v>
      </c>
      <c r="J17" s="536">
        <f t="shared" si="2"/>
        <v>26.320551982559152</v>
      </c>
      <c r="K17" s="345">
        <f t="shared" si="3"/>
        <v>5.7346501483161749E-4</v>
      </c>
      <c r="L17" s="1409">
        <f t="shared" si="4"/>
        <v>0.7</v>
      </c>
      <c r="M17" s="1403">
        <f t="shared" si="5"/>
        <v>11364.815000000001</v>
      </c>
    </row>
    <row r="18" spans="2:13" ht="16.5" x14ac:dyDescent="0.3">
      <c r="B18" s="523">
        <f>VLOOKUP(C18,[1]Hoja1!$B$2:$C$260,2,FALSE)</f>
        <v>1260006</v>
      </c>
      <c r="C18" s="523" t="s">
        <v>1147</v>
      </c>
      <c r="D18" s="190">
        <v>1.1469300296632349E-2</v>
      </c>
      <c r="E18" s="73">
        <v>0.97714186005932646</v>
      </c>
      <c r="F18" s="982">
        <f>VLOOKUP(B18,[2]Hoja1!$C$2:$E$279,3,FALSE)</f>
        <v>18900</v>
      </c>
      <c r="G18" s="73">
        <f t="shared" si="0"/>
        <v>216.7697756063514</v>
      </c>
      <c r="H18" s="965">
        <v>18900</v>
      </c>
      <c r="I18" s="73">
        <f t="shared" si="1"/>
        <v>216.7697756063514</v>
      </c>
      <c r="J18" s="536">
        <f t="shared" si="2"/>
        <v>0</v>
      </c>
      <c r="K18" s="345">
        <f t="shared" si="3"/>
        <v>1.1469300296632349E-2</v>
      </c>
      <c r="L18" s="1409">
        <f t="shared" si="4"/>
        <v>14</v>
      </c>
      <c r="M18" s="1403">
        <f t="shared" si="5"/>
        <v>264600</v>
      </c>
    </row>
    <row r="19" spans="2:13" ht="16.5" x14ac:dyDescent="0.3">
      <c r="B19" s="523">
        <f>VLOOKUP(C19,[1]Hoja1!$B$2:$C$260,2,FALSE)</f>
        <v>1260005</v>
      </c>
      <c r="C19" s="523" t="s">
        <v>811</v>
      </c>
      <c r="D19" s="190">
        <v>1.1469300296632349E-2</v>
      </c>
      <c r="E19" s="73">
        <v>0.97714186005932646</v>
      </c>
      <c r="F19" s="982">
        <f>VLOOKUP(B19,[2]Hoja1!$C$2:$E$279,3,FALSE)</f>
        <v>26429</v>
      </c>
      <c r="G19" s="73">
        <f t="shared" si="0"/>
        <v>303.12213753969633</v>
      </c>
      <c r="H19" s="533">
        <v>25850</v>
      </c>
      <c r="I19" s="73">
        <f t="shared" si="1"/>
        <v>296.48141266794624</v>
      </c>
      <c r="J19" s="536">
        <f t="shared" si="2"/>
        <v>2.2398452611218715</v>
      </c>
      <c r="K19" s="345">
        <f t="shared" si="3"/>
        <v>1.1469300296632349E-2</v>
      </c>
      <c r="L19" s="1409">
        <f t="shared" si="4"/>
        <v>14</v>
      </c>
      <c r="M19" s="1403">
        <f t="shared" si="5"/>
        <v>370006</v>
      </c>
    </row>
    <row r="20" spans="2:13" ht="16.5" x14ac:dyDescent="0.25">
      <c r="B20" s="523">
        <f>VLOOKUP(C20,[1]Hoja1!$B$2:$C$260,2,FALSE)</f>
        <v>1260010</v>
      </c>
      <c r="C20" s="523" t="s">
        <v>1043</v>
      </c>
      <c r="D20" s="190">
        <v>5.8984972954109233E-2</v>
      </c>
      <c r="E20" s="73">
        <v>5.0253009945908218</v>
      </c>
      <c r="F20" s="982">
        <f>VLOOKUP(B20,[2]Hoja1!$C$2:$E$279,3,FALSE)</f>
        <v>6959.71</v>
      </c>
      <c r="G20" s="73">
        <f t="shared" si="0"/>
        <v>410.51830611844355</v>
      </c>
      <c r="H20" s="70">
        <v>9565.2099999999991</v>
      </c>
      <c r="I20" s="73">
        <f t="shared" si="1"/>
        <v>564.20365315037509</v>
      </c>
      <c r="J20" s="536">
        <f t="shared" si="2"/>
        <v>-27.239339230398485</v>
      </c>
      <c r="K20" s="345">
        <f t="shared" si="3"/>
        <v>5.8984972954109233E-2</v>
      </c>
      <c r="L20" s="1409">
        <f t="shared" si="4"/>
        <v>72</v>
      </c>
      <c r="M20" s="1403">
        <f t="shared" si="5"/>
        <v>501099.12</v>
      </c>
    </row>
    <row r="21" spans="2:13" ht="16.5" x14ac:dyDescent="0.25">
      <c r="B21" s="523">
        <f>VLOOKUP(C21,[1]Hoja1!$B$2:$C$260,2,FALSE)</f>
        <v>1260017</v>
      </c>
      <c r="C21" s="523" t="s">
        <v>832</v>
      </c>
      <c r="D21" s="190">
        <v>6.1442680160530443E-2</v>
      </c>
      <c r="E21" s="73">
        <v>5.234688536032106</v>
      </c>
      <c r="F21" s="982">
        <f>VLOOKUP(B21,[2]Hoja1!$C$2:$E$279,3,FALSE)</f>
        <v>4500</v>
      </c>
      <c r="G21" s="73">
        <f t="shared" si="0"/>
        <v>276.49206072238701</v>
      </c>
      <c r="H21" s="982">
        <v>4500</v>
      </c>
      <c r="I21" s="73">
        <f t="shared" si="1"/>
        <v>276.49206072238701</v>
      </c>
      <c r="J21" s="536">
        <f t="shared" si="2"/>
        <v>0</v>
      </c>
      <c r="K21" s="345">
        <f t="shared" si="3"/>
        <v>6.1442680160530443E-2</v>
      </c>
      <c r="L21" s="1409">
        <f t="shared" si="4"/>
        <v>75</v>
      </c>
      <c r="M21" s="1403">
        <f t="shared" si="5"/>
        <v>337500</v>
      </c>
    </row>
    <row r="22" spans="2:13" ht="16.5" x14ac:dyDescent="0.25">
      <c r="B22" s="523">
        <f>VLOOKUP(C22,[1]Hoja1!$B$2:$C$260,2,FALSE)</f>
        <v>1260012</v>
      </c>
      <c r="C22" s="523" t="s">
        <v>1148</v>
      </c>
      <c r="D22" s="190">
        <v>3.7684843831792001E-3</v>
      </c>
      <c r="E22" s="73">
        <v>0.3210608968766358</v>
      </c>
      <c r="F22" s="982">
        <f>VLOOKUP(B22,[2]Hoja1!$C$2:$E$279,3,FALSE)</f>
        <v>46081</v>
      </c>
      <c r="G22" s="73">
        <f t="shared" si="0"/>
        <v>173.65552886128071</v>
      </c>
      <c r="H22" s="523">
        <v>46081</v>
      </c>
      <c r="I22" s="73">
        <f t="shared" si="1"/>
        <v>173.65552886128071</v>
      </c>
      <c r="J22" s="536">
        <f t="shared" si="2"/>
        <v>0</v>
      </c>
      <c r="K22" s="345">
        <f t="shared" si="3"/>
        <v>3.7684843831792001E-3</v>
      </c>
      <c r="L22" s="1409">
        <f t="shared" si="4"/>
        <v>4.5999999999999996</v>
      </c>
      <c r="M22" s="1403">
        <f t="shared" si="5"/>
        <v>211972.59999999998</v>
      </c>
    </row>
    <row r="23" spans="2:13" s="146" customFormat="1" ht="15.75" customHeight="1" x14ac:dyDescent="0.25">
      <c r="B23" s="1780" t="s">
        <v>37</v>
      </c>
      <c r="C23" s="1780"/>
      <c r="D23" s="1329">
        <f>SUM(D5:D22)</f>
        <v>1.1736961119011688</v>
      </c>
      <c r="E23" s="1330">
        <f>SUM(E5:E22)</f>
        <v>99.994556970860245</v>
      </c>
      <c r="F23" s="1330"/>
      <c r="G23" s="1330">
        <f>SUM(G5:G22)</f>
        <v>4239.6095549105639</v>
      </c>
      <c r="H23" s="1330"/>
      <c r="I23" s="1354">
        <f>SUM(I5:I22)</f>
        <v>4471.0639235741355</v>
      </c>
      <c r="J23" s="1331">
        <f>((G23/I23)*100)-100</f>
        <v>-5.1767179494617608</v>
      </c>
      <c r="K23" s="1332">
        <f>SUM(K5:K22)</f>
        <v>1.1736961119011688</v>
      </c>
      <c r="L23" s="1408">
        <f t="shared" si="4"/>
        <v>1432.6720150000003</v>
      </c>
      <c r="M23" s="1332">
        <f>SUM(M5:M22)</f>
        <v>5154873.6694749994</v>
      </c>
    </row>
    <row r="24" spans="2:13" x14ac:dyDescent="0.25">
      <c r="J24" s="775"/>
    </row>
    <row r="25" spans="2:13" ht="25.5" x14ac:dyDescent="0.25">
      <c r="B25" s="1765" t="s">
        <v>50</v>
      </c>
      <c r="C25" s="1766"/>
      <c r="D25" s="38">
        <f>+C28+(C28*C34%)</f>
        <v>1173.76</v>
      </c>
      <c r="E25" s="159"/>
      <c r="F25" s="159"/>
      <c r="G25" s="159"/>
      <c r="H25" s="130"/>
      <c r="I25" s="159"/>
      <c r="J25" s="159"/>
    </row>
    <row r="26" spans="2:13" x14ac:dyDescent="0.25">
      <c r="B26" s="1284" t="s">
        <v>38</v>
      </c>
      <c r="C26" s="161" t="s">
        <v>123</v>
      </c>
      <c r="D26" s="146"/>
    </row>
    <row r="27" spans="2:13" x14ac:dyDescent="0.25">
      <c r="B27" s="1285" t="s">
        <v>39</v>
      </c>
      <c r="C27" s="163" t="s">
        <v>259</v>
      </c>
      <c r="D27" s="146"/>
    </row>
    <row r="28" spans="2:13" x14ac:dyDescent="0.25">
      <c r="B28" s="1285" t="s">
        <v>40</v>
      </c>
      <c r="C28" s="163">
        <v>1120</v>
      </c>
      <c r="D28" s="146"/>
    </row>
    <row r="29" spans="2:13" x14ac:dyDescent="0.25">
      <c r="B29" s="1285" t="s">
        <v>41</v>
      </c>
      <c r="C29" s="163">
        <v>0</v>
      </c>
      <c r="D29" s="146"/>
    </row>
    <row r="30" spans="2:13" x14ac:dyDescent="0.25">
      <c r="B30" s="1285" t="s">
        <v>42</v>
      </c>
      <c r="C30" s="163">
        <v>0.5</v>
      </c>
      <c r="D30" s="146"/>
    </row>
    <row r="31" spans="2:13" x14ac:dyDescent="0.25">
      <c r="B31" s="1285" t="s">
        <v>43</v>
      </c>
      <c r="C31" s="163">
        <v>0.5</v>
      </c>
      <c r="D31" s="146"/>
    </row>
    <row r="32" spans="2:13" x14ac:dyDescent="0.25">
      <c r="B32" s="1285" t="s">
        <v>44</v>
      </c>
      <c r="C32" s="163">
        <v>2</v>
      </c>
      <c r="D32" s="146"/>
      <c r="J32" s="120">
        <f>0.29*12</f>
        <v>3.4799999999999995</v>
      </c>
    </row>
    <row r="33" spans="2:11" x14ac:dyDescent="0.25">
      <c r="B33" s="1285" t="s">
        <v>45</v>
      </c>
      <c r="C33" s="163">
        <v>1.8</v>
      </c>
      <c r="D33" s="146"/>
    </row>
    <row r="34" spans="2:11" x14ac:dyDescent="0.25">
      <c r="B34" s="1285" t="s">
        <v>46</v>
      </c>
      <c r="C34" s="163">
        <f>C33+C32+C31+C30</f>
        <v>4.8</v>
      </c>
      <c r="D34" s="146"/>
    </row>
    <row r="35" spans="2:11" x14ac:dyDescent="0.25">
      <c r="H35" s="130"/>
      <c r="I35" s="159"/>
    </row>
    <row r="36" spans="2:11" ht="25.5" x14ac:dyDescent="0.25">
      <c r="B36" s="1767" t="s">
        <v>47</v>
      </c>
      <c r="C36" s="1768"/>
      <c r="D36" s="1768"/>
      <c r="E36" s="1768"/>
      <c r="F36" s="1768"/>
      <c r="G36" s="1768"/>
      <c r="H36" s="1768"/>
      <c r="I36" s="1768"/>
    </row>
    <row r="37" spans="2:11" ht="25.5" x14ac:dyDescent="0.25">
      <c r="B37" s="1266" t="s">
        <v>0</v>
      </c>
      <c r="C37" s="1266" t="s">
        <v>1</v>
      </c>
      <c r="D37" s="1267" t="s">
        <v>2</v>
      </c>
      <c r="E37" s="1243" t="str">
        <f>+'CIF Y PV'!$F$4</f>
        <v xml:space="preserve">JUN-COP/UMB </v>
      </c>
      <c r="F37" s="1243" t="str">
        <f>+'CIF Y PV'!$G$4</f>
        <v>JUN-COP/APP</v>
      </c>
      <c r="G37" s="1243" t="str">
        <f>+'CIF Y PV'!$H$4</f>
        <v xml:space="preserve">MAY-COP/UMB </v>
      </c>
      <c r="H37" s="1243" t="str">
        <f>+'CIF Y PV'!$I$4</f>
        <v>MAY-COP/APP</v>
      </c>
      <c r="I37" s="1243" t="s">
        <v>3</v>
      </c>
      <c r="J37" s="146">
        <v>18984</v>
      </c>
    </row>
    <row r="38" spans="2:11" ht="15" x14ac:dyDescent="0.25">
      <c r="B38" s="165">
        <f>VLOOKUP(C38,[1]Hoja1!$B$2:$C$260,2,FALSE)</f>
        <v>1370011</v>
      </c>
      <c r="C38" s="1172" t="s">
        <v>1061</v>
      </c>
      <c r="D38" s="1171">
        <v>3.48</v>
      </c>
      <c r="E38" s="866">
        <f>VLOOKUP(B38,[2]Hoja1!$C$2:$E$279,3,FALSE)</f>
        <v>144.65</v>
      </c>
      <c r="F38" s="167">
        <f>E38*D38</f>
        <v>503.38200000000001</v>
      </c>
      <c r="G38" s="866">
        <v>172.27</v>
      </c>
      <c r="H38" s="167">
        <f>G38*D38</f>
        <v>599.49959999999999</v>
      </c>
      <c r="I38" s="270">
        <f>((E38/G38)*100)-100</f>
        <v>-16.032971498229514</v>
      </c>
      <c r="J38" s="146">
        <f>$J$37*D38</f>
        <v>66064.319999999992</v>
      </c>
    </row>
    <row r="39" spans="2:11" ht="15" x14ac:dyDescent="0.25">
      <c r="B39" s="165">
        <f>VLOOKUP(C39,[1]Hoja1!$B$2:$C$260,2,FALSE)</f>
        <v>1330078</v>
      </c>
      <c r="C39" s="165" t="s">
        <v>1019</v>
      </c>
      <c r="D39" s="166">
        <v>1</v>
      </c>
      <c r="E39" s="866">
        <f>VLOOKUP(B39,[2]Hoja1!$C$2:$E$279,3,FALSE)</f>
        <v>155.30000000000001</v>
      </c>
      <c r="F39" s="167">
        <f>E39*D39</f>
        <v>155.30000000000001</v>
      </c>
      <c r="G39" s="167">
        <v>155.30000000000001</v>
      </c>
      <c r="H39" s="167">
        <f>G39*D39</f>
        <v>155.30000000000001</v>
      </c>
      <c r="I39" s="270">
        <f>((G39/E39)*100)-100</f>
        <v>0</v>
      </c>
      <c r="J39" s="146">
        <f>J37*D39</f>
        <v>18984</v>
      </c>
      <c r="K39" s="218">
        <f>J39/6</f>
        <v>3164</v>
      </c>
    </row>
    <row r="40" spans="2:11" ht="15" x14ac:dyDescent="0.25">
      <c r="B40" s="165">
        <f>VLOOKUP(C40,[1]Hoja1!$B$2:$C$260,2,FALSE)</f>
        <v>1340010</v>
      </c>
      <c r="C40" s="1168" t="s">
        <v>1076</v>
      </c>
      <c r="D40" s="386">
        <v>1</v>
      </c>
      <c r="E40" s="866">
        <f>VLOOKUP(B40,[2]Hoja1!$C$2:$E$279,3,FALSE)</f>
        <v>306.42</v>
      </c>
      <c r="F40" s="167">
        <f>E40*D40</f>
        <v>306.42</v>
      </c>
      <c r="G40" s="672">
        <v>492.58</v>
      </c>
      <c r="H40" s="167">
        <f>G40*D40</f>
        <v>492.58</v>
      </c>
      <c r="I40" s="389"/>
      <c r="J40" s="146"/>
      <c r="K40" s="218"/>
    </row>
    <row r="41" spans="2:11" x14ac:dyDescent="0.25">
      <c r="B41" s="1266"/>
      <c r="C41" s="1266" t="s">
        <v>37</v>
      </c>
      <c r="D41" s="1267"/>
      <c r="E41" s="1267"/>
      <c r="F41" s="1267">
        <f>SUM(F38:F40)</f>
        <v>965.10200000000009</v>
      </c>
      <c r="G41" s="1267"/>
      <c r="H41" s="1267">
        <f>SUM(H38:H39)</f>
        <v>754.79960000000005</v>
      </c>
      <c r="I41" s="875">
        <f>((F41/H41)*100)-100</f>
        <v>27.862017944895584</v>
      </c>
    </row>
    <row r="42" spans="2:11" x14ac:dyDescent="0.25">
      <c r="H42" s="1" t="str">
        <f>+'CIF Y PV'!$G$1</f>
        <v>MAYO</v>
      </c>
      <c r="J42" s="146"/>
    </row>
    <row r="43" spans="2:11" x14ac:dyDescent="0.25">
      <c r="B43" s="1735" t="s">
        <v>260</v>
      </c>
      <c r="C43" s="1735"/>
      <c r="E43" s="884"/>
      <c r="F43" s="884"/>
      <c r="G43" s="884"/>
      <c r="H43" s="95">
        <f>+F41+G23</f>
        <v>5204.7115549105638</v>
      </c>
      <c r="I43" s="181"/>
      <c r="J43" s="884"/>
      <c r="K43" s="181"/>
    </row>
    <row r="44" spans="2:11" x14ac:dyDescent="0.25">
      <c r="B44" s="1736" t="s">
        <v>48</v>
      </c>
      <c r="C44" s="1737"/>
      <c r="E44" s="884"/>
      <c r="F44" s="884"/>
      <c r="G44" s="884"/>
      <c r="H44" s="95">
        <f>+('CIF Y PV'!C3/1000)*1120</f>
        <v>2116.7999999999997</v>
      </c>
      <c r="I44" s="207"/>
      <c r="J44" s="884"/>
      <c r="K44" s="207"/>
    </row>
    <row r="45" spans="2:11" x14ac:dyDescent="0.25">
      <c r="B45" s="1736" t="s">
        <v>267</v>
      </c>
      <c r="C45" s="1737"/>
      <c r="E45" s="884"/>
      <c r="F45" s="884"/>
      <c r="G45" s="884"/>
      <c r="H45" s="95">
        <f>+H43+H44</f>
        <v>7321.5115549105631</v>
      </c>
      <c r="I45" s="219"/>
      <c r="J45" s="884"/>
      <c r="K45" s="219"/>
    </row>
    <row r="46" spans="2:11" x14ac:dyDescent="0.25">
      <c r="B46" s="1735" t="s">
        <v>49</v>
      </c>
      <c r="C46" s="1735"/>
      <c r="E46" s="884"/>
      <c r="F46" s="884"/>
      <c r="G46" s="884"/>
      <c r="H46" s="95">
        <f>'CIF Y PV'!C35</f>
        <v>13516.000000000002</v>
      </c>
      <c r="J46" s="884"/>
      <c r="K46" s="300"/>
    </row>
    <row r="47" spans="2:11" x14ac:dyDescent="0.2">
      <c r="B47" s="1735" t="s">
        <v>805</v>
      </c>
      <c r="C47" s="1735"/>
      <c r="E47" s="884"/>
      <c r="F47" s="884"/>
      <c r="G47" s="884"/>
      <c r="H47" s="928">
        <f>+(H46-H45)/H46</f>
        <v>0.45830781629841949</v>
      </c>
      <c r="I47" s="199"/>
      <c r="J47" s="146"/>
      <c r="K47" s="199"/>
    </row>
  </sheetData>
  <mergeCells count="9">
    <mergeCell ref="B45:C45"/>
    <mergeCell ref="B46:C46"/>
    <mergeCell ref="B47:C47"/>
    <mergeCell ref="B2:J2"/>
    <mergeCell ref="B23:C23"/>
    <mergeCell ref="B25:C25"/>
    <mergeCell ref="B36:I36"/>
    <mergeCell ref="B43:C43"/>
    <mergeCell ref="B44:C44"/>
  </mergeCells>
  <dataValidations count="1">
    <dataValidation allowBlank="1" showInputMessage="1" showErrorMessage="1" sqref="C10:C11" xr:uid="{35B0E6BD-FCDA-4983-844C-723FFEA739D2}"/>
  </dataValidations>
  <pageMargins left="0.7" right="0.7" top="0.75" bottom="0.75" header="0.3" footer="0.3"/>
  <pageSetup scale="38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D6B3-7B0C-42C5-ACED-9A7E7F495B6C}">
  <sheetPr codeName="Hoja50"/>
  <dimension ref="B2:M63"/>
  <sheetViews>
    <sheetView view="pageBreakPreview" topLeftCell="A41" zoomScale="90" zoomScaleNormal="100" zoomScaleSheetLayoutView="90" workbookViewId="0">
      <selection activeCell="C21" sqref="C21"/>
    </sheetView>
  </sheetViews>
  <sheetFormatPr baseColWidth="10" defaultColWidth="11.5703125" defaultRowHeight="13.5" x14ac:dyDescent="0.25"/>
  <cols>
    <col min="1" max="1" width="7" style="120" customWidth="1"/>
    <col min="2" max="2" width="24.85546875" style="120" bestFit="1" customWidth="1"/>
    <col min="3" max="3" width="67.42578125" style="120" bestFit="1" customWidth="1"/>
    <col min="4" max="5" width="11.5703125" style="120"/>
    <col min="6" max="6" width="13.5703125" style="120" bestFit="1" customWidth="1"/>
    <col min="7" max="7" width="11.5703125" style="120"/>
    <col min="8" max="8" width="13.5703125" style="120" bestFit="1" customWidth="1"/>
    <col min="9" max="9" width="14.42578125" style="120" bestFit="1" customWidth="1"/>
    <col min="10" max="10" width="13.28515625" style="119" bestFit="1" customWidth="1"/>
    <col min="11" max="11" width="12.28515625" style="445" bestFit="1" customWidth="1"/>
    <col min="12" max="16384" width="11.5703125" style="120"/>
  </cols>
  <sheetData>
    <row r="2" spans="2:13" ht="25.5" x14ac:dyDescent="0.25">
      <c r="B2" s="1743" t="s">
        <v>256</v>
      </c>
      <c r="C2" s="1743"/>
      <c r="D2" s="1743"/>
      <c r="E2" s="1743"/>
      <c r="F2" s="1743"/>
      <c r="G2" s="1743"/>
      <c r="H2" s="1743"/>
      <c r="I2" s="1743"/>
    </row>
    <row r="4" spans="2:13" ht="25.5" x14ac:dyDescent="0.25">
      <c r="B4" s="1242" t="s">
        <v>0</v>
      </c>
      <c r="C4" s="1242" t="s">
        <v>1</v>
      </c>
      <c r="D4" s="1242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423">
        <v>1.8</v>
      </c>
    </row>
    <row r="5" spans="2:13" ht="16.5" x14ac:dyDescent="0.25">
      <c r="B5" s="1193">
        <f>VLOOKUP(C5,[1]Hoja1!$B$2:$C$260,2,FALSE)</f>
        <v>1112001</v>
      </c>
      <c r="C5" s="523" t="s">
        <v>797</v>
      </c>
      <c r="D5" s="494">
        <v>0.34606205250596661</v>
      </c>
      <c r="E5" s="498">
        <v>19.225669583664811</v>
      </c>
      <c r="F5" s="982">
        <f>VLOOKUP(B5,[2]Hoja1!$C$2:$E$279,3,FALSE)</f>
        <v>3663.96</v>
      </c>
      <c r="G5" s="498">
        <f>F5*D5</f>
        <v>1267.9575178997613</v>
      </c>
      <c r="H5" s="982">
        <v>4222.72</v>
      </c>
      <c r="I5" s="498">
        <f>H5*D5</f>
        <v>1461.3231503579955</v>
      </c>
      <c r="J5" s="905">
        <f t="shared" ref="J5:J24" si="0">((F5/H5)*100)-100</f>
        <v>-13.232229463473786</v>
      </c>
      <c r="K5" s="487">
        <f>$K$4*E5%</f>
        <v>0.34606205250596661</v>
      </c>
    </row>
    <row r="6" spans="2:13" ht="16.5" x14ac:dyDescent="0.25">
      <c r="B6" s="1193">
        <f>VLOOKUP(C6,[1]Hoja1!$B$2:$C$260,2,FALSE)</f>
        <v>1111002</v>
      </c>
      <c r="C6" s="523" t="s">
        <v>1170</v>
      </c>
      <c r="D6" s="190">
        <v>0.20405727923627684</v>
      </c>
      <c r="E6" s="498">
        <v>11.336515513126491</v>
      </c>
      <c r="F6" s="982">
        <f>VLOOKUP(B6,[2]Hoja1!$C$2:$E$279,3,FALSE)</f>
        <v>2800</v>
      </c>
      <c r="G6" s="498">
        <f t="shared" ref="G6:G24" si="1">F6*D6</f>
        <v>571.36038186157521</v>
      </c>
      <c r="H6" s="1184">
        <v>2803.03</v>
      </c>
      <c r="I6" s="498">
        <f t="shared" ref="I6:I24" si="2">H6*D6</f>
        <v>571.97867541766107</v>
      </c>
      <c r="J6" s="536">
        <f t="shared" si="0"/>
        <v>-0.10809730898350267</v>
      </c>
      <c r="K6" s="487">
        <f t="shared" ref="K6:K24" si="3">$K$4*E6%</f>
        <v>0.20405727923627684</v>
      </c>
    </row>
    <row r="7" spans="2:13" ht="16.5" x14ac:dyDescent="0.25">
      <c r="B7" s="1193">
        <f>VLOOKUP(C7,[1]Hoja1!$B$2:$C$260,2,FALSE)</f>
        <v>1112005</v>
      </c>
      <c r="C7" s="523" t="s">
        <v>1168</v>
      </c>
      <c r="D7" s="190">
        <v>9.7852028639618144E-2</v>
      </c>
      <c r="E7" s="498">
        <v>5.436223813312119</v>
      </c>
      <c r="F7" s="982">
        <f>VLOOKUP(B7,[2]Hoja1!$C$2:$E$279,3,FALSE)</f>
        <v>12700.23</v>
      </c>
      <c r="G7" s="498">
        <f t="shared" si="1"/>
        <v>1242.7432696897374</v>
      </c>
      <c r="H7" s="585">
        <v>14378.04</v>
      </c>
      <c r="I7" s="498">
        <f t="shared" si="2"/>
        <v>1406.9203818615754</v>
      </c>
      <c r="J7" s="536">
        <f t="shared" si="0"/>
        <v>-11.669253945600374</v>
      </c>
      <c r="K7" s="487">
        <f t="shared" si="3"/>
        <v>9.7852028639618144E-2</v>
      </c>
      <c r="M7" s="120" t="s">
        <v>85</v>
      </c>
    </row>
    <row r="8" spans="2:13" ht="16.5" x14ac:dyDescent="0.25">
      <c r="B8" s="1193">
        <f>VLOOKUP(C8,[1]Hoja1!$B$2:$C$260,2,FALSE)</f>
        <v>1131002</v>
      </c>
      <c r="C8" s="523" t="s">
        <v>663</v>
      </c>
      <c r="D8" s="190">
        <v>0.73273269689737464</v>
      </c>
      <c r="E8" s="498">
        <v>40.707372049854143</v>
      </c>
      <c r="F8" s="982">
        <f>VLOOKUP(B8,[2]Hoja1!$C$2:$E$279,3,FALSE)</f>
        <v>0</v>
      </c>
      <c r="G8" s="498">
        <f t="shared" si="1"/>
        <v>0</v>
      </c>
      <c r="H8" s="1184">
        <v>0</v>
      </c>
      <c r="I8" s="498">
        <f t="shared" si="2"/>
        <v>0</v>
      </c>
      <c r="J8" s="536" t="e">
        <f t="shared" si="0"/>
        <v>#DIV/0!</v>
      </c>
      <c r="K8" s="487">
        <f t="shared" si="3"/>
        <v>0.73273269689737464</v>
      </c>
    </row>
    <row r="9" spans="2:13" ht="16.5" x14ac:dyDescent="0.25">
      <c r="B9" s="1193">
        <f>VLOOKUP(C9,[1]Hoja1!$B$2:$C$260,2,FALSE)</f>
        <v>1250007</v>
      </c>
      <c r="C9" s="523" t="s">
        <v>1171</v>
      </c>
      <c r="D9" s="190">
        <v>5.3699284009546535E-3</v>
      </c>
      <c r="E9" s="498">
        <v>0.29832935560859186</v>
      </c>
      <c r="F9" s="982">
        <f>VLOOKUP(B9,[2]Hoja1!$C$2:$E$279,3,FALSE)</f>
        <v>61516.21</v>
      </c>
      <c r="G9" s="498">
        <f t="shared" si="1"/>
        <v>330.33764319809069</v>
      </c>
      <c r="H9" s="70">
        <v>58309.97</v>
      </c>
      <c r="I9" s="498">
        <f t="shared" si="2"/>
        <v>313.12036396181384</v>
      </c>
      <c r="J9" s="536">
        <f t="shared" si="0"/>
        <v>5.4986137019106707</v>
      </c>
      <c r="K9" s="487">
        <f t="shared" si="3"/>
        <v>5.3699284009546535E-3</v>
      </c>
    </row>
    <row r="10" spans="2:13" ht="16.5" x14ac:dyDescent="0.25">
      <c r="B10" s="1193">
        <f>VLOOKUP(C10,[1]Hoja1!$B$2:$C$260,2,FALSE)</f>
        <v>1210005</v>
      </c>
      <c r="C10" s="523" t="s">
        <v>1155</v>
      </c>
      <c r="D10" s="190">
        <v>2.7899761336515509E-2</v>
      </c>
      <c r="E10" s="498">
        <v>1.5499867409175283</v>
      </c>
      <c r="F10" s="982">
        <f>VLOOKUP(B10,[2]Hoja1!$C$2:$E$279,3,FALSE)</f>
        <v>1356</v>
      </c>
      <c r="G10" s="498">
        <f t="shared" si="1"/>
        <v>37.832076372315029</v>
      </c>
      <c r="H10" s="70">
        <v>1360</v>
      </c>
      <c r="I10" s="498">
        <f t="shared" si="2"/>
        <v>37.94367541766109</v>
      </c>
      <c r="J10" s="536">
        <f t="shared" si="0"/>
        <v>-0.29411764705882604</v>
      </c>
      <c r="K10" s="487">
        <f t="shared" si="3"/>
        <v>2.7899761336515509E-2</v>
      </c>
    </row>
    <row r="11" spans="2:13" ht="16.5" x14ac:dyDescent="0.3">
      <c r="B11" s="1193">
        <f>VLOOKUP(C11,[1]Hoja1!$B$2:$C$260,2,FALSE)</f>
        <v>121007</v>
      </c>
      <c r="C11" s="523" t="s">
        <v>821</v>
      </c>
      <c r="D11" s="190">
        <v>5.3699284009546535E-3</v>
      </c>
      <c r="E11" s="498">
        <v>0.29832935560859186</v>
      </c>
      <c r="F11" s="982">
        <f>VLOOKUP(B11,[2]Hoja1!$C$2:$E$279,3,FALSE)</f>
        <v>16905</v>
      </c>
      <c r="G11" s="498">
        <f t="shared" si="1"/>
        <v>90.778639618138413</v>
      </c>
      <c r="H11" s="964">
        <v>16100</v>
      </c>
      <c r="I11" s="498">
        <f t="shared" si="2"/>
        <v>86.455847255369918</v>
      </c>
      <c r="J11" s="536">
        <f t="shared" si="0"/>
        <v>5</v>
      </c>
      <c r="K11" s="487">
        <f t="shared" si="3"/>
        <v>5.3699284009546535E-3</v>
      </c>
    </row>
    <row r="12" spans="2:13" ht="16.5" x14ac:dyDescent="0.3">
      <c r="B12" s="1193">
        <f>VLOOKUP(C12,[1]Hoja1!$B$2:$C$260,2,FALSE)</f>
        <v>1240002</v>
      </c>
      <c r="C12" s="523" t="s">
        <v>1140</v>
      </c>
      <c r="D12" s="190">
        <v>5.3699284009546535E-3</v>
      </c>
      <c r="E12" s="498">
        <v>0.29832935560859186</v>
      </c>
      <c r="F12" s="982">
        <f>VLOOKUP(B12,[2]Hoja1!$C$2:$E$279,3,FALSE)</f>
        <v>66115.8</v>
      </c>
      <c r="G12" s="498">
        <f t="shared" si="1"/>
        <v>355.03711217183769</v>
      </c>
      <c r="H12" s="964">
        <v>70840.75</v>
      </c>
      <c r="I12" s="498">
        <f t="shared" si="2"/>
        <v>380.40975536992835</v>
      </c>
      <c r="J12" s="536">
        <f t="shared" si="0"/>
        <v>-6.6698192777461998</v>
      </c>
      <c r="K12" s="487">
        <f t="shared" si="3"/>
        <v>5.3699284009546535E-3</v>
      </c>
    </row>
    <row r="13" spans="2:13" ht="16.5" x14ac:dyDescent="0.3">
      <c r="B13" s="1193">
        <f>VLOOKUP(C13,[1]Hoja1!$B$2:$C$260,2,FALSE)</f>
        <v>1230016</v>
      </c>
      <c r="C13" s="523" t="s">
        <v>904</v>
      </c>
      <c r="D13" s="190">
        <v>7.1599045346062056E-3</v>
      </c>
      <c r="E13" s="498">
        <v>0.39777247414478922</v>
      </c>
      <c r="F13" s="982">
        <f>VLOOKUP(B13,[2]Hoja1!$C$2:$E$279,3,FALSE)</f>
        <v>91559.6</v>
      </c>
      <c r="G13" s="498">
        <f t="shared" si="1"/>
        <v>655.55799522673033</v>
      </c>
      <c r="H13" s="965">
        <v>87200</v>
      </c>
      <c r="I13" s="498">
        <f t="shared" si="2"/>
        <v>624.34367541766107</v>
      </c>
      <c r="J13" s="536">
        <f t="shared" si="0"/>
        <v>4.9995412844036764</v>
      </c>
      <c r="K13" s="487">
        <f t="shared" si="3"/>
        <v>7.1599045346062056E-3</v>
      </c>
    </row>
    <row r="14" spans="2:13" ht="16.5" x14ac:dyDescent="0.3">
      <c r="B14" s="1193">
        <f>VLOOKUP(C14,[1]Hoja1!$B$2:$C$260,2,FALSE)</f>
        <v>1220008</v>
      </c>
      <c r="C14" s="523" t="s">
        <v>1157</v>
      </c>
      <c r="D14" s="190">
        <v>1.7899761336515514E-3</v>
      </c>
      <c r="E14" s="498">
        <v>9.9443118536197306E-2</v>
      </c>
      <c r="F14" s="982">
        <f>VLOOKUP(B14,[2]Hoja1!$C$2:$E$279,3,FALSE)</f>
        <v>50476.2</v>
      </c>
      <c r="G14" s="498">
        <f t="shared" si="1"/>
        <v>90.351193317422428</v>
      </c>
      <c r="H14" s="533">
        <v>48608.39</v>
      </c>
      <c r="I14" s="498">
        <f t="shared" si="2"/>
        <v>87.007857995226729</v>
      </c>
      <c r="J14" s="536">
        <f t="shared" si="0"/>
        <v>3.8425670959272509</v>
      </c>
      <c r="K14" s="487">
        <f t="shared" si="3"/>
        <v>1.7899761336515514E-3</v>
      </c>
    </row>
    <row r="15" spans="2:13" ht="16.5" x14ac:dyDescent="0.25">
      <c r="B15" s="1193">
        <f>VLOOKUP(C15,[1]Hoja1!$B$2:$C$260,2,FALSE)</f>
        <v>1220005</v>
      </c>
      <c r="C15" s="523" t="s">
        <v>1135</v>
      </c>
      <c r="D15" s="190">
        <v>6.4439140811455844E-3</v>
      </c>
      <c r="E15" s="498">
        <v>0.35799522673031026</v>
      </c>
      <c r="F15" s="982">
        <f>VLOOKUP(B15,[2]Hoja1!$C$2:$E$279,3,FALSE)</f>
        <v>17429.990000000002</v>
      </c>
      <c r="G15" s="498">
        <f t="shared" si="1"/>
        <v>112.31735799522673</v>
      </c>
      <c r="H15" s="88">
        <v>17430</v>
      </c>
      <c r="I15" s="498">
        <f t="shared" si="2"/>
        <v>112.31742243436754</v>
      </c>
      <c r="J15" s="536">
        <f t="shared" si="0"/>
        <v>-5.7372346518036466E-5</v>
      </c>
      <c r="K15" s="487">
        <f t="shared" si="3"/>
        <v>6.4439140811455844E-3</v>
      </c>
    </row>
    <row r="16" spans="2:13" ht="16.5" x14ac:dyDescent="0.3">
      <c r="B16" s="1193">
        <f>VLOOKUP(C16,[1]Hoja1!$B$2:$C$260,2,FALSE)</f>
        <v>1220006</v>
      </c>
      <c r="C16" s="523" t="s">
        <v>1172</v>
      </c>
      <c r="D16" s="190">
        <v>1.1933174224343676E-3</v>
      </c>
      <c r="E16" s="498">
        <v>6.6295412357464861E-2</v>
      </c>
      <c r="F16" s="982">
        <f>VLOOKUP(B16,[2]Hoja1!$C$2:$E$279,3,FALSE)</f>
        <v>73448</v>
      </c>
      <c r="G16" s="498">
        <f t="shared" si="1"/>
        <v>87.646778042959426</v>
      </c>
      <c r="H16" s="964">
        <v>73448</v>
      </c>
      <c r="I16" s="498">
        <f t="shared" si="2"/>
        <v>87.646778042959426</v>
      </c>
      <c r="J16" s="536">
        <f t="shared" si="0"/>
        <v>0</v>
      </c>
      <c r="K16" s="487">
        <f t="shared" si="3"/>
        <v>1.1933174224343676E-3</v>
      </c>
    </row>
    <row r="17" spans="2:11" ht="16.5" x14ac:dyDescent="0.25">
      <c r="B17" s="1193">
        <f>VLOOKUP(C17,[1]Hoja1!$B$2:$C$260,2,FALSE)</f>
        <v>1220009</v>
      </c>
      <c r="C17" s="523" t="s">
        <v>1133</v>
      </c>
      <c r="D17" s="190">
        <v>7.8758949880668259E-3</v>
      </c>
      <c r="E17" s="498">
        <v>0.43754972155926808</v>
      </c>
      <c r="F17" s="982">
        <f>VLOOKUP(B17,[2]Hoja1!$C$2:$E$279,3,FALSE)</f>
        <v>21312.16</v>
      </c>
      <c r="G17" s="498">
        <f t="shared" si="1"/>
        <v>167.85233412887828</v>
      </c>
      <c r="H17" s="72">
        <v>20299</v>
      </c>
      <c r="I17" s="498">
        <f t="shared" si="2"/>
        <v>159.87279236276851</v>
      </c>
      <c r="J17" s="536">
        <f t="shared" si="0"/>
        <v>4.9911818316173253</v>
      </c>
      <c r="K17" s="487">
        <f t="shared" si="3"/>
        <v>7.8758949880668259E-3</v>
      </c>
    </row>
    <row r="18" spans="2:11" ht="16.5" x14ac:dyDescent="0.25">
      <c r="B18" s="1193">
        <f>VLOOKUP(C18,[1]Hoja1!$B$2:$C$260,2,FALSE)</f>
        <v>1210003</v>
      </c>
      <c r="C18" s="523" t="s">
        <v>1143</v>
      </c>
      <c r="D18" s="190">
        <v>8.949880668257757E-4</v>
      </c>
      <c r="E18" s="498">
        <v>4.9721559268098653E-2</v>
      </c>
      <c r="F18" s="982">
        <f>VLOOKUP(B18,[2]Hoja1!$C$2:$E$279,3,FALSE)</f>
        <v>16235.45</v>
      </c>
      <c r="G18" s="498">
        <f t="shared" si="1"/>
        <v>14.530534009546541</v>
      </c>
      <c r="H18" s="88">
        <v>12852.58</v>
      </c>
      <c r="I18" s="498">
        <f t="shared" si="2"/>
        <v>11.502905727923627</v>
      </c>
      <c r="J18" s="536">
        <f t="shared" si="0"/>
        <v>26.320551982559152</v>
      </c>
      <c r="K18" s="487">
        <f t="shared" si="3"/>
        <v>8.949880668257757E-4</v>
      </c>
    </row>
    <row r="19" spans="2:11" ht="16.5" x14ac:dyDescent="0.3">
      <c r="B19" s="1193">
        <f>VLOOKUP(C19,[1]Hoja1!$B$2:$C$260,2,FALSE)</f>
        <v>1260008</v>
      </c>
      <c r="C19" s="523" t="s">
        <v>1044</v>
      </c>
      <c r="D19" s="190">
        <v>0.16229116945107397</v>
      </c>
      <c r="E19" s="498">
        <v>9.0161760806152209</v>
      </c>
      <c r="F19" s="982">
        <f>VLOOKUP(B19,[2]Hoja1!$C$2:$E$279,3,FALSE)</f>
        <v>10202.790000000001</v>
      </c>
      <c r="G19" s="498">
        <f t="shared" si="1"/>
        <v>1655.8227207637231</v>
      </c>
      <c r="H19" s="965">
        <v>12670.44</v>
      </c>
      <c r="I19" s="498">
        <f t="shared" si="2"/>
        <v>2056.3005250596657</v>
      </c>
      <c r="J19" s="536">
        <f t="shared" si="0"/>
        <v>-19.475645676077548</v>
      </c>
      <c r="K19" s="487">
        <f t="shared" si="3"/>
        <v>0.16229116945107397</v>
      </c>
    </row>
    <row r="20" spans="2:11" ht="16.5" x14ac:dyDescent="0.25">
      <c r="B20" s="1193">
        <f>VLOOKUP(C20,[1]Hoja1!$B$2:$C$260,2,FALSE)</f>
        <v>1260014</v>
      </c>
      <c r="C20" s="523" t="s">
        <v>825</v>
      </c>
      <c r="D20" s="190">
        <v>8.6396181384248202E-3</v>
      </c>
      <c r="E20" s="498">
        <v>0.47997878546804557</v>
      </c>
      <c r="F20" s="982">
        <f>VLOOKUP(B20,[2]Hoja1!$C$2:$E$279,3,FALSE)</f>
        <v>28083.42</v>
      </c>
      <c r="G20" s="498">
        <f t="shared" si="1"/>
        <v>242.63002482100234</v>
      </c>
      <c r="H20" s="1092">
        <v>40834.379999999997</v>
      </c>
      <c r="I20" s="498">
        <f t="shared" si="2"/>
        <v>352.79345011933168</v>
      </c>
      <c r="J20" s="536">
        <f t="shared" si="0"/>
        <v>-31.226040410066219</v>
      </c>
      <c r="K20" s="487">
        <f t="shared" si="3"/>
        <v>8.6396181384248202E-3</v>
      </c>
    </row>
    <row r="21" spans="2:11" ht="16.5" x14ac:dyDescent="0.3">
      <c r="B21" s="1193">
        <f>VLOOKUP(C21,[1]Hoja1!$B$2:$C$260,2,FALSE)</f>
        <v>1260010</v>
      </c>
      <c r="C21" s="523" t="s">
        <v>1043</v>
      </c>
      <c r="D21" s="190">
        <v>4.77326968973747E-2</v>
      </c>
      <c r="E21" s="498">
        <v>2.6518164942985942</v>
      </c>
      <c r="F21" s="982">
        <f>VLOOKUP(B21,[2]Hoja1!$C$2:$E$279,3,FALSE)</f>
        <v>6959.71</v>
      </c>
      <c r="G21" s="498">
        <f t="shared" si="1"/>
        <v>332.20572792362771</v>
      </c>
      <c r="H21" s="965">
        <v>9565.2099999999991</v>
      </c>
      <c r="I21" s="498">
        <f t="shared" si="2"/>
        <v>456.5732696897374</v>
      </c>
      <c r="J21" s="536">
        <f t="shared" si="0"/>
        <v>-27.239339230398485</v>
      </c>
      <c r="K21" s="487">
        <f t="shared" si="3"/>
        <v>4.77326968973747E-2</v>
      </c>
    </row>
    <row r="22" spans="2:11" ht="16.5" x14ac:dyDescent="0.25">
      <c r="B22" s="1193">
        <f>VLOOKUP(C22,[1]Hoja1!$B$2:$C$260,2,FALSE)</f>
        <v>1260017</v>
      </c>
      <c r="C22" s="523" t="s">
        <v>832</v>
      </c>
      <c r="D22" s="190">
        <v>8.9498806682577564E-2</v>
      </c>
      <c r="E22" s="498">
        <v>4.9721559268098643</v>
      </c>
      <c r="F22" s="982">
        <f>VLOOKUP(B22,[2]Hoja1!$C$2:$E$279,3,FALSE)</f>
        <v>4500</v>
      </c>
      <c r="G22" s="498">
        <f t="shared" si="1"/>
        <v>402.74463007159903</v>
      </c>
      <c r="H22" s="70">
        <v>4500</v>
      </c>
      <c r="I22" s="498">
        <f t="shared" si="2"/>
        <v>402.74463007159903</v>
      </c>
      <c r="J22" s="536">
        <f>((F22/H22)*100)-100</f>
        <v>0</v>
      </c>
      <c r="K22" s="487">
        <f t="shared" si="3"/>
        <v>8.9498806682577564E-2</v>
      </c>
    </row>
    <row r="23" spans="2:11" ht="16.5" x14ac:dyDescent="0.3">
      <c r="B23" s="1193">
        <f>VLOOKUP(C23,[1]Hoja1!$B$2:$C$260,2,FALSE)</f>
        <v>1260018</v>
      </c>
      <c r="C23" s="523" t="s">
        <v>1056</v>
      </c>
      <c r="D23" s="190">
        <v>2.386634844868735E-2</v>
      </c>
      <c r="E23" s="498">
        <v>1.3259082471492971</v>
      </c>
      <c r="F23" s="982">
        <f>VLOOKUP(B23,[2]Hoja1!$C$2:$E$279,3,FALSE)</f>
        <v>25909</v>
      </c>
      <c r="G23" s="498">
        <f t="shared" si="1"/>
        <v>618.35322195704055</v>
      </c>
      <c r="H23" s="964">
        <v>24213.99</v>
      </c>
      <c r="I23" s="498">
        <f t="shared" si="2"/>
        <v>577.89952267303102</v>
      </c>
      <c r="J23" s="536">
        <f t="shared" si="0"/>
        <v>7.0001267862091083</v>
      </c>
      <c r="K23" s="487">
        <f t="shared" si="3"/>
        <v>2.386634844868735E-2</v>
      </c>
    </row>
    <row r="24" spans="2:11" ht="16.5" x14ac:dyDescent="0.3">
      <c r="B24" s="1193">
        <f>VLOOKUP(C24,[1]Hoja1!$B$2:$C$260,2,FALSE)</f>
        <v>1260005</v>
      </c>
      <c r="C24" s="523" t="s">
        <v>811</v>
      </c>
      <c r="D24" s="190">
        <v>1.7899761336515514E-2</v>
      </c>
      <c r="E24" s="498">
        <v>0.99443118536197295</v>
      </c>
      <c r="F24" s="982">
        <f>VLOOKUP(B24,[2]Hoja1!$C$2:$E$279,3,FALSE)</f>
        <v>26429</v>
      </c>
      <c r="G24" s="498">
        <f t="shared" si="1"/>
        <v>473.0727923627685</v>
      </c>
      <c r="H24" s="533">
        <v>25850</v>
      </c>
      <c r="I24" s="498">
        <f t="shared" si="2"/>
        <v>462.70883054892602</v>
      </c>
      <c r="J24" s="536">
        <f t="shared" si="0"/>
        <v>2.2398452611218715</v>
      </c>
      <c r="K24" s="487">
        <f t="shared" si="3"/>
        <v>1.7899761336515514E-2</v>
      </c>
    </row>
    <row r="25" spans="2:11" s="146" customFormat="1" ht="16.5" x14ac:dyDescent="0.25">
      <c r="B25" s="1820" t="s">
        <v>37</v>
      </c>
      <c r="C25" s="1820"/>
      <c r="D25" s="1414">
        <f>SUM(D5:D24)</f>
        <v>1.8000000000000003</v>
      </c>
      <c r="E25" s="1415">
        <f>SUM(E5:E24)</f>
        <v>99.999999999999986</v>
      </c>
      <c r="F25" s="1415"/>
      <c r="G25" s="1416">
        <f>SUM(G5:G24)</f>
        <v>8749.1319514319803</v>
      </c>
      <c r="H25" s="1415"/>
      <c r="I25" s="1416">
        <f>SUM(I5:I24)</f>
        <v>9649.863509785202</v>
      </c>
      <c r="J25" s="1417">
        <f>((G25/I25)*100)-100</f>
        <v>-9.3341378086835789</v>
      </c>
      <c r="K25" s="1400"/>
    </row>
    <row r="26" spans="2:11" s="146" customFormat="1" x14ac:dyDescent="0.25">
      <c r="B26" s="229"/>
      <c r="C26" s="229"/>
      <c r="D26" s="158"/>
      <c r="E26" s="130"/>
      <c r="F26" s="130"/>
      <c r="G26" s="130"/>
      <c r="H26" s="130"/>
      <c r="I26" s="224"/>
      <c r="J26" s="897"/>
      <c r="K26" s="259"/>
    </row>
    <row r="27" spans="2:11" x14ac:dyDescent="0.25">
      <c r="J27" s="897"/>
    </row>
    <row r="28" spans="2:11" ht="25.5" x14ac:dyDescent="0.25">
      <c r="B28" s="1742" t="s">
        <v>50</v>
      </c>
      <c r="C28" s="1821"/>
      <c r="D28" s="159"/>
      <c r="E28" s="159"/>
      <c r="F28" s="159"/>
      <c r="G28" s="159"/>
      <c r="H28" s="159"/>
      <c r="I28" s="159"/>
      <c r="J28" s="910"/>
    </row>
    <row r="29" spans="2:11" x14ac:dyDescent="0.25">
      <c r="B29" s="1420" t="s">
        <v>38</v>
      </c>
      <c r="C29" s="215" t="s">
        <v>90</v>
      </c>
      <c r="D29" s="146"/>
      <c r="H29" s="146"/>
    </row>
    <row r="30" spans="2:11" x14ac:dyDescent="0.25">
      <c r="B30" s="1420" t="s">
        <v>39</v>
      </c>
      <c r="C30" s="215" t="s">
        <v>245</v>
      </c>
      <c r="D30" s="146"/>
      <c r="H30" s="146"/>
    </row>
    <row r="31" spans="2:11" x14ac:dyDescent="0.25">
      <c r="B31" s="1420" t="s">
        <v>40</v>
      </c>
      <c r="C31" s="215">
        <v>1800</v>
      </c>
      <c r="D31" s="146">
        <v>1800</v>
      </c>
      <c r="H31" s="146"/>
    </row>
    <row r="32" spans="2:11" x14ac:dyDescent="0.25">
      <c r="B32" s="1420" t="s">
        <v>41</v>
      </c>
      <c r="C32" s="215">
        <v>0.5</v>
      </c>
      <c r="D32" s="146"/>
      <c r="H32" s="146"/>
    </row>
    <row r="33" spans="2:11" x14ac:dyDescent="0.25">
      <c r="B33" s="1420" t="s">
        <v>42</v>
      </c>
      <c r="C33" s="215">
        <v>0.5</v>
      </c>
      <c r="D33" s="146"/>
      <c r="H33" s="146"/>
    </row>
    <row r="34" spans="2:11" x14ac:dyDescent="0.25">
      <c r="B34" s="1420" t="s">
        <v>43</v>
      </c>
      <c r="C34" s="215">
        <v>0</v>
      </c>
      <c r="D34" s="146"/>
      <c r="H34" s="146"/>
    </row>
    <row r="35" spans="2:11" x14ac:dyDescent="0.25">
      <c r="B35" s="1420" t="s">
        <v>44</v>
      </c>
      <c r="C35" s="215">
        <v>7</v>
      </c>
      <c r="D35" s="146"/>
      <c r="H35" s="146"/>
    </row>
    <row r="36" spans="2:11" x14ac:dyDescent="0.25">
      <c r="B36" s="1420" t="s">
        <v>45</v>
      </c>
      <c r="C36" s="215">
        <v>8</v>
      </c>
      <c r="D36" s="146"/>
      <c r="H36" s="146"/>
    </row>
    <row r="37" spans="2:11" x14ac:dyDescent="0.25">
      <c r="B37" s="1420" t="s">
        <v>46</v>
      </c>
      <c r="C37" s="214">
        <f>SUM(C32,C33,C34,C35,C36)</f>
        <v>16</v>
      </c>
      <c r="D37" s="146"/>
      <c r="H37" s="146"/>
    </row>
    <row r="38" spans="2:11" x14ac:dyDescent="0.25">
      <c r="B38" s="159"/>
      <c r="C38" s="173"/>
      <c r="D38" s="146"/>
      <c r="H38" s="146"/>
    </row>
    <row r="39" spans="2:11" ht="25.5" x14ac:dyDescent="0.25">
      <c r="B39" s="1743" t="s">
        <v>257</v>
      </c>
      <c r="C39" s="1743"/>
      <c r="D39" s="1743"/>
      <c r="E39" s="1743"/>
      <c r="F39" s="1743"/>
      <c r="G39" s="1743"/>
      <c r="H39" s="1743"/>
      <c r="I39" s="1743"/>
    </row>
    <row r="41" spans="2:11" ht="25.5" x14ac:dyDescent="0.25">
      <c r="B41" s="1242" t="s">
        <v>0</v>
      </c>
      <c r="C41" s="1242" t="s">
        <v>1</v>
      </c>
      <c r="D41" s="1242" t="s">
        <v>2</v>
      </c>
      <c r="E41" s="1242" t="s">
        <v>3</v>
      </c>
      <c r="F41" s="1243" t="str">
        <f>+'CIF Y PV'!$F$4</f>
        <v xml:space="preserve">JUN-COP/UMB </v>
      </c>
      <c r="G41" s="1243" t="str">
        <f>+'CIF Y PV'!$G$4</f>
        <v>JUN-COP/APP</v>
      </c>
      <c r="H41" s="1243" t="str">
        <f>+'CIF Y PV'!$H$4</f>
        <v xml:space="preserve">MAY-COP/UMB </v>
      </c>
      <c r="I41" s="1243" t="str">
        <f>+'CIF Y PV'!$I$4</f>
        <v>MAY-COP/APP</v>
      </c>
      <c r="J41" s="1243" t="s">
        <v>3</v>
      </c>
      <c r="K41" s="1423">
        <v>16896</v>
      </c>
    </row>
    <row r="42" spans="2:11" x14ac:dyDescent="0.25">
      <c r="B42" s="165"/>
      <c r="C42" s="165" t="s">
        <v>136</v>
      </c>
      <c r="D42" s="166">
        <v>1.54512</v>
      </c>
      <c r="E42" s="805">
        <f>(D42*100)/$D$46</f>
        <v>98.646509014760724</v>
      </c>
      <c r="F42" s="805">
        <f>G25</f>
        <v>8749.1319514319803</v>
      </c>
      <c r="G42" s="805">
        <f>F42*D42</f>
        <v>13518.458760796582</v>
      </c>
      <c r="H42" s="805">
        <v>5361.0352832140006</v>
      </c>
      <c r="I42" s="167">
        <v>8292.6590400000023</v>
      </c>
      <c r="J42" s="270">
        <f>((F42/H42)*100)-100</f>
        <v>63.198551944369569</v>
      </c>
      <c r="K42" s="445">
        <f>$K$41*E42%</f>
        <v>16667.314163133971</v>
      </c>
    </row>
    <row r="43" spans="2:11" x14ac:dyDescent="0.25">
      <c r="B43" s="154">
        <f>VLOOKUP(C43,[1]Hoja1!$B$2:$C$260,2,FALSE)</f>
        <v>1230011</v>
      </c>
      <c r="C43" s="154" t="s">
        <v>1173</v>
      </c>
      <c r="D43" s="143">
        <v>6.7999999999999996E-3</v>
      </c>
      <c r="E43" s="96">
        <f>(D43*100)/$D$46</f>
        <v>0.43413861790694108</v>
      </c>
      <c r="F43" s="96">
        <f>VLOOKUP(B43,[2]Hoja1!$C$2:$E$279,3,FALSE)</f>
        <v>5480</v>
      </c>
      <c r="G43" s="805">
        <f>F43*D43</f>
        <v>37.263999999999996</v>
      </c>
      <c r="H43" s="96">
        <v>5480</v>
      </c>
      <c r="I43" s="106">
        <v>12.103999999999999</v>
      </c>
      <c r="J43" s="250">
        <f>((F43/H43)*100)-100</f>
        <v>0</v>
      </c>
      <c r="K43" s="445">
        <f>$K$41*E43%</f>
        <v>73.352060881556767</v>
      </c>
    </row>
    <row r="44" spans="2:11" x14ac:dyDescent="0.25">
      <c r="B44" s="154">
        <f>VLOOKUP(C44,[1]Hoja1!$B$2:$C$260,2,FALSE)</f>
        <v>1220012</v>
      </c>
      <c r="C44" s="154" t="s">
        <v>1174</v>
      </c>
      <c r="D44" s="143">
        <v>1.44E-2</v>
      </c>
      <c r="E44" s="96">
        <f>(D44*100)/$D$46</f>
        <v>0.91935236733234593</v>
      </c>
      <c r="F44" s="96">
        <f>VLOOKUP(B44,[2]Hoja1!$C$2:$E$279,3,FALSE)</f>
        <v>8450</v>
      </c>
      <c r="G44" s="805">
        <f>F44*D44</f>
        <v>121.67999999999999</v>
      </c>
      <c r="H44" s="96">
        <v>8450</v>
      </c>
      <c r="I44" s="106">
        <v>113.75999999999999</v>
      </c>
      <c r="J44" s="250">
        <f>((H44/F44)*100)-100</f>
        <v>0</v>
      </c>
      <c r="K44" s="445">
        <f>$K$41*E44%</f>
        <v>155.33377598447316</v>
      </c>
    </row>
    <row r="45" spans="2:11" ht="13.15" hidden="1" customHeight="1" x14ac:dyDescent="0.25">
      <c r="B45" s="806"/>
      <c r="C45" s="806"/>
      <c r="D45" s="807"/>
      <c r="E45" s="806"/>
      <c r="F45" s="96" t="e">
        <f>VLOOKUP(B45,[2]Hoja1!$C$2:$E$279,3,FALSE)</f>
        <v>#N/A</v>
      </c>
      <c r="G45" s="806"/>
      <c r="H45" s="799"/>
      <c r="I45" s="808"/>
      <c r="J45" s="907"/>
    </row>
    <row r="46" spans="2:11" s="146" customFormat="1" x14ac:dyDescent="0.25">
      <c r="B46" s="1822" t="s">
        <v>37</v>
      </c>
      <c r="C46" s="1822"/>
      <c r="D46" s="1410">
        <f>SUM(D42:D44)</f>
        <v>1.5663199999999999</v>
      </c>
      <c r="E46" s="1411">
        <f>SUM(E42:E44)</f>
        <v>100.00000000000001</v>
      </c>
      <c r="F46" s="1411"/>
      <c r="G46" s="1412">
        <f>SUM(G42:G44)</f>
        <v>13677.402760796582</v>
      </c>
      <c r="H46" s="1411"/>
      <c r="I46" s="1412">
        <f>SUM(I42:I44)</f>
        <v>8418.5230400000019</v>
      </c>
      <c r="J46" s="1413">
        <f>((G46/I46)*100)-100</f>
        <v>62.467961372908235</v>
      </c>
      <c r="K46" s="259"/>
    </row>
    <row r="47" spans="2:11" x14ac:dyDescent="0.25">
      <c r="G47" s="217"/>
      <c r="H47" s="159"/>
      <c r="I47" s="224"/>
      <c r="J47" s="897"/>
    </row>
    <row r="48" spans="2:11" x14ac:dyDescent="0.25">
      <c r="G48" s="217"/>
      <c r="H48" s="159"/>
      <c r="I48" s="224"/>
    </row>
    <row r="49" spans="2:11" ht="25.5" x14ac:dyDescent="0.25">
      <c r="B49" s="1789" t="s">
        <v>47</v>
      </c>
      <c r="C49" s="1790"/>
      <c r="D49" s="1790"/>
      <c r="E49" s="1790"/>
      <c r="F49" s="1790"/>
      <c r="G49" s="1790"/>
      <c r="H49" s="1790"/>
      <c r="I49" s="1791"/>
      <c r="J49" s="223"/>
    </row>
    <row r="50" spans="2:11" ht="25.5" x14ac:dyDescent="0.25">
      <c r="B50" s="1368" t="s">
        <v>0</v>
      </c>
      <c r="C50" s="1368" t="s">
        <v>1</v>
      </c>
      <c r="D50" s="1421" t="s">
        <v>2</v>
      </c>
      <c r="E50" s="1243" t="str">
        <f>+'CIF Y PV'!$F$4</f>
        <v xml:space="preserve">JUN-COP/UMB </v>
      </c>
      <c r="F50" s="1243" t="str">
        <f>+'CIF Y PV'!$G$4</f>
        <v>JUN-COP/APP</v>
      </c>
      <c r="G50" s="1243" t="str">
        <f>+'CIF Y PV'!$H$4</f>
        <v xml:space="preserve">MAY-COP/UMB </v>
      </c>
      <c r="H50" s="1243" t="str">
        <f>+'CIF Y PV'!$I$4</f>
        <v>MAY-COP/APP</v>
      </c>
      <c r="I50" s="1243" t="s">
        <v>3</v>
      </c>
      <c r="J50" s="119">
        <v>9387</v>
      </c>
    </row>
    <row r="51" spans="2:11" x14ac:dyDescent="0.25">
      <c r="B51" s="222">
        <f>VLOOKUP(C51,[1]Hoja1!$B$2:$C$260,2,FALSE)</f>
        <v>1370003</v>
      </c>
      <c r="C51" s="222" t="s">
        <v>1175</v>
      </c>
      <c r="D51" s="221">
        <v>0.14799999999999999</v>
      </c>
      <c r="E51" s="225">
        <f>VLOOKUP(B51,[2]Hoja1!$C$2:$E$279,3,FALSE)</f>
        <v>698</v>
      </c>
      <c r="F51" s="225">
        <f>VLOOKUP(B51,[3]Hoja1!$C$2:$E$295,3,FALSE)</f>
        <v>698</v>
      </c>
      <c r="G51" s="225">
        <v>698.51</v>
      </c>
      <c r="H51" s="225">
        <v>698</v>
      </c>
      <c r="I51" s="634">
        <f>((E51/G51)*100)-100</f>
        <v>-7.3012555296273263E-2</v>
      </c>
      <c r="J51" s="119">
        <f>J50*D51</f>
        <v>1389.2759999999998</v>
      </c>
    </row>
    <row r="52" spans="2:11" ht="15" x14ac:dyDescent="0.25">
      <c r="B52" s="222">
        <f>VLOOKUP(C52,[1]Hoja1!$B$2:$C$260,2,FALSE)</f>
        <v>1380002</v>
      </c>
      <c r="C52" s="222" t="s">
        <v>1051</v>
      </c>
      <c r="D52" s="221">
        <v>0.4279</v>
      </c>
      <c r="E52" s="225">
        <f>VLOOKUP(B52,[2]Hoja1!$C$2:$E$279,3,FALSE)</f>
        <v>73.33</v>
      </c>
      <c r="F52" s="225">
        <f>VLOOKUP(B52,[3]Hoja1!$C$2:$E$295,3,FALSE)</f>
        <v>74.11</v>
      </c>
      <c r="G52" s="866">
        <v>76.61</v>
      </c>
      <c r="H52" s="225">
        <v>24.612808000000001</v>
      </c>
      <c r="I52" s="634">
        <f>((E52/G52)*100)-100</f>
        <v>-4.281425401383629</v>
      </c>
      <c r="J52" s="119">
        <f>J50*D52</f>
        <v>4016.6972999999998</v>
      </c>
    </row>
    <row r="53" spans="2:11" x14ac:dyDescent="0.25">
      <c r="B53" s="222">
        <f>VLOOKUP(C53,[1]Hoja1!$B$2:$C$260,2,FALSE)</f>
        <v>1360001</v>
      </c>
      <c r="C53" s="222" t="s">
        <v>223</v>
      </c>
      <c r="D53" s="221">
        <v>14</v>
      </c>
      <c r="E53" s="225">
        <f>VLOOKUP(B53,[2]Hoja1!$C$2:$E$279,3,FALSE)</f>
        <v>22</v>
      </c>
      <c r="F53" s="225">
        <f>VLOOKUP(B53,[3]Hoja1!$C$2:$E$295,3,FALSE)</f>
        <v>22</v>
      </c>
      <c r="G53" s="167">
        <v>22</v>
      </c>
      <c r="H53" s="225">
        <v>307.85999999999996</v>
      </c>
      <c r="I53" s="634">
        <f>((E53/G53)*100)-100</f>
        <v>0</v>
      </c>
      <c r="J53" s="119">
        <f>J50*D53</f>
        <v>131418</v>
      </c>
    </row>
    <row r="54" spans="2:11" x14ac:dyDescent="0.25">
      <c r="B54" s="222">
        <f>VLOOKUP(C54,[1]Hoja1!$B$2:$C$260,2,FALSE)</f>
        <v>1340002</v>
      </c>
      <c r="C54" s="222" t="s">
        <v>1177</v>
      </c>
      <c r="D54" s="225">
        <v>1</v>
      </c>
      <c r="E54" s="225">
        <f>VLOOKUP(B54,[2]Hoja1!$C$2:$E$279,3,FALSE)</f>
        <v>647.04</v>
      </c>
      <c r="F54" s="225">
        <f>VLOOKUP(B54,[3]Hoja1!$C$2:$E$295,3,FALSE)</f>
        <v>618</v>
      </c>
      <c r="G54" s="225">
        <v>618</v>
      </c>
      <c r="H54" s="225">
        <v>551</v>
      </c>
      <c r="I54" s="634">
        <f>((E54/G54)*100)-100</f>
        <v>4.6990291262135884</v>
      </c>
      <c r="J54" s="119">
        <f>J50*D54</f>
        <v>9387</v>
      </c>
    </row>
    <row r="55" spans="2:11" x14ac:dyDescent="0.25">
      <c r="B55" s="1370"/>
      <c r="C55" s="1370" t="s">
        <v>37</v>
      </c>
      <c r="D55" s="1372"/>
      <c r="E55" s="1372"/>
      <c r="F55" s="1372">
        <f>SUM(F51:F54)</f>
        <v>1412.1100000000001</v>
      </c>
      <c r="G55" s="1372"/>
      <c r="H55" s="1372">
        <f>SUM(H51:H54)</f>
        <v>1581.472808</v>
      </c>
      <c r="I55" s="909">
        <f>((F55/H55)*100)-100</f>
        <v>-10.709182424336689</v>
      </c>
    </row>
    <row r="56" spans="2:11" x14ac:dyDescent="0.25">
      <c r="H56" s="1" t="str">
        <f>+'CIF Y PV'!$G$1</f>
        <v>MAYO</v>
      </c>
      <c r="I56" s="207"/>
      <c r="J56" s="146"/>
      <c r="K56" s="207"/>
    </row>
    <row r="57" spans="2:11" x14ac:dyDescent="0.25">
      <c r="B57" s="1735" t="s">
        <v>248</v>
      </c>
      <c r="C57" s="1735"/>
      <c r="E57" s="884"/>
      <c r="F57" s="884"/>
      <c r="G57" s="884"/>
      <c r="H57" s="884">
        <f>+G46+F55</f>
        <v>15089.512760796582</v>
      </c>
      <c r="I57" s="181"/>
      <c r="J57" s="884"/>
      <c r="K57" s="181"/>
    </row>
    <row r="58" spans="2:11" x14ac:dyDescent="0.25">
      <c r="B58" s="1736" t="s">
        <v>48</v>
      </c>
      <c r="C58" s="1737"/>
      <c r="E58" s="884"/>
      <c r="F58" s="884"/>
      <c r="G58" s="884"/>
      <c r="H58" s="884">
        <f>+('CIF Y PV'!C3/1000)*1800</f>
        <v>3402</v>
      </c>
      <c r="I58" s="207"/>
      <c r="J58" s="884"/>
      <c r="K58" s="207"/>
    </row>
    <row r="59" spans="2:11" x14ac:dyDescent="0.25">
      <c r="B59" s="1736" t="s">
        <v>303</v>
      </c>
      <c r="C59" s="1737"/>
      <c r="E59" s="884"/>
      <c r="F59" s="884"/>
      <c r="G59" s="884"/>
      <c r="H59" s="884">
        <f>+H57+H58</f>
        <v>18491.512760796584</v>
      </c>
      <c r="I59" s="219"/>
      <c r="J59" s="884"/>
      <c r="K59" s="219"/>
    </row>
    <row r="60" spans="2:11" x14ac:dyDescent="0.25">
      <c r="B60" s="1735" t="s">
        <v>49</v>
      </c>
      <c r="C60" s="1735"/>
      <c r="E60" s="884"/>
      <c r="F60" s="884"/>
      <c r="G60" s="884"/>
      <c r="H60" s="884">
        <f>'CIF Y PV'!C37</f>
        <v>31589.481600000003</v>
      </c>
      <c r="J60" s="884"/>
      <c r="K60" s="300"/>
    </row>
    <row r="61" spans="2:11" x14ac:dyDescent="0.2">
      <c r="B61" s="1735" t="s">
        <v>805</v>
      </c>
      <c r="C61" s="1735"/>
      <c r="E61" s="884"/>
      <c r="F61" s="884"/>
      <c r="G61" s="884"/>
      <c r="H61" s="928">
        <f>+(H60-H59)/H60</f>
        <v>0.41463069907432154</v>
      </c>
      <c r="I61" s="199"/>
      <c r="J61" s="146"/>
      <c r="K61" s="199"/>
    </row>
    <row r="62" spans="2:11" x14ac:dyDescent="0.25">
      <c r="H62" s="146"/>
      <c r="I62" s="181"/>
    </row>
    <row r="63" spans="2:11" x14ac:dyDescent="0.25">
      <c r="H63" s="146"/>
      <c r="I63" s="302"/>
    </row>
  </sheetData>
  <mergeCells count="11">
    <mergeCell ref="B61:C61"/>
    <mergeCell ref="B60:C60"/>
    <mergeCell ref="B2:I2"/>
    <mergeCell ref="B25:C25"/>
    <mergeCell ref="B28:C28"/>
    <mergeCell ref="B57:C57"/>
    <mergeCell ref="B39:I39"/>
    <mergeCell ref="B46:C46"/>
    <mergeCell ref="B58:C58"/>
    <mergeCell ref="B59:C59"/>
    <mergeCell ref="B49:I49"/>
  </mergeCells>
  <pageMargins left="0.7" right="0.7" top="0.75" bottom="0.75" header="0.3" footer="0.3"/>
  <pageSetup scale="40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4D07-A6DA-4378-99EA-5E647473A9FB}">
  <sheetPr codeName="Hoja51"/>
  <dimension ref="A2:L50"/>
  <sheetViews>
    <sheetView view="pageBreakPreview" topLeftCell="A28" zoomScale="70" zoomScaleNormal="100" zoomScaleSheetLayoutView="70" workbookViewId="0">
      <selection activeCell="J38" sqref="J38"/>
    </sheetView>
  </sheetViews>
  <sheetFormatPr baseColWidth="10" defaultColWidth="11.5703125" defaultRowHeight="13.5" x14ac:dyDescent="0.25"/>
  <cols>
    <col min="1" max="1" width="7" style="1" bestFit="1" customWidth="1"/>
    <col min="2" max="2" width="24.140625" style="1" bestFit="1" customWidth="1"/>
    <col min="3" max="3" width="58.28515625" style="1" customWidth="1"/>
    <col min="4" max="4" width="13.7109375" style="38" bestFit="1" customWidth="1"/>
    <col min="5" max="5" width="13.140625" style="1" bestFit="1" customWidth="1"/>
    <col min="6" max="6" width="13.7109375" style="463" customWidth="1"/>
    <col min="7" max="7" width="12" style="463" customWidth="1"/>
    <col min="8" max="8" width="12.5703125" style="462" customWidth="1"/>
    <col min="9" max="9" width="10.7109375" style="1" bestFit="1" customWidth="1"/>
    <col min="10" max="10" width="11.5703125" style="1"/>
    <col min="11" max="11" width="11.5703125" style="446"/>
    <col min="12" max="16384" width="11.5703125" style="1"/>
  </cols>
  <sheetData>
    <row r="2" spans="2:12" x14ac:dyDescent="0.25">
      <c r="J2" s="1" t="s">
        <v>85</v>
      </c>
    </row>
    <row r="3" spans="2:12" ht="25.5" x14ac:dyDescent="0.35">
      <c r="B3" s="1823" t="s">
        <v>334</v>
      </c>
      <c r="C3" s="1823"/>
      <c r="D3" s="1823"/>
      <c r="E3" s="1823"/>
      <c r="F3" s="1823"/>
      <c r="G3" s="1823"/>
      <c r="H3" s="1823"/>
      <c r="I3" s="1823"/>
    </row>
    <row r="5" spans="2:12" s="3" customFormat="1" ht="25.5" x14ac:dyDescent="0.25">
      <c r="B5" s="2" t="s">
        <v>0</v>
      </c>
      <c r="C5" s="2" t="s">
        <v>1</v>
      </c>
      <c r="D5" s="2" t="s">
        <v>2</v>
      </c>
      <c r="E5" s="2" t="s">
        <v>3</v>
      </c>
      <c r="F5" s="183" t="s">
        <v>628</v>
      </c>
      <c r="G5" s="149" t="s">
        <v>627</v>
      </c>
      <c r="H5" s="118" t="s">
        <v>536</v>
      </c>
      <c r="I5" s="118" t="s">
        <v>512</v>
      </c>
      <c r="J5" s="118" t="s">
        <v>3</v>
      </c>
      <c r="K5" s="447"/>
    </row>
    <row r="6" spans="2:12" ht="16.5" x14ac:dyDescent="0.25">
      <c r="B6" s="30" t="s">
        <v>6</v>
      </c>
      <c r="C6" s="30" t="s">
        <v>77</v>
      </c>
      <c r="D6" s="31">
        <v>0.12855276000000002</v>
      </c>
      <c r="E6" s="32">
        <f>(D6*100)/$D$24</f>
        <v>51.012999999999984</v>
      </c>
      <c r="F6" s="72">
        <v>7012.5</v>
      </c>
      <c r="G6" s="450">
        <f>F6*D6</f>
        <v>901.47622950000016</v>
      </c>
      <c r="H6" s="451">
        <v>6993</v>
      </c>
      <c r="I6" s="39">
        <f>D6*H6</f>
        <v>898.96945068000014</v>
      </c>
      <c r="J6" s="468">
        <f>((F6/H6)*100)-100</f>
        <v>0.27885027885028535</v>
      </c>
      <c r="K6" s="448"/>
    </row>
    <row r="7" spans="2:12" x14ac:dyDescent="0.25">
      <c r="B7" s="30" t="s">
        <v>4</v>
      </c>
      <c r="C7" s="30" t="s">
        <v>53</v>
      </c>
      <c r="D7" s="31">
        <v>6.9516720000000018E-2</v>
      </c>
      <c r="E7" s="32">
        <f t="shared" ref="E7:E22" si="0">(D7*100)/$D$24</f>
        <v>27.585999999999995</v>
      </c>
      <c r="F7" s="450">
        <v>7</v>
      </c>
      <c r="G7" s="450">
        <f t="shared" ref="G7:G22" si="1">F7*D7</f>
        <v>0.48661704000000011</v>
      </c>
      <c r="H7" s="451">
        <v>7</v>
      </c>
      <c r="I7" s="39">
        <f t="shared" ref="I7:I22" si="2">D7*H7</f>
        <v>0.48661704000000011</v>
      </c>
      <c r="J7" s="32">
        <f t="shared" ref="J7:J22" si="3">((F7/H7)*100)-100</f>
        <v>0</v>
      </c>
      <c r="K7" s="448"/>
    </row>
    <row r="8" spans="2:12" x14ac:dyDescent="0.25">
      <c r="B8" s="30" t="s">
        <v>8</v>
      </c>
      <c r="C8" s="30" t="s">
        <v>56</v>
      </c>
      <c r="D8" s="31">
        <v>1.4963760000000005E-2</v>
      </c>
      <c r="E8" s="32">
        <f t="shared" si="0"/>
        <v>5.9379999999999988</v>
      </c>
      <c r="F8" s="450">
        <v>1500</v>
      </c>
      <c r="G8" s="450">
        <f t="shared" si="1"/>
        <v>22.445640000000008</v>
      </c>
      <c r="H8" s="451">
        <v>1500</v>
      </c>
      <c r="I8" s="39">
        <f t="shared" si="2"/>
        <v>22.445640000000008</v>
      </c>
      <c r="J8" s="32">
        <f t="shared" si="3"/>
        <v>0</v>
      </c>
      <c r="K8" s="448"/>
    </row>
    <row r="9" spans="2:12" ht="16.5" x14ac:dyDescent="0.25">
      <c r="B9" s="30" t="s">
        <v>9</v>
      </c>
      <c r="C9" s="30" t="s">
        <v>10</v>
      </c>
      <c r="D9" s="31">
        <v>1.2655440000000004E-2</v>
      </c>
      <c r="E9" s="32">
        <f t="shared" si="0"/>
        <v>5.0219999999999994</v>
      </c>
      <c r="F9" s="184">
        <v>6316.85</v>
      </c>
      <c r="G9" s="450">
        <f t="shared" si="1"/>
        <v>79.942516164000025</v>
      </c>
      <c r="H9" s="451">
        <v>5975</v>
      </c>
      <c r="I9" s="39">
        <f t="shared" si="2"/>
        <v>75.616254000000026</v>
      </c>
      <c r="J9" s="468">
        <f t="shared" si="3"/>
        <v>5.7213389121338878</v>
      </c>
      <c r="K9" s="448"/>
    </row>
    <row r="10" spans="2:12" ht="16.5" x14ac:dyDescent="0.25">
      <c r="B10" s="30" t="s">
        <v>11</v>
      </c>
      <c r="C10" s="30" t="s">
        <v>12</v>
      </c>
      <c r="D10" s="31">
        <v>1.0122840000000003E-2</v>
      </c>
      <c r="E10" s="32">
        <f t="shared" si="0"/>
        <v>4.0169999999999986</v>
      </c>
      <c r="F10" s="72">
        <v>16768.689999999999</v>
      </c>
      <c r="G10" s="450">
        <f t="shared" si="1"/>
        <v>169.74676587960002</v>
      </c>
      <c r="H10" s="451">
        <v>16084</v>
      </c>
      <c r="I10" s="39">
        <f t="shared" si="2"/>
        <v>162.81575856000003</v>
      </c>
      <c r="J10" s="468">
        <f t="shared" si="3"/>
        <v>4.2569634419298552</v>
      </c>
      <c r="K10" s="448"/>
    </row>
    <row r="11" spans="2:12" x14ac:dyDescent="0.25">
      <c r="B11" s="30" t="s">
        <v>5</v>
      </c>
      <c r="C11" s="30" t="s">
        <v>55</v>
      </c>
      <c r="D11" s="31">
        <v>6.1236000000000016E-3</v>
      </c>
      <c r="E11" s="32">
        <f t="shared" si="0"/>
        <v>2.4299999999999993</v>
      </c>
      <c r="F11" s="106">
        <v>5420</v>
      </c>
      <c r="G11" s="450">
        <f t="shared" si="1"/>
        <v>33.189912000000007</v>
      </c>
      <c r="H11" s="451">
        <v>5484</v>
      </c>
      <c r="I11" s="39">
        <f t="shared" si="2"/>
        <v>33.581822400000007</v>
      </c>
      <c r="J11" s="385">
        <f t="shared" si="3"/>
        <v>-1.167031363967908</v>
      </c>
      <c r="K11" s="448"/>
    </row>
    <row r="12" spans="2:12" ht="16.5" x14ac:dyDescent="0.25">
      <c r="B12" s="30" t="s">
        <v>13</v>
      </c>
      <c r="C12" s="30" t="s">
        <v>14</v>
      </c>
      <c r="D12" s="31">
        <v>2.7846000000000008E-3</v>
      </c>
      <c r="E12" s="32">
        <f t="shared" si="0"/>
        <v>1.105</v>
      </c>
      <c r="F12" s="184">
        <v>34415.230000000003</v>
      </c>
      <c r="G12" s="450">
        <f t="shared" si="1"/>
        <v>95.832649458000034</v>
      </c>
      <c r="H12" s="451">
        <v>33158</v>
      </c>
      <c r="I12" s="39">
        <f t="shared" si="2"/>
        <v>92.331766800000025</v>
      </c>
      <c r="J12" s="468">
        <f t="shared" si="3"/>
        <v>3.7916339948127273</v>
      </c>
      <c r="K12" s="448"/>
    </row>
    <row r="13" spans="2:12" x14ac:dyDescent="0.25">
      <c r="B13" s="30" t="s">
        <v>17</v>
      </c>
      <c r="C13" s="30" t="s">
        <v>18</v>
      </c>
      <c r="D13" s="31">
        <v>1.8043200000000005E-3</v>
      </c>
      <c r="E13" s="32">
        <f t="shared" si="0"/>
        <v>0.71599999999999997</v>
      </c>
      <c r="F13" s="450">
        <v>878</v>
      </c>
      <c r="G13" s="450">
        <f t="shared" si="1"/>
        <v>1.5841929600000004</v>
      </c>
      <c r="H13" s="451">
        <v>878</v>
      </c>
      <c r="I13" s="39">
        <f t="shared" si="2"/>
        <v>1.5841929600000004</v>
      </c>
      <c r="J13" s="32">
        <f t="shared" si="3"/>
        <v>0</v>
      </c>
      <c r="K13" s="448"/>
    </row>
    <row r="14" spans="2:12" x14ac:dyDescent="0.25">
      <c r="B14" s="30" t="s">
        <v>278</v>
      </c>
      <c r="C14" s="30" t="s">
        <v>279</v>
      </c>
      <c r="D14" s="31">
        <v>1.4011200000000005E-3</v>
      </c>
      <c r="E14" s="32">
        <f t="shared" si="0"/>
        <v>0.55599999999999994</v>
      </c>
      <c r="F14" s="451">
        <v>64256</v>
      </c>
      <c r="G14" s="450">
        <f t="shared" si="1"/>
        <v>90.030366720000032</v>
      </c>
      <c r="H14" s="451">
        <v>64256</v>
      </c>
      <c r="I14" s="39">
        <f t="shared" si="2"/>
        <v>90.030366720000032</v>
      </c>
      <c r="J14" s="32">
        <f t="shared" si="3"/>
        <v>0</v>
      </c>
      <c r="K14" s="448"/>
    </row>
    <row r="15" spans="2:12" ht="16.5" x14ac:dyDescent="0.25">
      <c r="B15" s="30" t="s">
        <v>78</v>
      </c>
      <c r="C15" s="30" t="s">
        <v>79</v>
      </c>
      <c r="D15" s="31">
        <v>1.2650400000000003E-3</v>
      </c>
      <c r="E15" s="32">
        <f t="shared" si="0"/>
        <v>0.50199999999999989</v>
      </c>
      <c r="F15" s="184">
        <v>62980</v>
      </c>
      <c r="G15" s="450">
        <f t="shared" si="1"/>
        <v>79.672219200000015</v>
      </c>
      <c r="H15" s="451">
        <v>62980</v>
      </c>
      <c r="I15" s="39">
        <f t="shared" si="2"/>
        <v>79.672219200000015</v>
      </c>
      <c r="J15" s="32">
        <f t="shared" si="3"/>
        <v>0</v>
      </c>
      <c r="K15" s="448"/>
      <c r="L15" s="1" t="s">
        <v>85</v>
      </c>
    </row>
    <row r="16" spans="2:12" ht="16.5" x14ac:dyDescent="0.25">
      <c r="B16" s="30" t="s">
        <v>25</v>
      </c>
      <c r="C16" s="30" t="s">
        <v>26</v>
      </c>
      <c r="D16" s="31">
        <v>7.5852000000000016E-4</v>
      </c>
      <c r="E16" s="32">
        <f t="shared" si="0"/>
        <v>0.30099999999999993</v>
      </c>
      <c r="F16" s="72">
        <v>61143.15</v>
      </c>
      <c r="G16" s="450">
        <f t="shared" si="1"/>
        <v>46.378302138000009</v>
      </c>
      <c r="H16" s="451">
        <v>59418</v>
      </c>
      <c r="I16" s="39">
        <f t="shared" si="2"/>
        <v>45.069741360000009</v>
      </c>
      <c r="J16" s="468">
        <f t="shared" si="3"/>
        <v>2.9034131071392579</v>
      </c>
      <c r="K16" s="448"/>
    </row>
    <row r="17" spans="2:11" x14ac:dyDescent="0.25">
      <c r="B17" s="30" t="s">
        <v>80</v>
      </c>
      <c r="C17" s="30" t="s">
        <v>81</v>
      </c>
      <c r="D17" s="31">
        <v>6.2496000000000014E-4</v>
      </c>
      <c r="E17" s="32">
        <f t="shared" si="0"/>
        <v>0.24799999999999994</v>
      </c>
      <c r="F17" s="106">
        <v>21400</v>
      </c>
      <c r="G17" s="450">
        <f t="shared" si="1"/>
        <v>13.374144000000003</v>
      </c>
      <c r="H17" s="451">
        <v>21400</v>
      </c>
      <c r="I17" s="39">
        <f t="shared" si="2"/>
        <v>13.374144000000003</v>
      </c>
      <c r="J17" s="32">
        <f t="shared" si="3"/>
        <v>0</v>
      </c>
      <c r="K17" s="448"/>
    </row>
    <row r="18" spans="2:11" x14ac:dyDescent="0.25">
      <c r="B18" s="30" t="s">
        <v>29</v>
      </c>
      <c r="C18" s="30" t="s">
        <v>30</v>
      </c>
      <c r="D18" s="31">
        <v>4.1832000000000013E-4</v>
      </c>
      <c r="E18" s="32">
        <f t="shared" si="0"/>
        <v>0.16599999999999998</v>
      </c>
      <c r="F18" s="463">
        <v>2500</v>
      </c>
      <c r="G18" s="450">
        <f t="shared" si="1"/>
        <v>1.0458000000000003</v>
      </c>
      <c r="H18" s="451">
        <v>2500</v>
      </c>
      <c r="I18" s="39">
        <f t="shared" si="2"/>
        <v>1.0458000000000003</v>
      </c>
      <c r="J18" s="32">
        <f t="shared" si="3"/>
        <v>0</v>
      </c>
      <c r="K18" s="448"/>
    </row>
    <row r="19" spans="2:11" ht="16.5" x14ac:dyDescent="0.25">
      <c r="B19" s="30" t="s">
        <v>61</v>
      </c>
      <c r="C19" s="30" t="s">
        <v>62</v>
      </c>
      <c r="D19" s="31">
        <v>3.4020000000000008E-4</v>
      </c>
      <c r="E19" s="32">
        <f t="shared" si="0"/>
        <v>0.13499999999999998</v>
      </c>
      <c r="F19" s="449">
        <v>30713</v>
      </c>
      <c r="G19" s="450">
        <f t="shared" si="1"/>
        <v>10.448562600000002</v>
      </c>
      <c r="H19" s="453">
        <v>30713</v>
      </c>
      <c r="I19" s="39">
        <f t="shared" si="2"/>
        <v>10.448562600000002</v>
      </c>
      <c r="J19" s="32">
        <f t="shared" si="3"/>
        <v>0</v>
      </c>
      <c r="K19" s="448"/>
    </row>
    <row r="20" spans="2:11" x14ac:dyDescent="0.25">
      <c r="B20" s="30" t="s">
        <v>67</v>
      </c>
      <c r="C20" s="30" t="s">
        <v>68</v>
      </c>
      <c r="D20" s="31">
        <v>3.4020000000000008E-4</v>
      </c>
      <c r="E20" s="32">
        <f t="shared" si="0"/>
        <v>0.13499999999999998</v>
      </c>
      <c r="F20" s="454">
        <v>69401</v>
      </c>
      <c r="G20" s="450">
        <f t="shared" si="1"/>
        <v>23.610220200000004</v>
      </c>
      <c r="H20" s="455">
        <v>69401</v>
      </c>
      <c r="I20" s="39">
        <f t="shared" si="2"/>
        <v>23.610220200000004</v>
      </c>
      <c r="J20" s="32">
        <f t="shared" si="3"/>
        <v>0</v>
      </c>
      <c r="K20" s="448"/>
    </row>
    <row r="21" spans="2:11" x14ac:dyDescent="0.25">
      <c r="B21" s="30" t="s">
        <v>31</v>
      </c>
      <c r="C21" s="30" t="s">
        <v>32</v>
      </c>
      <c r="D21" s="31">
        <v>2.0160000000000005E-4</v>
      </c>
      <c r="E21" s="32">
        <f t="shared" si="0"/>
        <v>7.9999999999999988E-2</v>
      </c>
      <c r="F21" s="456">
        <v>121899</v>
      </c>
      <c r="G21" s="450">
        <f t="shared" si="1"/>
        <v>24.574838400000004</v>
      </c>
      <c r="H21" s="456">
        <v>121899</v>
      </c>
      <c r="I21" s="39">
        <f t="shared" si="2"/>
        <v>24.574838400000004</v>
      </c>
      <c r="J21" s="32">
        <f t="shared" si="3"/>
        <v>0</v>
      </c>
      <c r="K21" s="448"/>
    </row>
    <row r="22" spans="2:11" x14ac:dyDescent="0.25">
      <c r="B22" s="30" t="s">
        <v>33</v>
      </c>
      <c r="C22" s="30" t="s">
        <v>34</v>
      </c>
      <c r="D22" s="31">
        <v>1.2600000000000003E-4</v>
      </c>
      <c r="E22" s="32">
        <f t="shared" si="0"/>
        <v>4.9999999999999989E-2</v>
      </c>
      <c r="F22" s="455">
        <v>26800</v>
      </c>
      <c r="G22" s="450">
        <f t="shared" si="1"/>
        <v>3.3768000000000007</v>
      </c>
      <c r="H22" s="455">
        <v>26800</v>
      </c>
      <c r="I22" s="39">
        <f t="shared" si="2"/>
        <v>3.3768000000000007</v>
      </c>
      <c r="J22" s="32">
        <f t="shared" si="3"/>
        <v>0</v>
      </c>
      <c r="K22" s="448"/>
    </row>
    <row r="23" spans="2:11" hidden="1" x14ac:dyDescent="0.25">
      <c r="B23" s="11"/>
      <c r="C23" s="11"/>
      <c r="D23" s="36"/>
      <c r="E23" s="11"/>
      <c r="F23" s="457"/>
      <c r="G23" s="457"/>
      <c r="H23" s="458"/>
      <c r="I23" s="11"/>
      <c r="J23" s="11"/>
    </row>
    <row r="24" spans="2:11" x14ac:dyDescent="0.25">
      <c r="B24" s="1824" t="s">
        <v>37</v>
      </c>
      <c r="C24" s="1824"/>
      <c r="D24" s="40">
        <f>SUM(D6:D22)</f>
        <v>0.25200000000000011</v>
      </c>
      <c r="E24" s="13">
        <f>SUM(E6:E22)</f>
        <v>99.999999999999972</v>
      </c>
      <c r="F24" s="459"/>
      <c r="G24" s="467">
        <f>SUM(G6:G22)</f>
        <v>1597.2157762596009</v>
      </c>
      <c r="H24" s="460"/>
      <c r="I24" s="15">
        <f>SUM(I6:I22)</f>
        <v>1579.0341949200008</v>
      </c>
      <c r="J24" s="210">
        <f>((G24/I24)*100)-100</f>
        <v>1.1514368338629453</v>
      </c>
    </row>
    <row r="25" spans="2:11" x14ac:dyDescent="0.25">
      <c r="B25" s="16"/>
      <c r="C25" s="16"/>
      <c r="D25" s="37"/>
      <c r="E25" s="18"/>
      <c r="F25" s="461"/>
      <c r="G25" s="461"/>
      <c r="I25" s="19"/>
    </row>
    <row r="26" spans="2:11" ht="25.5" x14ac:dyDescent="0.35">
      <c r="B26" s="1827" t="s">
        <v>50</v>
      </c>
      <c r="C26" s="1828"/>
      <c r="D26" s="1826"/>
      <c r="E26" s="1826"/>
      <c r="F26" s="1826"/>
      <c r="G26" s="1826"/>
      <c r="H26" s="1826"/>
      <c r="I26" s="1826"/>
    </row>
    <row r="27" spans="2:11" x14ac:dyDescent="0.25">
      <c r="B27" s="20" t="s">
        <v>38</v>
      </c>
      <c r="C27" s="21" t="s">
        <v>82</v>
      </c>
    </row>
    <row r="28" spans="2:11" x14ac:dyDescent="0.25">
      <c r="B28" s="20" t="s">
        <v>39</v>
      </c>
      <c r="C28" s="21" t="s">
        <v>280</v>
      </c>
    </row>
    <row r="29" spans="2:11" x14ac:dyDescent="0.25">
      <c r="B29" s="20" t="s">
        <v>40</v>
      </c>
      <c r="C29" s="21">
        <v>225</v>
      </c>
    </row>
    <row r="30" spans="2:11" x14ac:dyDescent="0.25">
      <c r="B30" s="20" t="s">
        <v>41</v>
      </c>
      <c r="C30" s="21">
        <v>0</v>
      </c>
    </row>
    <row r="31" spans="2:11" x14ac:dyDescent="0.25">
      <c r="B31" s="20" t="s">
        <v>42</v>
      </c>
      <c r="C31" s="21">
        <v>0.5</v>
      </c>
    </row>
    <row r="32" spans="2:11" x14ac:dyDescent="0.25">
      <c r="B32" s="20" t="s">
        <v>43</v>
      </c>
      <c r="C32" s="21">
        <v>0.5</v>
      </c>
    </row>
    <row r="33" spans="1:10" x14ac:dyDescent="0.25">
      <c r="B33" s="20" t="s">
        <v>44</v>
      </c>
      <c r="C33" s="21">
        <v>7</v>
      </c>
    </row>
    <row r="34" spans="1:10" x14ac:dyDescent="0.25">
      <c r="B34" s="20" t="s">
        <v>45</v>
      </c>
      <c r="C34" s="21">
        <v>4</v>
      </c>
    </row>
    <row r="35" spans="1:10" x14ac:dyDescent="0.25">
      <c r="B35" s="20" t="s">
        <v>46</v>
      </c>
      <c r="C35" s="21">
        <f>C34+C33+C32+C31</f>
        <v>12</v>
      </c>
    </row>
    <row r="37" spans="1:10" ht="25.5" x14ac:dyDescent="0.35">
      <c r="B37" s="1829" t="s">
        <v>47</v>
      </c>
      <c r="C37" s="1826"/>
      <c r="D37" s="1826"/>
      <c r="E37" s="1826"/>
      <c r="F37" s="1826"/>
      <c r="G37" s="1826"/>
      <c r="H37" s="1826"/>
      <c r="I37" s="1826"/>
    </row>
    <row r="38" spans="1:10" ht="25.5" x14ac:dyDescent="0.25">
      <c r="B38" s="22" t="s">
        <v>0</v>
      </c>
      <c r="C38" s="22" t="s">
        <v>1</v>
      </c>
      <c r="D38" s="23" t="s">
        <v>2</v>
      </c>
      <c r="E38" s="200" t="s">
        <v>628</v>
      </c>
      <c r="F38" s="201" t="s">
        <v>627</v>
      </c>
      <c r="G38" s="144" t="s">
        <v>536</v>
      </c>
      <c r="H38" s="144" t="s">
        <v>512</v>
      </c>
      <c r="I38" s="144" t="s">
        <v>3</v>
      </c>
      <c r="J38" s="38">
        <v>18575</v>
      </c>
    </row>
    <row r="39" spans="1:10" x14ac:dyDescent="0.25">
      <c r="A39" s="1" t="s">
        <v>713</v>
      </c>
      <c r="B39" s="4" t="s">
        <v>520</v>
      </c>
      <c r="C39" s="4" t="s">
        <v>559</v>
      </c>
      <c r="D39" s="24">
        <v>3.5999999999999997E-2</v>
      </c>
      <c r="E39" s="24">
        <v>4271.1400000000003</v>
      </c>
      <c r="F39" s="464">
        <f>E39*D39</f>
        <v>153.76104000000001</v>
      </c>
      <c r="G39" s="464">
        <v>3800</v>
      </c>
      <c r="H39" s="464">
        <f>G39*D39</f>
        <v>136.79999999999998</v>
      </c>
      <c r="I39" s="644">
        <f>((E39/G39)*100)-100</f>
        <v>12.398421052631576</v>
      </c>
      <c r="J39" s="1">
        <f>J38*D39</f>
        <v>668.69999999999993</v>
      </c>
    </row>
    <row r="40" spans="1:10" x14ac:dyDescent="0.25">
      <c r="A40" s="1" t="s">
        <v>713</v>
      </c>
      <c r="B40" s="4" t="s">
        <v>200</v>
      </c>
      <c r="C40" s="4" t="s">
        <v>201</v>
      </c>
      <c r="D40" s="24">
        <v>0.1</v>
      </c>
      <c r="E40" s="24">
        <v>28.02</v>
      </c>
      <c r="F40" s="464">
        <f>E40*D40</f>
        <v>2.802</v>
      </c>
      <c r="G40" s="464">
        <v>55</v>
      </c>
      <c r="H40" s="464">
        <f>G40*D40</f>
        <v>5.5</v>
      </c>
      <c r="I40" s="652">
        <f>((E40/G40)*100)-100</f>
        <v>-49.054545454545448</v>
      </c>
      <c r="J40" s="1">
        <f>J38*D40</f>
        <v>1857.5</v>
      </c>
    </row>
    <row r="41" spans="1:10" x14ac:dyDescent="0.25">
      <c r="A41" s="1" t="s">
        <v>713</v>
      </c>
      <c r="B41" s="4" t="s">
        <v>281</v>
      </c>
      <c r="C41" s="4" t="s">
        <v>282</v>
      </c>
      <c r="D41" s="24">
        <v>7.2999999999999995E-2</v>
      </c>
      <c r="E41" s="24">
        <v>1496</v>
      </c>
      <c r="F41" s="464">
        <f>E41*D41</f>
        <v>109.208</v>
      </c>
      <c r="G41" s="464">
        <v>1496</v>
      </c>
      <c r="H41" s="464">
        <f>G41*D41</f>
        <v>109.208</v>
      </c>
      <c r="I41" s="643">
        <f>((E41/G41)*100)-100</f>
        <v>0</v>
      </c>
      <c r="J41" s="1">
        <f>J38*D41</f>
        <v>1355.9749999999999</v>
      </c>
    </row>
    <row r="42" spans="1:10" x14ac:dyDescent="0.25">
      <c r="A42" s="1" t="s">
        <v>713</v>
      </c>
      <c r="B42" s="4" t="s">
        <v>51</v>
      </c>
      <c r="C42" s="4" t="s">
        <v>52</v>
      </c>
      <c r="D42" s="24">
        <v>7.2999999999999995E-2</v>
      </c>
      <c r="E42" s="24">
        <v>1700.46</v>
      </c>
      <c r="F42" s="464">
        <f>E42*D42</f>
        <v>124.13357999999999</v>
      </c>
      <c r="G42" s="464">
        <v>1464</v>
      </c>
      <c r="H42" s="464">
        <f>G42*D42</f>
        <v>106.872</v>
      </c>
      <c r="I42" s="644">
        <f>((E42/G42)*100)-100</f>
        <v>16.151639344262293</v>
      </c>
      <c r="J42" s="1">
        <f>J38*D42</f>
        <v>1355.9749999999999</v>
      </c>
    </row>
    <row r="43" spans="1:10" x14ac:dyDescent="0.25">
      <c r="B43" s="22"/>
      <c r="C43" s="22" t="s">
        <v>37</v>
      </c>
      <c r="D43" s="23"/>
      <c r="E43" s="23"/>
      <c r="F43" s="465">
        <f>SUM(F39,F40,F41,F42)</f>
        <v>389.90461999999997</v>
      </c>
      <c r="G43" s="466"/>
      <c r="H43" s="466">
        <f>SUM(H39:H42)</f>
        <v>358.38</v>
      </c>
      <c r="I43" s="135">
        <f>((F43/H43)*100)-100</f>
        <v>8.7964227914504107</v>
      </c>
    </row>
    <row r="46" spans="1:10" x14ac:dyDescent="0.25">
      <c r="B46" s="1825" t="s">
        <v>72</v>
      </c>
      <c r="C46" s="1825"/>
      <c r="D46" s="1749">
        <f>+F43+G24</f>
        <v>1987.120396259601</v>
      </c>
      <c r="E46" s="1749"/>
      <c r="F46" s="1749"/>
      <c r="G46" s="1749"/>
      <c r="H46" s="1749"/>
      <c r="I46" s="187"/>
    </row>
    <row r="47" spans="1:10" x14ac:dyDescent="0.25">
      <c r="B47" s="1830" t="s">
        <v>48</v>
      </c>
      <c r="C47" s="1831"/>
      <c r="D47" s="1749">
        <f>+(921.6/1000)*225</f>
        <v>207.35999999999999</v>
      </c>
      <c r="E47" s="1749"/>
      <c r="F47" s="1749"/>
      <c r="G47" s="1749"/>
      <c r="H47" s="1749"/>
      <c r="I47" s="188"/>
    </row>
    <row r="48" spans="1:10" x14ac:dyDescent="0.25">
      <c r="B48" s="1830" t="s">
        <v>74</v>
      </c>
      <c r="C48" s="1831"/>
      <c r="D48" s="1749">
        <f>+D46+D47</f>
        <v>2194.4803962596011</v>
      </c>
      <c r="E48" s="1749"/>
      <c r="F48" s="1749"/>
      <c r="G48" s="1749"/>
      <c r="H48" s="1749"/>
      <c r="I48" s="188"/>
    </row>
    <row r="49" spans="2:9" x14ac:dyDescent="0.25">
      <c r="B49" s="1825" t="s">
        <v>49</v>
      </c>
      <c r="C49" s="1825"/>
      <c r="D49" s="1749">
        <f>D48/I50</f>
        <v>3399.659792811156</v>
      </c>
      <c r="E49" s="1749"/>
      <c r="F49" s="1749"/>
      <c r="G49" s="1749"/>
      <c r="H49" s="1749"/>
      <c r="I49" s="402">
        <v>0.35449999999999998</v>
      </c>
    </row>
    <row r="50" spans="2:9" x14ac:dyDescent="0.25">
      <c r="I50" s="137">
        <f>1-I49</f>
        <v>0.64549999999999996</v>
      </c>
    </row>
  </sheetData>
  <mergeCells count="13">
    <mergeCell ref="B47:C47"/>
    <mergeCell ref="D47:H47"/>
    <mergeCell ref="B48:C48"/>
    <mergeCell ref="D48:H48"/>
    <mergeCell ref="B49:C49"/>
    <mergeCell ref="D49:H49"/>
    <mergeCell ref="B3:I3"/>
    <mergeCell ref="B24:C24"/>
    <mergeCell ref="B46:C46"/>
    <mergeCell ref="D46:H46"/>
    <mergeCell ref="D26:I26"/>
    <mergeCell ref="B26:C26"/>
    <mergeCell ref="B37:I37"/>
  </mergeCells>
  <pageMargins left="0.7" right="0.7" top="0.75" bottom="0.75" header="0.3" footer="0.3"/>
  <pageSetup scale="46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6868-0510-4741-9673-09602BF8682E}">
  <sheetPr codeName="Hoja52"/>
  <dimension ref="B2:K49"/>
  <sheetViews>
    <sheetView view="pageBreakPreview" topLeftCell="C11" zoomScale="70" zoomScaleNormal="85" zoomScaleSheetLayoutView="70" workbookViewId="0">
      <selection activeCell="H26" sqref="H26"/>
    </sheetView>
  </sheetViews>
  <sheetFormatPr baseColWidth="10" defaultColWidth="11.5703125" defaultRowHeight="13.5" x14ac:dyDescent="0.25"/>
  <cols>
    <col min="1" max="1" width="7" style="120" bestFit="1" customWidth="1"/>
    <col min="2" max="2" width="24.140625" style="120" bestFit="1" customWidth="1"/>
    <col min="3" max="3" width="58.28515625" style="120" customWidth="1"/>
    <col min="4" max="4" width="20" style="120" bestFit="1" customWidth="1"/>
    <col min="5" max="5" width="13.140625" style="120" bestFit="1" customWidth="1"/>
    <col min="6" max="7" width="13.140625" style="120" customWidth="1"/>
    <col min="8" max="8" width="17.5703125" style="120" bestFit="1" customWidth="1"/>
    <col min="9" max="9" width="12.28515625" style="120" bestFit="1" customWidth="1"/>
    <col min="10" max="16384" width="11.5703125" style="120"/>
  </cols>
  <sheetData>
    <row r="2" spans="2:11" ht="30" customHeight="1" x14ac:dyDescent="0.25">
      <c r="B2" s="1738" t="s">
        <v>283</v>
      </c>
      <c r="C2" s="1738"/>
      <c r="D2" s="1738"/>
      <c r="E2" s="1738"/>
      <c r="F2" s="1738"/>
      <c r="G2" s="1738"/>
      <c r="H2" s="1738"/>
      <c r="I2" s="1738"/>
    </row>
    <row r="4" spans="2:11" s="3" customFormat="1" ht="25.5" x14ac:dyDescent="0.25">
      <c r="B4" s="2" t="s">
        <v>0</v>
      </c>
      <c r="C4" s="2" t="s">
        <v>1</v>
      </c>
      <c r="D4" s="2" t="s">
        <v>2</v>
      </c>
      <c r="E4" s="2" t="s">
        <v>3</v>
      </c>
      <c r="F4" s="183" t="s">
        <v>628</v>
      </c>
      <c r="G4" s="149" t="s">
        <v>627</v>
      </c>
      <c r="H4" s="118" t="s">
        <v>536</v>
      </c>
      <c r="I4" s="118" t="s">
        <v>512</v>
      </c>
      <c r="J4" s="118" t="s">
        <v>3</v>
      </c>
      <c r="K4" s="3">
        <v>100</v>
      </c>
    </row>
    <row r="5" spans="2:11" ht="16.5" x14ac:dyDescent="0.25">
      <c r="B5" s="246" t="s">
        <v>6</v>
      </c>
      <c r="C5" s="246" t="s">
        <v>77</v>
      </c>
      <c r="D5" s="247">
        <v>52.155894629348708</v>
      </c>
      <c r="E5" s="248">
        <f>(D5*100)/$D$24</f>
        <v>52.349180678003577</v>
      </c>
      <c r="F5" s="72">
        <v>7012.5</v>
      </c>
      <c r="G5" s="248">
        <f>F5*D5</f>
        <v>365743.21108830784</v>
      </c>
      <c r="H5" s="249">
        <v>6993</v>
      </c>
      <c r="I5" s="249">
        <v>1000.3712473231018</v>
      </c>
      <c r="J5" s="653">
        <f>((F5/H5)*100)-100</f>
        <v>0.27885027885028535</v>
      </c>
      <c r="K5" s="119">
        <f>$K$4*E5%</f>
        <v>52.349180678003584</v>
      </c>
    </row>
    <row r="6" spans="2:11" x14ac:dyDescent="0.25">
      <c r="B6" s="231" t="s">
        <v>4</v>
      </c>
      <c r="C6" s="231" t="s">
        <v>53</v>
      </c>
      <c r="D6" s="232">
        <v>22.059625432517379</v>
      </c>
      <c r="E6" s="248">
        <f t="shared" ref="E6:E22" si="0">(D6*100)/$D$24</f>
        <v>22.141376840770636</v>
      </c>
      <c r="F6" s="248">
        <v>7</v>
      </c>
      <c r="G6" s="248">
        <f t="shared" ref="G6:G22" si="1">F6*D6</f>
        <v>154.41737802762165</v>
      </c>
      <c r="H6" s="234">
        <v>7</v>
      </c>
      <c r="I6" s="249">
        <v>0.40824094316052484</v>
      </c>
      <c r="J6" s="248">
        <f t="shared" ref="J6:J22" si="2">((F6/H6)*100)-100</f>
        <v>0</v>
      </c>
      <c r="K6" s="119">
        <f t="shared" ref="K6:K22" si="3">$K$4*E6%</f>
        <v>22.141376840770636</v>
      </c>
    </row>
    <row r="7" spans="2:11" x14ac:dyDescent="0.25">
      <c r="B7" s="231" t="s">
        <v>7</v>
      </c>
      <c r="C7" s="231" t="s">
        <v>58</v>
      </c>
      <c r="D7" s="232">
        <v>8.6751335970573944</v>
      </c>
      <c r="E7" s="248">
        <f t="shared" si="0"/>
        <v>8.7072830272693498</v>
      </c>
      <c r="F7" s="106">
        <v>7022.73</v>
      </c>
      <c r="G7" s="248">
        <f t="shared" si="1"/>
        <v>60923.120966062874</v>
      </c>
      <c r="H7" s="234">
        <v>7029</v>
      </c>
      <c r="I7" s="249">
        <v>152.47111180512186</v>
      </c>
      <c r="J7" s="470">
        <f t="shared" si="2"/>
        <v>-8.9201877934272034E-2</v>
      </c>
      <c r="K7" s="119">
        <f t="shared" si="3"/>
        <v>8.7072830272693498</v>
      </c>
    </row>
    <row r="8" spans="2:11" ht="16.5" x14ac:dyDescent="0.25">
      <c r="B8" s="231" t="s">
        <v>9</v>
      </c>
      <c r="C8" s="231" t="s">
        <v>10</v>
      </c>
      <c r="D8" s="232">
        <v>4.9572191983185112</v>
      </c>
      <c r="E8" s="248">
        <f t="shared" si="0"/>
        <v>4.975590301296771</v>
      </c>
      <c r="F8" s="184">
        <v>6316.85</v>
      </c>
      <c r="G8" s="248">
        <f t="shared" si="1"/>
        <v>31314.01009289829</v>
      </c>
      <c r="H8" s="234">
        <v>5975</v>
      </c>
      <c r="I8" s="249">
        <v>75.50163960024986</v>
      </c>
      <c r="J8" s="653">
        <f t="shared" si="2"/>
        <v>5.7213389121338878</v>
      </c>
      <c r="K8" s="119">
        <f t="shared" si="3"/>
        <v>4.975590301296771</v>
      </c>
    </row>
    <row r="9" spans="2:11" x14ac:dyDescent="0.25">
      <c r="B9" s="231" t="s">
        <v>5</v>
      </c>
      <c r="C9" s="231" t="s">
        <v>55</v>
      </c>
      <c r="D9" s="232">
        <v>4.9572191983185112</v>
      </c>
      <c r="E9" s="248">
        <f t="shared" si="0"/>
        <v>4.975590301296771</v>
      </c>
      <c r="F9" s="106">
        <v>5420</v>
      </c>
      <c r="G9" s="248">
        <f t="shared" si="1"/>
        <v>26868.128054886332</v>
      </c>
      <c r="H9" s="234">
        <v>5448</v>
      </c>
      <c r="I9" s="249">
        <v>71.465099937539051</v>
      </c>
      <c r="J9" s="470">
        <f t="shared" si="2"/>
        <v>-0.51395007342144083</v>
      </c>
      <c r="K9" s="119">
        <f t="shared" si="3"/>
        <v>4.975590301296771</v>
      </c>
    </row>
    <row r="10" spans="2:11" ht="16.5" x14ac:dyDescent="0.25">
      <c r="B10" s="231" t="s">
        <v>11</v>
      </c>
      <c r="C10" s="231" t="s">
        <v>12</v>
      </c>
      <c r="D10" s="232">
        <v>2.9743315189911064</v>
      </c>
      <c r="E10" s="248">
        <f t="shared" si="0"/>
        <v>2.9853541807780624</v>
      </c>
      <c r="F10" s="72">
        <v>16768.689999999999</v>
      </c>
      <c r="G10" s="248">
        <f t="shared" si="1"/>
        <v>49875.64319919097</v>
      </c>
      <c r="H10" s="250">
        <v>16084</v>
      </c>
      <c r="I10" s="249">
        <v>122.96767645221739</v>
      </c>
      <c r="J10" s="653">
        <f t="shared" si="2"/>
        <v>4.2569634419298552</v>
      </c>
      <c r="K10" s="119">
        <f t="shared" si="3"/>
        <v>2.9853541807780624</v>
      </c>
    </row>
    <row r="11" spans="2:11" x14ac:dyDescent="0.25">
      <c r="B11" s="231" t="s">
        <v>17</v>
      </c>
      <c r="C11" s="231" t="s">
        <v>18</v>
      </c>
      <c r="D11" s="232">
        <v>0.79315507173096156</v>
      </c>
      <c r="E11" s="248">
        <f t="shared" si="0"/>
        <v>0.7960944482074831</v>
      </c>
      <c r="F11" s="248">
        <v>878</v>
      </c>
      <c r="G11" s="248">
        <f t="shared" si="1"/>
        <v>696.39015297978426</v>
      </c>
      <c r="H11" s="234">
        <v>878</v>
      </c>
      <c r="I11" s="249">
        <v>1.8410814669403053</v>
      </c>
      <c r="J11" s="248">
        <f t="shared" si="2"/>
        <v>0</v>
      </c>
      <c r="K11" s="119">
        <f t="shared" si="3"/>
        <v>0.7960944482074831</v>
      </c>
    </row>
    <row r="12" spans="2:11" x14ac:dyDescent="0.25">
      <c r="B12" s="231" t="s">
        <v>19</v>
      </c>
      <c r="C12" s="231" t="s">
        <v>20</v>
      </c>
      <c r="D12" s="232">
        <v>0.3</v>
      </c>
      <c r="E12" s="248">
        <f t="shared" si="0"/>
        <v>0.30111177873581774</v>
      </c>
      <c r="F12" s="248">
        <v>58500</v>
      </c>
      <c r="G12" s="248">
        <f t="shared" si="1"/>
        <v>17550</v>
      </c>
      <c r="H12" s="234">
        <v>27308</v>
      </c>
      <c r="I12" s="249">
        <v>48.315020745962357</v>
      </c>
      <c r="J12" s="248">
        <f t="shared" si="2"/>
        <v>114.22293833308919</v>
      </c>
      <c r="K12" s="119">
        <f t="shared" si="3"/>
        <v>0.30111177873581774</v>
      </c>
    </row>
    <row r="13" spans="2:11" x14ac:dyDescent="0.25">
      <c r="B13" s="231" t="s">
        <v>21</v>
      </c>
      <c r="C13" s="231" t="s">
        <v>22</v>
      </c>
      <c r="D13" s="232">
        <v>0.59486630379822136</v>
      </c>
      <c r="E13" s="248">
        <f t="shared" si="0"/>
        <v>0.59707083615561263</v>
      </c>
      <c r="F13" s="96">
        <v>10412</v>
      </c>
      <c r="G13" s="248">
        <f t="shared" si="1"/>
        <v>6193.7479551470806</v>
      </c>
      <c r="H13" s="234">
        <v>10412</v>
      </c>
      <c r="I13" s="249">
        <v>16.374721156420097</v>
      </c>
      <c r="J13" s="248">
        <f t="shared" si="2"/>
        <v>0</v>
      </c>
      <c r="K13" s="119">
        <f t="shared" si="3"/>
        <v>0.59707083615561263</v>
      </c>
    </row>
    <row r="14" spans="2:11" x14ac:dyDescent="0.25">
      <c r="B14" s="231" t="s">
        <v>23</v>
      </c>
      <c r="C14" s="231" t="s">
        <v>24</v>
      </c>
      <c r="D14" s="232">
        <v>0.51555079662512515</v>
      </c>
      <c r="E14" s="248">
        <f t="shared" si="0"/>
        <v>0.51746139133486413</v>
      </c>
      <c r="F14" s="233">
        <v>22615.13</v>
      </c>
      <c r="G14" s="248">
        <f t="shared" si="1"/>
        <v>11659.248287280767</v>
      </c>
      <c r="H14" s="234">
        <v>20854</v>
      </c>
      <c r="I14" s="249">
        <v>26.736361202819676</v>
      </c>
      <c r="J14" s="653">
        <f t="shared" si="2"/>
        <v>8.4450465138582729</v>
      </c>
      <c r="K14" s="119">
        <f t="shared" si="3"/>
        <v>0.51746139133486413</v>
      </c>
    </row>
    <row r="15" spans="2:11" ht="16.5" x14ac:dyDescent="0.25">
      <c r="B15" s="154" t="s">
        <v>25</v>
      </c>
      <c r="C15" s="154" t="s">
        <v>26</v>
      </c>
      <c r="D15" s="143">
        <v>0.49572191983185115</v>
      </c>
      <c r="E15" s="248">
        <f t="shared" si="0"/>
        <v>0.49755903012967717</v>
      </c>
      <c r="F15" s="72">
        <v>61143.15</v>
      </c>
      <c r="G15" s="248">
        <f t="shared" si="1"/>
        <v>30309.999702566849</v>
      </c>
      <c r="H15" s="95">
        <v>59418</v>
      </c>
      <c r="I15" s="249">
        <v>77.620822923173037</v>
      </c>
      <c r="J15" s="653">
        <f t="shared" si="2"/>
        <v>2.9034131071392579</v>
      </c>
      <c r="K15" s="119">
        <f t="shared" si="3"/>
        <v>0.49755903012967717</v>
      </c>
    </row>
    <row r="16" spans="2:11" x14ac:dyDescent="0.25">
      <c r="B16" s="154" t="s">
        <v>15</v>
      </c>
      <c r="C16" s="154" t="s">
        <v>16</v>
      </c>
      <c r="D16" s="143">
        <v>0.49572191983185115</v>
      </c>
      <c r="E16" s="248">
        <f t="shared" si="0"/>
        <v>0.49755903012967717</v>
      </c>
      <c r="F16" s="106">
        <v>29262</v>
      </c>
      <c r="G16" s="248">
        <f t="shared" si="1"/>
        <v>14505.814818119628</v>
      </c>
      <c r="H16" s="95">
        <v>28967</v>
      </c>
      <c r="I16" s="249">
        <v>38.349747925403776</v>
      </c>
      <c r="J16" s="653">
        <f t="shared" si="2"/>
        <v>1.0184002485587058</v>
      </c>
      <c r="K16" s="119">
        <f t="shared" si="3"/>
        <v>0.49755903012967717</v>
      </c>
    </row>
    <row r="17" spans="2:11" x14ac:dyDescent="0.25">
      <c r="B17" s="154" t="s">
        <v>80</v>
      </c>
      <c r="C17" s="154" t="s">
        <v>81</v>
      </c>
      <c r="D17" s="143">
        <v>0.27264705590751809</v>
      </c>
      <c r="E17" s="248">
        <f t="shared" si="0"/>
        <v>0.27365746657132239</v>
      </c>
      <c r="F17" s="106">
        <v>21400</v>
      </c>
      <c r="G17" s="248">
        <f t="shared" si="1"/>
        <v>5834.6469964208873</v>
      </c>
      <c r="H17" s="250">
        <v>21400</v>
      </c>
      <c r="I17" s="249">
        <v>14.884740006246099</v>
      </c>
      <c r="J17" s="248">
        <f t="shared" si="2"/>
        <v>0</v>
      </c>
      <c r="K17" s="119">
        <f t="shared" si="3"/>
        <v>0.27365746657132239</v>
      </c>
    </row>
    <row r="18" spans="2:11" x14ac:dyDescent="0.25">
      <c r="B18" s="154" t="s">
        <v>29</v>
      </c>
      <c r="C18" s="154" t="s">
        <v>30</v>
      </c>
      <c r="D18" s="143">
        <v>0.16557112122383827</v>
      </c>
      <c r="E18" s="248">
        <f t="shared" si="0"/>
        <v>0.16618471606331217</v>
      </c>
      <c r="F18" s="248">
        <v>2500</v>
      </c>
      <c r="G18" s="248">
        <f t="shared" si="1"/>
        <v>413.92780305959565</v>
      </c>
      <c r="H18" s="250">
        <v>2500</v>
      </c>
      <c r="I18" s="249">
        <v>1.1179589765325246</v>
      </c>
      <c r="J18" s="248">
        <f t="shared" si="2"/>
        <v>0</v>
      </c>
      <c r="K18" s="119">
        <f t="shared" si="3"/>
        <v>0.16618471606331217</v>
      </c>
    </row>
    <row r="19" spans="2:11" ht="16.5" x14ac:dyDescent="0.25">
      <c r="B19" s="154" t="s">
        <v>13</v>
      </c>
      <c r="C19" s="154" t="s">
        <v>14</v>
      </c>
      <c r="D19" s="143">
        <v>0.10410160316468875</v>
      </c>
      <c r="E19" s="248">
        <f t="shared" si="0"/>
        <v>0.10448739632723222</v>
      </c>
      <c r="F19" s="184">
        <v>34415.230000000003</v>
      </c>
      <c r="G19" s="248">
        <f t="shared" si="1"/>
        <v>3582.6806162814914</v>
      </c>
      <c r="H19" s="95">
        <v>33158</v>
      </c>
      <c r="I19" s="249">
        <v>8.5653536851967544</v>
      </c>
      <c r="J19" s="653">
        <f t="shared" si="2"/>
        <v>3.7916339948127273</v>
      </c>
      <c r="K19" s="119">
        <f t="shared" si="3"/>
        <v>0.10448739632723221</v>
      </c>
    </row>
    <row r="20" spans="2:11" x14ac:dyDescent="0.25">
      <c r="B20" s="154" t="s">
        <v>31</v>
      </c>
      <c r="C20" s="154" t="s">
        <v>32</v>
      </c>
      <c r="D20" s="143">
        <v>5.2546523502176208E-2</v>
      </c>
      <c r="E20" s="248">
        <f t="shared" si="0"/>
        <v>5.2741257193745769E-2</v>
      </c>
      <c r="F20" s="95">
        <v>121899</v>
      </c>
      <c r="G20" s="248">
        <f t="shared" si="1"/>
        <v>6405.3686683917776</v>
      </c>
      <c r="H20" s="95">
        <v>121899</v>
      </c>
      <c r="I20" s="249">
        <v>16.934193417060769</v>
      </c>
      <c r="J20" s="248">
        <f t="shared" si="2"/>
        <v>0</v>
      </c>
      <c r="K20" s="119">
        <f t="shared" si="3"/>
        <v>5.2741257193745769E-2</v>
      </c>
    </row>
    <row r="21" spans="2:11" x14ac:dyDescent="0.25">
      <c r="B21" s="154" t="s">
        <v>33</v>
      </c>
      <c r="C21" s="154" t="s">
        <v>34</v>
      </c>
      <c r="D21" s="143">
        <v>4.8085026223689549E-2</v>
      </c>
      <c r="E21" s="248">
        <f t="shared" si="0"/>
        <v>4.826322592257868E-2</v>
      </c>
      <c r="F21" s="234">
        <v>26800</v>
      </c>
      <c r="G21" s="248">
        <f t="shared" si="1"/>
        <v>1288.6787027948799</v>
      </c>
      <c r="H21" s="234">
        <v>26800</v>
      </c>
      <c r="I21" s="249">
        <v>3.4069443205139649</v>
      </c>
      <c r="J21" s="248">
        <f t="shared" si="2"/>
        <v>0</v>
      </c>
      <c r="K21" s="119">
        <f t="shared" si="3"/>
        <v>4.826322592257868E-2</v>
      </c>
    </row>
    <row r="22" spans="2:11" x14ac:dyDescent="0.25">
      <c r="B22" s="154" t="s">
        <v>35</v>
      </c>
      <c r="C22" s="154" t="s">
        <v>36</v>
      </c>
      <c r="D22" s="143">
        <v>1.3384491835459983E-2</v>
      </c>
      <c r="E22" s="248">
        <f t="shared" si="0"/>
        <v>1.3434093813501285E-2</v>
      </c>
      <c r="F22" s="106">
        <v>169210</v>
      </c>
      <c r="G22" s="248">
        <f t="shared" si="1"/>
        <v>2264.7898634781836</v>
      </c>
      <c r="H22" s="95">
        <v>169210</v>
      </c>
      <c r="I22" s="249">
        <v>5.987538201570449</v>
      </c>
      <c r="J22" s="248">
        <f t="shared" si="2"/>
        <v>0</v>
      </c>
      <c r="K22" s="119">
        <f t="shared" si="3"/>
        <v>1.3434093813501287E-2</v>
      </c>
    </row>
    <row r="23" spans="2:11" hidden="1" x14ac:dyDescent="0.25">
      <c r="B23" s="236"/>
      <c r="C23" s="236"/>
      <c r="D23" s="236"/>
      <c r="E23" s="236"/>
      <c r="F23" s="236"/>
      <c r="G23" s="236"/>
      <c r="H23" s="236"/>
      <c r="I23" s="236"/>
      <c r="J23" s="236"/>
    </row>
    <row r="24" spans="2:11" x14ac:dyDescent="0.25">
      <c r="B24" s="1832" t="s">
        <v>37</v>
      </c>
      <c r="C24" s="1832"/>
      <c r="D24" s="251">
        <f>SUM(D5:D22)</f>
        <v>99.630775408226995</v>
      </c>
      <c r="E24" s="239">
        <f>SUM(E5:E22)</f>
        <v>100</v>
      </c>
      <c r="F24" s="239"/>
      <c r="G24" s="471">
        <f>SUM(G5:G22)</f>
        <v>635583.82434589486</v>
      </c>
      <c r="H24" s="252"/>
      <c r="I24" s="253">
        <f>SUM(I5:I22)</f>
        <v>1683.3195000892299</v>
      </c>
      <c r="J24" s="472">
        <f>((G24/I24)*100)-100</f>
        <v>37657.765196221138</v>
      </c>
    </row>
    <row r="25" spans="2:11" x14ac:dyDescent="0.25">
      <c r="B25" s="240"/>
      <c r="C25" s="240"/>
      <c r="D25" s="254"/>
      <c r="E25" s="242"/>
      <c r="F25" s="242"/>
      <c r="G25" s="242">
        <v>18275</v>
      </c>
      <c r="H25" s="120" t="s">
        <v>630</v>
      </c>
      <c r="I25" s="243"/>
    </row>
    <row r="26" spans="2:11" ht="25.5" x14ac:dyDescent="0.25">
      <c r="B26" s="1833" t="s">
        <v>50</v>
      </c>
      <c r="C26" s="1834"/>
      <c r="D26" s="195"/>
      <c r="E26" s="195"/>
      <c r="F26" s="195"/>
      <c r="G26" s="242">
        <v>17550</v>
      </c>
      <c r="H26" s="120" t="s">
        <v>631</v>
      </c>
      <c r="I26" s="195"/>
    </row>
    <row r="27" spans="2:11" x14ac:dyDescent="0.25">
      <c r="B27" s="162" t="s">
        <v>38</v>
      </c>
      <c r="C27" s="163" t="s">
        <v>167</v>
      </c>
    </row>
    <row r="28" spans="2:11" x14ac:dyDescent="0.25">
      <c r="B28" s="162" t="s">
        <v>39</v>
      </c>
      <c r="C28" s="163" t="s">
        <v>284</v>
      </c>
    </row>
    <row r="29" spans="2:11" x14ac:dyDescent="0.25">
      <c r="B29" s="162" t="s">
        <v>40</v>
      </c>
      <c r="C29" s="163">
        <v>225</v>
      </c>
    </row>
    <row r="30" spans="2:11" x14ac:dyDescent="0.25">
      <c r="B30" s="162" t="s">
        <v>41</v>
      </c>
      <c r="C30" s="163">
        <v>0</v>
      </c>
    </row>
    <row r="31" spans="2:11" x14ac:dyDescent="0.25">
      <c r="B31" s="162" t="s">
        <v>42</v>
      </c>
      <c r="C31" s="163">
        <v>9</v>
      </c>
      <c r="I31" s="120" t="s">
        <v>85</v>
      </c>
    </row>
    <row r="32" spans="2:11" x14ac:dyDescent="0.25">
      <c r="B32" s="162" t="s">
        <v>43</v>
      </c>
      <c r="C32" s="163">
        <v>2</v>
      </c>
    </row>
    <row r="33" spans="2:9" x14ac:dyDescent="0.25">
      <c r="B33" s="162" t="s">
        <v>44</v>
      </c>
      <c r="C33" s="163">
        <v>2</v>
      </c>
    </row>
    <row r="34" spans="2:9" x14ac:dyDescent="0.25">
      <c r="B34" s="162" t="s">
        <v>45</v>
      </c>
      <c r="C34" s="163">
        <v>4.5</v>
      </c>
    </row>
    <row r="35" spans="2:9" x14ac:dyDescent="0.25">
      <c r="B35" s="162" t="s">
        <v>46</v>
      </c>
      <c r="C35" s="163">
        <f>C34+C33+C32+C31</f>
        <v>17.5</v>
      </c>
    </row>
    <row r="37" spans="2:9" ht="25.5" x14ac:dyDescent="0.25">
      <c r="B37" s="1802" t="s">
        <v>47</v>
      </c>
      <c r="C37" s="1803"/>
      <c r="D37" s="1803"/>
      <c r="E37" s="1803"/>
      <c r="F37" s="1803"/>
      <c r="G37" s="1803"/>
      <c r="H37" s="1803"/>
      <c r="I37" s="1803"/>
    </row>
    <row r="38" spans="2:9" ht="25.5" x14ac:dyDescent="0.25">
      <c r="B38" s="132" t="s">
        <v>0</v>
      </c>
      <c r="C38" s="132" t="s">
        <v>1</v>
      </c>
      <c r="D38" s="132" t="s">
        <v>2</v>
      </c>
      <c r="E38" s="200" t="s">
        <v>628</v>
      </c>
      <c r="F38" s="201" t="s">
        <v>627</v>
      </c>
      <c r="G38" s="144" t="s">
        <v>536</v>
      </c>
      <c r="H38" s="144" t="s">
        <v>512</v>
      </c>
      <c r="I38" s="144" t="s">
        <v>3</v>
      </c>
    </row>
    <row r="39" spans="2:9" x14ac:dyDescent="0.25">
      <c r="B39" s="165" t="s">
        <v>125</v>
      </c>
      <c r="C39" s="165" t="s">
        <v>175</v>
      </c>
      <c r="D39" s="166">
        <v>0.99</v>
      </c>
      <c r="E39" s="167">
        <v>208.17</v>
      </c>
      <c r="F39" s="167">
        <f>E39*D39</f>
        <v>206.08829999999998</v>
      </c>
      <c r="G39" s="167">
        <v>222</v>
      </c>
      <c r="H39" s="245">
        <f>G39*D39</f>
        <v>219.78</v>
      </c>
      <c r="I39" s="390">
        <f>((E39/G39)*100)-100</f>
        <v>-6.2297297297297405</v>
      </c>
    </row>
    <row r="40" spans="2:9" x14ac:dyDescent="0.25">
      <c r="B40" s="165" t="s">
        <v>285</v>
      </c>
      <c r="C40" s="165" t="s">
        <v>286</v>
      </c>
      <c r="D40" s="166">
        <v>7.2999999999999995E-2</v>
      </c>
      <c r="E40" s="167">
        <v>1519</v>
      </c>
      <c r="F40" s="167">
        <f>E40*D40</f>
        <v>110.88699999999999</v>
      </c>
      <c r="G40" s="167">
        <v>1519</v>
      </c>
      <c r="H40" s="245">
        <f>G40*D40</f>
        <v>110.88699999999999</v>
      </c>
      <c r="I40" s="270">
        <f>((E40/G40)*100)-100</f>
        <v>0</v>
      </c>
    </row>
    <row r="41" spans="2:9" x14ac:dyDescent="0.25">
      <c r="B41" s="165" t="s">
        <v>51</v>
      </c>
      <c r="C41" s="165" t="s">
        <v>52</v>
      </c>
      <c r="D41" s="166">
        <v>7.2999999999999995E-2</v>
      </c>
      <c r="E41" s="24">
        <v>1700.46</v>
      </c>
      <c r="F41" s="167">
        <f>E41*D41</f>
        <v>124.13357999999999</v>
      </c>
      <c r="G41" s="167">
        <v>1464</v>
      </c>
      <c r="H41" s="245">
        <f>G41*D41</f>
        <v>106.872</v>
      </c>
      <c r="I41" s="645">
        <f>((E41/G41)*100)-100</f>
        <v>16.151639344262293</v>
      </c>
    </row>
    <row r="42" spans="2:9" x14ac:dyDescent="0.25">
      <c r="B42" s="132"/>
      <c r="C42" s="132" t="s">
        <v>37</v>
      </c>
      <c r="D42" s="255"/>
      <c r="E42" s="133"/>
      <c r="F42" s="134">
        <f>SUM(F39:F41)</f>
        <v>441.10887999999994</v>
      </c>
      <c r="G42" s="133"/>
      <c r="H42" s="133">
        <f>SUM(H39:H41)</f>
        <v>437.53899999999999</v>
      </c>
      <c r="I42" s="134">
        <f>((F42/H42)*100)-100</f>
        <v>0.81589983978570046</v>
      </c>
    </row>
    <row r="45" spans="2:9" x14ac:dyDescent="0.25">
      <c r="B45" s="1798" t="s">
        <v>72</v>
      </c>
      <c r="C45" s="1798"/>
      <c r="D45" s="1799">
        <f>+F42+G24</f>
        <v>636024.93322589481</v>
      </c>
      <c r="E45" s="1799"/>
      <c r="F45" s="1799"/>
      <c r="G45" s="1799"/>
      <c r="H45" s="1799"/>
      <c r="I45" s="262"/>
    </row>
    <row r="46" spans="2:9" x14ac:dyDescent="0.25">
      <c r="B46" s="1800" t="s">
        <v>48</v>
      </c>
      <c r="C46" s="1801"/>
      <c r="D46" s="1799">
        <f>+(921.6/1000)*225</f>
        <v>207.35999999999999</v>
      </c>
      <c r="E46" s="1799"/>
      <c r="F46" s="1799"/>
      <c r="G46" s="1799"/>
      <c r="H46" s="1799"/>
      <c r="I46" s="218"/>
    </row>
    <row r="47" spans="2:9" x14ac:dyDescent="0.25">
      <c r="B47" s="1800" t="s">
        <v>73</v>
      </c>
      <c r="C47" s="1801"/>
      <c r="D47" s="1799">
        <f>+D45+D46</f>
        <v>636232.2932258948</v>
      </c>
      <c r="E47" s="1799"/>
      <c r="F47" s="1799"/>
      <c r="G47" s="1799"/>
      <c r="H47" s="1799"/>
      <c r="I47" s="218"/>
    </row>
    <row r="48" spans="2:9" x14ac:dyDescent="0.25">
      <c r="B48" s="1798" t="s">
        <v>49</v>
      </c>
      <c r="C48" s="1798"/>
      <c r="D48" s="1799">
        <f>D47/I49</f>
        <v>955303.74358242471</v>
      </c>
      <c r="E48" s="1799"/>
      <c r="F48" s="1799"/>
      <c r="G48" s="1799"/>
      <c r="H48" s="1799"/>
      <c r="I48" s="654">
        <v>0.33400000000000002</v>
      </c>
    </row>
    <row r="49" spans="9:9" x14ac:dyDescent="0.25">
      <c r="I49" s="168">
        <f>1-I48</f>
        <v>0.66599999999999993</v>
      </c>
    </row>
  </sheetData>
  <mergeCells count="12">
    <mergeCell ref="B46:C46"/>
    <mergeCell ref="D46:H46"/>
    <mergeCell ref="B47:C47"/>
    <mergeCell ref="D47:H47"/>
    <mergeCell ref="B48:C48"/>
    <mergeCell ref="D48:H48"/>
    <mergeCell ref="B2:I2"/>
    <mergeCell ref="B24:C24"/>
    <mergeCell ref="B26:C26"/>
    <mergeCell ref="B37:I37"/>
    <mergeCell ref="B45:C45"/>
    <mergeCell ref="D45:H4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0835-0EC9-414A-914F-1E6B1FF48B7E}">
  <sheetPr codeName="Hoja53"/>
  <dimension ref="B2:J34"/>
  <sheetViews>
    <sheetView zoomScale="70" zoomScaleNormal="70" workbookViewId="0">
      <selection activeCell="F35" sqref="F35"/>
    </sheetView>
  </sheetViews>
  <sheetFormatPr baseColWidth="10" defaultColWidth="11.5703125" defaultRowHeight="13.5" x14ac:dyDescent="0.25"/>
  <cols>
    <col min="1" max="1" width="7" style="1" bestFit="1" customWidth="1"/>
    <col min="2" max="2" width="24.140625" style="1" bestFit="1" customWidth="1"/>
    <col min="3" max="3" width="58.28515625" style="1" customWidth="1"/>
    <col min="4" max="4" width="20" style="1" bestFit="1" customWidth="1"/>
    <col min="5" max="5" width="13.140625" style="1" bestFit="1" customWidth="1"/>
    <col min="6" max="7" width="13.140625" style="1" customWidth="1"/>
    <col min="8" max="8" width="11.7109375" style="1" bestFit="1" customWidth="1"/>
    <col min="9" max="9" width="12.28515625" style="1" bestFit="1" customWidth="1"/>
    <col min="10" max="16384" width="11.5703125" style="1"/>
  </cols>
  <sheetData>
    <row r="2" spans="2:10" ht="30" customHeight="1" x14ac:dyDescent="0.35">
      <c r="B2" s="1769" t="s">
        <v>483</v>
      </c>
      <c r="C2" s="1769"/>
      <c r="D2" s="1769"/>
      <c r="E2" s="1769"/>
      <c r="F2" s="1769"/>
      <c r="G2" s="1769"/>
      <c r="H2" s="1769"/>
      <c r="I2" s="1769"/>
    </row>
    <row r="4" spans="2:10" s="3" customFormat="1" ht="25.5" x14ac:dyDescent="0.25">
      <c r="B4" s="2" t="s">
        <v>0</v>
      </c>
      <c r="C4" s="2" t="s">
        <v>1</v>
      </c>
      <c r="D4" s="2" t="s">
        <v>2</v>
      </c>
      <c r="E4" s="2" t="s">
        <v>3</v>
      </c>
      <c r="F4" s="183" t="s">
        <v>319</v>
      </c>
      <c r="G4" s="149" t="s">
        <v>307</v>
      </c>
      <c r="H4" s="118" t="s">
        <v>338</v>
      </c>
      <c r="I4" s="256" t="s">
        <v>308</v>
      </c>
      <c r="J4" s="118" t="s">
        <v>3</v>
      </c>
    </row>
    <row r="5" spans="2:10" s="112" customFormat="1" x14ac:dyDescent="0.25">
      <c r="B5" s="108" t="s">
        <v>288</v>
      </c>
      <c r="C5" s="108" t="s">
        <v>289</v>
      </c>
      <c r="D5" s="109">
        <v>1</v>
      </c>
      <c r="E5" s="110">
        <f>(D5*100)/$D$9</f>
        <v>33.333333333333336</v>
      </c>
      <c r="F5" s="110">
        <v>2311</v>
      </c>
      <c r="G5" s="110">
        <f>F5*D5</f>
        <v>2311</v>
      </c>
      <c r="H5" s="111">
        <v>2275</v>
      </c>
      <c r="I5" s="111">
        <f>H5*D5</f>
        <v>2275</v>
      </c>
      <c r="J5" s="110">
        <f>((F5/H5)*100)-100</f>
        <v>1.5824175824175768</v>
      </c>
    </row>
    <row r="6" spans="2:10" s="112" customFormat="1" x14ac:dyDescent="0.25">
      <c r="B6" s="113">
        <v>30017</v>
      </c>
      <c r="C6" s="113" t="s">
        <v>290</v>
      </c>
      <c r="D6" s="109">
        <v>1</v>
      </c>
      <c r="E6" s="110">
        <f>(D6*100)/$D$9</f>
        <v>33.333333333333336</v>
      </c>
      <c r="F6" s="110">
        <v>1347</v>
      </c>
      <c r="G6" s="110">
        <f>F6*D6</f>
        <v>1347</v>
      </c>
      <c r="H6" s="114">
        <v>1342</v>
      </c>
      <c r="I6" s="111">
        <f>H6*D6</f>
        <v>1342</v>
      </c>
      <c r="J6" s="110">
        <f>((F6/H6)*100)-100</f>
        <v>0.37257824143071616</v>
      </c>
    </row>
    <row r="7" spans="2:10" s="112" customFormat="1" x14ac:dyDescent="0.25">
      <c r="B7" s="113" t="s">
        <v>291</v>
      </c>
      <c r="C7" s="113" t="s">
        <v>292</v>
      </c>
      <c r="D7" s="109">
        <v>1</v>
      </c>
      <c r="E7" s="110">
        <f>(D7*100)/$D$9</f>
        <v>33.333333333333336</v>
      </c>
      <c r="F7" s="110">
        <v>2095</v>
      </c>
      <c r="G7" s="110">
        <f>F7*D7</f>
        <v>2095</v>
      </c>
      <c r="H7" s="114">
        <v>2057</v>
      </c>
      <c r="I7" s="111">
        <f>H7*D7</f>
        <v>2057</v>
      </c>
      <c r="J7" s="110">
        <f>((F7/H7)*100)-100</f>
        <v>1.8473505104521024</v>
      </c>
    </row>
    <row r="8" spans="2:10" hidden="1" x14ac:dyDescent="0.25">
      <c r="B8" s="11"/>
      <c r="C8" s="11"/>
      <c r="D8" s="11"/>
      <c r="E8" s="11"/>
      <c r="F8" s="11"/>
      <c r="G8" s="11"/>
      <c r="H8" s="11"/>
      <c r="I8" s="11"/>
      <c r="J8" s="11"/>
    </row>
    <row r="9" spans="2:10" x14ac:dyDescent="0.25">
      <c r="B9" s="1824" t="s">
        <v>37</v>
      </c>
      <c r="C9" s="1824"/>
      <c r="D9" s="12">
        <f>SUM(D5:D7)</f>
        <v>3</v>
      </c>
      <c r="E9" s="13">
        <f>SUM(E5:E7)</f>
        <v>100</v>
      </c>
      <c r="F9" s="13"/>
      <c r="G9" s="210">
        <f>SUM(G5:G7)</f>
        <v>5753</v>
      </c>
      <c r="H9" s="14"/>
      <c r="I9" s="15">
        <f>SUM(I5:I7)</f>
        <v>5674</v>
      </c>
      <c r="J9" s="13">
        <f>((G9/I9)*100)-100</f>
        <v>1.3923158265773736</v>
      </c>
    </row>
    <row r="10" spans="2:10" x14ac:dyDescent="0.25">
      <c r="B10" s="16"/>
      <c r="C10" s="16"/>
      <c r="D10" s="17"/>
      <c r="E10" s="18"/>
      <c r="F10" s="18"/>
      <c r="G10" s="18"/>
      <c r="I10" s="19"/>
    </row>
    <row r="11" spans="2:10" ht="25.5" x14ac:dyDescent="0.35">
      <c r="B11" s="1827" t="s">
        <v>50</v>
      </c>
      <c r="C11" s="1828"/>
      <c r="D11" s="91"/>
      <c r="E11" s="91"/>
      <c r="F11" s="91"/>
      <c r="G11" s="91"/>
      <c r="H11" s="91"/>
      <c r="I11" s="91"/>
    </row>
    <row r="12" spans="2:10" x14ac:dyDescent="0.25">
      <c r="B12" s="20" t="s">
        <v>38</v>
      </c>
      <c r="C12" s="21" t="s">
        <v>294</v>
      </c>
    </row>
    <row r="13" spans="2:10" x14ac:dyDescent="0.25">
      <c r="B13" s="20" t="s">
        <v>39</v>
      </c>
      <c r="C13" s="21" t="s">
        <v>295</v>
      </c>
    </row>
    <row r="14" spans="2:10" x14ac:dyDescent="0.25">
      <c r="B14" s="20" t="s">
        <v>40</v>
      </c>
      <c r="C14" s="21">
        <v>675</v>
      </c>
    </row>
    <row r="15" spans="2:10" x14ac:dyDescent="0.25">
      <c r="B15" s="20" t="s">
        <v>41</v>
      </c>
      <c r="C15" s="21">
        <v>0</v>
      </c>
    </row>
    <row r="16" spans="2:10" x14ac:dyDescent="0.25">
      <c r="B16" s="20" t="s">
        <v>42</v>
      </c>
      <c r="C16" s="21">
        <v>0</v>
      </c>
      <c r="I16" s="1" t="s">
        <v>85</v>
      </c>
    </row>
    <row r="17" spans="2:9" x14ac:dyDescent="0.25">
      <c r="B17" s="20" t="s">
        <v>43</v>
      </c>
      <c r="C17" s="21">
        <v>0</v>
      </c>
    </row>
    <row r="18" spans="2:9" x14ac:dyDescent="0.25">
      <c r="B18" s="20" t="s">
        <v>44</v>
      </c>
      <c r="C18" s="21">
        <v>0</v>
      </c>
    </row>
    <row r="19" spans="2:9" x14ac:dyDescent="0.25">
      <c r="B19" s="20" t="s">
        <v>45</v>
      </c>
      <c r="C19" s="21">
        <v>0</v>
      </c>
    </row>
    <row r="20" spans="2:9" x14ac:dyDescent="0.25">
      <c r="B20" s="20" t="s">
        <v>46</v>
      </c>
      <c r="C20" s="21">
        <f>C19+C18+C17+C16</f>
        <v>0</v>
      </c>
    </row>
    <row r="22" spans="2:9" ht="25.5" x14ac:dyDescent="0.35">
      <c r="B22" s="1829" t="s">
        <v>47</v>
      </c>
      <c r="C22" s="1826"/>
      <c r="D22" s="1826"/>
      <c r="E22" s="1826"/>
      <c r="F22" s="1826"/>
      <c r="G22" s="1826"/>
      <c r="H22" s="1826"/>
      <c r="I22" s="1826"/>
    </row>
    <row r="23" spans="2:9" ht="25.5" x14ac:dyDescent="0.25">
      <c r="B23" s="22" t="s">
        <v>0</v>
      </c>
      <c r="C23" s="22" t="s">
        <v>1</v>
      </c>
      <c r="D23" s="22" t="s">
        <v>2</v>
      </c>
      <c r="E23" s="200" t="s">
        <v>319</v>
      </c>
      <c r="F23" s="201" t="s">
        <v>307</v>
      </c>
      <c r="G23" s="144" t="s">
        <v>332</v>
      </c>
      <c r="H23" s="144" t="s">
        <v>308</v>
      </c>
      <c r="I23" s="144" t="s">
        <v>3</v>
      </c>
    </row>
    <row r="24" spans="2:9" x14ac:dyDescent="0.25">
      <c r="B24" s="4" t="s">
        <v>296</v>
      </c>
      <c r="C24" s="4" t="s">
        <v>484</v>
      </c>
      <c r="D24" s="103">
        <v>1.09E-2</v>
      </c>
      <c r="E24" s="24">
        <v>23900</v>
      </c>
      <c r="F24" s="5">
        <f>E24*D24</f>
        <v>260.51</v>
      </c>
      <c r="G24" s="24">
        <v>23900</v>
      </c>
      <c r="H24" s="5">
        <f>G24*D24</f>
        <v>260.51</v>
      </c>
      <c r="I24" s="24"/>
    </row>
    <row r="25" spans="2:9" x14ac:dyDescent="0.25">
      <c r="B25" s="22"/>
      <c r="C25" s="22" t="s">
        <v>37</v>
      </c>
      <c r="D25" s="26"/>
      <c r="E25" s="23"/>
      <c r="F25" s="135">
        <f>F24</f>
        <v>260.51</v>
      </c>
      <c r="G25" s="23"/>
      <c r="H25" s="23">
        <f>SUM(H24:H24)</f>
        <v>260.51</v>
      </c>
      <c r="I25" s="23"/>
    </row>
    <row r="27" spans="2:9" x14ac:dyDescent="0.25">
      <c r="I27" s="182"/>
    </row>
    <row r="28" spans="2:9" x14ac:dyDescent="0.25">
      <c r="B28" s="1825" t="s">
        <v>485</v>
      </c>
      <c r="C28" s="1825"/>
      <c r="D28" s="1749">
        <f>+F25+G9</f>
        <v>6013.51</v>
      </c>
      <c r="E28" s="1749"/>
      <c r="F28" s="1749"/>
      <c r="G28" s="1749"/>
      <c r="H28" s="1749"/>
      <c r="I28" s="181"/>
    </row>
    <row r="29" spans="2:9" x14ac:dyDescent="0.25">
      <c r="B29" s="1830" t="s">
        <v>48</v>
      </c>
      <c r="C29" s="1831"/>
      <c r="D29" s="1749">
        <f>+(921.6/1000)*675</f>
        <v>622.07999999999993</v>
      </c>
      <c r="E29" s="1749"/>
      <c r="F29" s="1749"/>
      <c r="G29" s="1749"/>
      <c r="H29" s="1749"/>
      <c r="I29" s="182"/>
    </row>
    <row r="30" spans="2:9" x14ac:dyDescent="0.25">
      <c r="B30" s="1830" t="s">
        <v>486</v>
      </c>
      <c r="C30" s="1831"/>
      <c r="D30" s="1749">
        <f>+D28+D29</f>
        <v>6635.59</v>
      </c>
      <c r="E30" s="1749"/>
      <c r="F30" s="1749"/>
      <c r="G30" s="1749"/>
      <c r="H30" s="1749"/>
      <c r="I30" s="152"/>
    </row>
    <row r="31" spans="2:9" x14ac:dyDescent="0.25">
      <c r="B31" s="1825" t="s">
        <v>49</v>
      </c>
      <c r="C31" s="1825"/>
      <c r="D31" s="1749">
        <f>D30/I32</f>
        <v>9479.414285714287</v>
      </c>
      <c r="E31" s="1749"/>
      <c r="F31" s="1749"/>
      <c r="G31" s="1749"/>
      <c r="H31" s="1749"/>
      <c r="I31" s="141">
        <v>0.3</v>
      </c>
    </row>
    <row r="32" spans="2:9" x14ac:dyDescent="0.25">
      <c r="I32" s="137">
        <f>1-I31</f>
        <v>0.7</v>
      </c>
    </row>
    <row r="33" spans="9:9" x14ac:dyDescent="0.25">
      <c r="I33" s="182"/>
    </row>
    <row r="34" spans="9:9" x14ac:dyDescent="0.25">
      <c r="I34" s="182"/>
    </row>
  </sheetData>
  <mergeCells count="12">
    <mergeCell ref="B2:I2"/>
    <mergeCell ref="B9:C9"/>
    <mergeCell ref="B11:C11"/>
    <mergeCell ref="B22:I22"/>
    <mergeCell ref="B28:C28"/>
    <mergeCell ref="D28:H28"/>
    <mergeCell ref="B29:C29"/>
    <mergeCell ref="D29:H29"/>
    <mergeCell ref="B30:C30"/>
    <mergeCell ref="D30:H30"/>
    <mergeCell ref="B31:C31"/>
    <mergeCell ref="D31:H3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95C46-EA83-46BD-A6C3-EDAEE7DE916E}">
  <sheetPr codeName="Hoja54"/>
  <dimension ref="B1:K70"/>
  <sheetViews>
    <sheetView topLeftCell="A51" zoomScale="70" zoomScaleNormal="70" workbookViewId="0">
      <selection activeCell="I62" sqref="I62"/>
    </sheetView>
  </sheetViews>
  <sheetFormatPr baseColWidth="10" defaultColWidth="11.5703125" defaultRowHeight="13.5" x14ac:dyDescent="0.25"/>
  <cols>
    <col min="1" max="1" width="7.5703125" style="1" customWidth="1"/>
    <col min="2" max="2" width="11.5703125" style="1"/>
    <col min="3" max="3" width="67.42578125" style="1" bestFit="1" customWidth="1"/>
    <col min="4" max="4" width="13.7109375" style="307" customWidth="1"/>
    <col min="5" max="5" width="13.7109375" style="1" customWidth="1"/>
    <col min="6" max="6" width="17.85546875" style="1" bestFit="1" customWidth="1"/>
    <col min="7" max="7" width="12.7109375" style="1" bestFit="1" customWidth="1"/>
    <col min="8" max="8" width="12.5703125" style="1" bestFit="1" customWidth="1"/>
    <col min="9" max="16384" width="11.5703125" style="1"/>
  </cols>
  <sheetData>
    <row r="1" spans="2:8" ht="25.5" hidden="1" x14ac:dyDescent="0.35">
      <c r="B1" s="1751" t="s">
        <v>517</v>
      </c>
      <c r="C1" s="1751"/>
      <c r="D1" s="1751"/>
      <c r="E1" s="1751"/>
      <c r="F1" s="1751"/>
      <c r="G1" s="1751"/>
    </row>
    <row r="2" spans="2:8" hidden="1" x14ac:dyDescent="0.25"/>
    <row r="3" spans="2:8" hidden="1" x14ac:dyDescent="0.25">
      <c r="B3" s="308" t="s">
        <v>0</v>
      </c>
      <c r="C3" s="308" t="s">
        <v>1</v>
      </c>
      <c r="D3" s="309" t="s">
        <v>2</v>
      </c>
      <c r="E3" s="308" t="s">
        <v>3</v>
      </c>
      <c r="F3" s="308" t="s">
        <v>451</v>
      </c>
      <c r="G3" s="308" t="s">
        <v>452</v>
      </c>
      <c r="H3" s="362">
        <v>1493.54</v>
      </c>
    </row>
    <row r="4" spans="2:8" hidden="1" x14ac:dyDescent="0.25">
      <c r="B4" s="6" t="s">
        <v>4</v>
      </c>
      <c r="C4" s="6" t="s">
        <v>53</v>
      </c>
      <c r="D4" s="7">
        <v>602.48989559427889</v>
      </c>
      <c r="E4" s="364">
        <f t="shared" ref="E4:E21" si="0">(D4*100)/$D$23</f>
        <v>40.339722779053737</v>
      </c>
      <c r="F4" s="9">
        <v>6.7</v>
      </c>
      <c r="G4" s="9">
        <f t="shared" ref="G4:G21" si="1">F4*D4</f>
        <v>4036.6823004816688</v>
      </c>
      <c r="H4" s="31">
        <f t="shared" ref="H4:H21" si="2">($H$3*E4%)</f>
        <v>602.48989559427923</v>
      </c>
    </row>
    <row r="5" spans="2:8" hidden="1" x14ac:dyDescent="0.25">
      <c r="B5" s="363" t="s">
        <v>6</v>
      </c>
      <c r="C5" s="363" t="s">
        <v>77</v>
      </c>
      <c r="D5" s="366">
        <v>533.19011583331087</v>
      </c>
      <c r="E5" s="364">
        <f t="shared" si="0"/>
        <v>35.699754665647461</v>
      </c>
      <c r="F5" s="365">
        <v>6200</v>
      </c>
      <c r="G5" s="365">
        <f t="shared" si="1"/>
        <v>3305778.7181665273</v>
      </c>
      <c r="H5" s="31">
        <f t="shared" si="2"/>
        <v>533.1901158333111</v>
      </c>
    </row>
    <row r="6" spans="2:8" hidden="1" x14ac:dyDescent="0.25">
      <c r="B6" s="363"/>
      <c r="C6" s="363" t="s">
        <v>518</v>
      </c>
      <c r="D6" s="366">
        <v>88.689068729893989</v>
      </c>
      <c r="E6" s="364">
        <f t="shared" si="0"/>
        <v>5.9381783366963079</v>
      </c>
      <c r="F6" s="365">
        <v>1500</v>
      </c>
      <c r="G6" s="365">
        <f t="shared" si="1"/>
        <v>133033.60309484098</v>
      </c>
      <c r="H6" s="31">
        <f t="shared" si="2"/>
        <v>88.689068729894032</v>
      </c>
    </row>
    <row r="7" spans="2:8" hidden="1" x14ac:dyDescent="0.25">
      <c r="B7" s="6" t="s">
        <v>9</v>
      </c>
      <c r="C7" s="6" t="s">
        <v>10</v>
      </c>
      <c r="D7" s="7">
        <v>75.004664398397338</v>
      </c>
      <c r="E7" s="364">
        <f t="shared" si="0"/>
        <v>5.0219387762227576</v>
      </c>
      <c r="F7" s="9">
        <v>4618.63</v>
      </c>
      <c r="G7" s="9">
        <f t="shared" si="1"/>
        <v>346418.79313036992</v>
      </c>
      <c r="H7" s="31">
        <f t="shared" si="2"/>
        <v>75.004664398397367</v>
      </c>
    </row>
    <row r="8" spans="2:8" hidden="1" x14ac:dyDescent="0.25">
      <c r="B8" s="6" t="s">
        <v>11</v>
      </c>
      <c r="C8" s="6" t="s">
        <v>12</v>
      </c>
      <c r="D8" s="7">
        <v>60.003731518717913</v>
      </c>
      <c r="E8" s="364">
        <f t="shared" si="0"/>
        <v>4.0175510209782086</v>
      </c>
      <c r="F8" s="9">
        <v>12554.23</v>
      </c>
      <c r="G8" s="9">
        <f t="shared" si="1"/>
        <v>753300.646344234</v>
      </c>
      <c r="H8" s="31">
        <f t="shared" si="2"/>
        <v>60.003731518717935</v>
      </c>
    </row>
    <row r="9" spans="2:8" hidden="1" x14ac:dyDescent="0.25">
      <c r="B9" s="6"/>
      <c r="C9" s="6" t="s">
        <v>519</v>
      </c>
      <c r="D9" s="7">
        <v>38.085008273807908</v>
      </c>
      <c r="E9" s="364">
        <f t="shared" si="0"/>
        <v>2.549982476117675</v>
      </c>
      <c r="F9" s="9">
        <v>18520</v>
      </c>
      <c r="G9" s="9">
        <f t="shared" si="1"/>
        <v>705334.35323092248</v>
      </c>
      <c r="H9" s="31">
        <f t="shared" si="2"/>
        <v>38.085008273807922</v>
      </c>
    </row>
    <row r="10" spans="2:8" hidden="1" x14ac:dyDescent="0.25">
      <c r="B10" s="363" t="s">
        <v>5</v>
      </c>
      <c r="C10" s="363" t="s">
        <v>55</v>
      </c>
      <c r="D10" s="366">
        <v>36.301079526912048</v>
      </c>
      <c r="E10" s="364">
        <f t="shared" si="0"/>
        <v>2.4305394918724685</v>
      </c>
      <c r="F10" s="365">
        <v>5200</v>
      </c>
      <c r="G10" s="365">
        <f t="shared" si="1"/>
        <v>188765.61353994266</v>
      </c>
      <c r="H10" s="31">
        <f t="shared" si="2"/>
        <v>36.301079526912062</v>
      </c>
    </row>
    <row r="11" spans="2:8" hidden="1" x14ac:dyDescent="0.25">
      <c r="B11" s="6" t="s">
        <v>13</v>
      </c>
      <c r="C11" s="6" t="s">
        <v>14</v>
      </c>
      <c r="D11" s="7">
        <v>16.501026167647424</v>
      </c>
      <c r="E11" s="364">
        <f t="shared" si="0"/>
        <v>1.1048265307690073</v>
      </c>
      <c r="F11" s="9">
        <v>28592.42</v>
      </c>
      <c r="G11" s="9">
        <f t="shared" si="1"/>
        <v>471804.27061636554</v>
      </c>
      <c r="H11" s="31">
        <f t="shared" si="2"/>
        <v>16.501026167647431</v>
      </c>
    </row>
    <row r="12" spans="2:8" hidden="1" x14ac:dyDescent="0.25">
      <c r="B12" s="6" t="s">
        <v>17</v>
      </c>
      <c r="C12" s="6" t="s">
        <v>18</v>
      </c>
      <c r="D12" s="7">
        <v>13.143561507723275</v>
      </c>
      <c r="E12" s="364">
        <f t="shared" si="0"/>
        <v>0.88002741859764599</v>
      </c>
      <c r="F12" s="9">
        <v>712</v>
      </c>
      <c r="G12" s="9">
        <f t="shared" si="1"/>
        <v>9358.2157934989718</v>
      </c>
      <c r="H12" s="31">
        <f t="shared" si="2"/>
        <v>13.143561507723282</v>
      </c>
    </row>
    <row r="13" spans="2:8" hidden="1" x14ac:dyDescent="0.25">
      <c r="B13" s="6" t="s">
        <v>78</v>
      </c>
      <c r="C13" s="6" t="s">
        <v>79</v>
      </c>
      <c r="D13" s="7">
        <v>7.5004664398397392</v>
      </c>
      <c r="E13" s="364">
        <f t="shared" si="0"/>
        <v>0.50219387762227607</v>
      </c>
      <c r="F13" s="9">
        <v>52537.36</v>
      </c>
      <c r="G13" s="9">
        <f t="shared" si="1"/>
        <v>394054.7055177787</v>
      </c>
      <c r="H13" s="31">
        <f t="shared" si="2"/>
        <v>7.5004664398397418</v>
      </c>
    </row>
    <row r="14" spans="2:8" hidden="1" x14ac:dyDescent="0.25">
      <c r="B14" s="363" t="s">
        <v>337</v>
      </c>
      <c r="C14" s="363" t="s">
        <v>336</v>
      </c>
      <c r="D14" s="366">
        <v>5.9743461398742168</v>
      </c>
      <c r="E14" s="364">
        <f t="shared" si="0"/>
        <v>0.40001246299893006</v>
      </c>
      <c r="F14" s="365">
        <v>33400</v>
      </c>
      <c r="G14" s="365">
        <f t="shared" si="1"/>
        <v>199543.16107179885</v>
      </c>
      <c r="H14" s="31">
        <f t="shared" si="2"/>
        <v>5.9743461398742204</v>
      </c>
    </row>
    <row r="15" spans="2:8" hidden="1" x14ac:dyDescent="0.25">
      <c r="B15" s="6" t="s">
        <v>25</v>
      </c>
      <c r="C15" s="6" t="s">
        <v>26</v>
      </c>
      <c r="D15" s="7">
        <v>4.5002798639038417</v>
      </c>
      <c r="E15" s="364">
        <f t="shared" si="0"/>
        <v>0.30131632657336554</v>
      </c>
      <c r="F15" s="9">
        <v>58280.33</v>
      </c>
      <c r="G15" s="9">
        <f t="shared" si="1"/>
        <v>262277.79556067102</v>
      </c>
      <c r="H15" s="31">
        <f t="shared" si="2"/>
        <v>4.5002798639038435</v>
      </c>
    </row>
    <row r="16" spans="2:8" hidden="1" x14ac:dyDescent="0.25">
      <c r="B16" s="6" t="s">
        <v>80</v>
      </c>
      <c r="C16" s="6" t="s">
        <v>81</v>
      </c>
      <c r="D16" s="7">
        <v>3.7002301103209376</v>
      </c>
      <c r="E16" s="364">
        <f t="shared" si="0"/>
        <v>0.24774897962698955</v>
      </c>
      <c r="F16" s="9">
        <v>14700</v>
      </c>
      <c r="G16" s="9">
        <f t="shared" si="1"/>
        <v>54393.382621717785</v>
      </c>
      <c r="H16" s="31">
        <f t="shared" si="2"/>
        <v>3.7002301103209394</v>
      </c>
    </row>
    <row r="17" spans="2:11" hidden="1" x14ac:dyDescent="0.25">
      <c r="B17" s="6" t="s">
        <v>29</v>
      </c>
      <c r="C17" s="6" t="s">
        <v>30</v>
      </c>
      <c r="D17" s="7">
        <v>2.4801542361070075</v>
      </c>
      <c r="E17" s="364">
        <f t="shared" si="0"/>
        <v>0.166058775533766</v>
      </c>
      <c r="F17" s="9">
        <v>2111.0100000000002</v>
      </c>
      <c r="G17" s="9">
        <f t="shared" si="1"/>
        <v>5235.6303939642548</v>
      </c>
      <c r="H17" s="31">
        <f t="shared" si="2"/>
        <v>2.4801542361070084</v>
      </c>
    </row>
    <row r="18" spans="2:11" hidden="1" x14ac:dyDescent="0.25">
      <c r="B18" s="6" t="s">
        <v>61</v>
      </c>
      <c r="C18" s="6" t="s">
        <v>62</v>
      </c>
      <c r="D18" s="7">
        <v>2.013125192452986</v>
      </c>
      <c r="E18" s="364">
        <f t="shared" si="0"/>
        <v>0.13478883675381892</v>
      </c>
      <c r="F18" s="9">
        <v>27642</v>
      </c>
      <c r="G18" s="9">
        <f t="shared" si="1"/>
        <v>55646.80656978544</v>
      </c>
      <c r="H18" s="31">
        <f t="shared" si="2"/>
        <v>2.0131251924529869</v>
      </c>
    </row>
    <row r="19" spans="2:11" hidden="1" x14ac:dyDescent="0.25">
      <c r="B19" s="6" t="s">
        <v>67</v>
      </c>
      <c r="C19" s="6" t="s">
        <v>68</v>
      </c>
      <c r="D19" s="7">
        <v>2.013125192452986</v>
      </c>
      <c r="E19" s="364">
        <f t="shared" si="0"/>
        <v>0.13478883675381892</v>
      </c>
      <c r="F19" s="9">
        <v>69401</v>
      </c>
      <c r="G19" s="9">
        <f t="shared" si="1"/>
        <v>139712.9014814297</v>
      </c>
      <c r="H19" s="31">
        <f t="shared" si="2"/>
        <v>2.0131251924529869</v>
      </c>
    </row>
    <row r="20" spans="2:11" hidden="1" x14ac:dyDescent="0.25">
      <c r="B20" s="6" t="s">
        <v>31</v>
      </c>
      <c r="C20" s="6" t="s">
        <v>32</v>
      </c>
      <c r="D20" s="7">
        <v>1.2000746303743588</v>
      </c>
      <c r="E20" s="364">
        <f t="shared" si="0"/>
        <v>8.0351020419564212E-2</v>
      </c>
      <c r="F20" s="9">
        <v>113924</v>
      </c>
      <c r="G20" s="9">
        <f t="shared" si="1"/>
        <v>136717.30219076845</v>
      </c>
      <c r="H20" s="31">
        <f t="shared" si="2"/>
        <v>1.2000746303743592</v>
      </c>
    </row>
    <row r="21" spans="2:11" hidden="1" x14ac:dyDescent="0.25">
      <c r="B21" s="6" t="s">
        <v>33</v>
      </c>
      <c r="C21" s="6" t="s">
        <v>34</v>
      </c>
      <c r="D21" s="7">
        <v>0.75004664398397392</v>
      </c>
      <c r="E21" s="364">
        <f t="shared" si="0"/>
        <v>5.0219387762227612E-2</v>
      </c>
      <c r="F21" s="9">
        <v>20428</v>
      </c>
      <c r="G21" s="9">
        <f t="shared" si="1"/>
        <v>15321.95284330462</v>
      </c>
      <c r="H21" s="31">
        <f t="shared" si="2"/>
        <v>0.75004664398397425</v>
      </c>
    </row>
    <row r="22" spans="2:11" ht="13.15" hidden="1" customHeight="1" x14ac:dyDescent="0.25">
      <c r="B22" s="6"/>
      <c r="C22" s="6"/>
      <c r="D22" s="7"/>
      <c r="E22" s="6"/>
      <c r="F22" s="6"/>
      <c r="G22" s="6"/>
      <c r="H22" s="8"/>
    </row>
    <row r="23" spans="2:11" hidden="1" x14ac:dyDescent="0.25">
      <c r="B23" s="1835" t="s">
        <v>37</v>
      </c>
      <c r="C23" s="1836"/>
      <c r="D23" s="94">
        <f>SUM(D4:D21)</f>
        <v>1493.5399999999993</v>
      </c>
      <c r="E23" s="257">
        <f>SUM(E4:E21)</f>
        <v>100.00000000000001</v>
      </c>
      <c r="F23" s="350"/>
      <c r="G23" s="351">
        <f>SUM(G4:G21)</f>
        <v>7180734.5344684031</v>
      </c>
      <c r="H23" s="257">
        <f>SUM(H4:H21)</f>
        <v>1493.54</v>
      </c>
    </row>
    <row r="24" spans="2:11" hidden="1" x14ac:dyDescent="0.25"/>
    <row r="25" spans="2:11" hidden="1" x14ac:dyDescent="0.25"/>
    <row r="27" spans="2:11" ht="25.5" x14ac:dyDescent="0.35">
      <c r="B27" s="1751" t="s">
        <v>514</v>
      </c>
      <c r="C27" s="1751"/>
      <c r="D27" s="1751"/>
      <c r="E27" s="1751"/>
      <c r="F27" s="1751"/>
      <c r="G27" s="1751"/>
      <c r="H27" s="1751"/>
      <c r="I27" s="1751"/>
      <c r="J27" s="1751"/>
    </row>
    <row r="29" spans="2:11" s="3" customFormat="1" ht="25.5" x14ac:dyDescent="0.25">
      <c r="B29" s="121" t="s">
        <v>0</v>
      </c>
      <c r="C29" s="121" t="s">
        <v>1</v>
      </c>
      <c r="D29" s="147" t="s">
        <v>2</v>
      </c>
      <c r="E29" s="121" t="s">
        <v>3</v>
      </c>
      <c r="F29" s="121" t="s">
        <v>502</v>
      </c>
      <c r="G29" s="121" t="s">
        <v>512</v>
      </c>
      <c r="H29" s="369" t="s">
        <v>513</v>
      </c>
      <c r="I29" s="369" t="s">
        <v>513</v>
      </c>
      <c r="J29" s="118" t="s">
        <v>3</v>
      </c>
      <c r="K29" s="371">
        <v>0.28000000000000003</v>
      </c>
    </row>
    <row r="30" spans="2:11" x14ac:dyDescent="0.25">
      <c r="B30" s="30" t="s">
        <v>6</v>
      </c>
      <c r="C30" s="30" t="s">
        <v>77</v>
      </c>
      <c r="D30" s="31">
        <v>0.14000065495924771</v>
      </c>
      <c r="E30" s="32">
        <f>(D30*100)/$D$51</f>
        <v>50.000233914017031</v>
      </c>
      <c r="F30" s="33">
        <v>6993</v>
      </c>
      <c r="G30" s="33">
        <f t="shared" ref="G30:G49" si="3">F30*D30</f>
        <v>979.02458013001922</v>
      </c>
      <c r="H30" s="31"/>
      <c r="I30" s="31"/>
      <c r="J30" s="32"/>
      <c r="K30" s="372">
        <f>$K$29*E30%</f>
        <v>0.14000065495924771</v>
      </c>
    </row>
    <row r="31" spans="2:11" x14ac:dyDescent="0.25">
      <c r="B31" s="6" t="s">
        <v>4</v>
      </c>
      <c r="C31" s="6" t="s">
        <v>53</v>
      </c>
      <c r="D31" s="31">
        <v>4.6051815442294954E-2</v>
      </c>
      <c r="E31" s="32">
        <f t="shared" ref="E31:E49" si="4">(D31*100)/$D$51</f>
        <v>16.447076943676766</v>
      </c>
      <c r="F31" s="33">
        <v>7</v>
      </c>
      <c r="G31" s="33">
        <f t="shared" si="3"/>
        <v>0.32236270809606465</v>
      </c>
      <c r="H31" s="31"/>
      <c r="I31" s="31"/>
      <c r="J31" s="32"/>
      <c r="K31" s="372">
        <f t="shared" ref="K31:K49" si="5">$K$29*E31%</f>
        <v>4.6051815442294954E-2</v>
      </c>
    </row>
    <row r="32" spans="2:11" x14ac:dyDescent="0.25">
      <c r="B32" s="30" t="s">
        <v>8</v>
      </c>
      <c r="C32" s="30" t="s">
        <v>56</v>
      </c>
      <c r="D32" s="31">
        <v>2.8000130991849542E-2</v>
      </c>
      <c r="E32" s="32">
        <f t="shared" si="4"/>
        <v>10.000046782803407</v>
      </c>
      <c r="F32" s="33">
        <v>1500</v>
      </c>
      <c r="G32" s="33">
        <f t="shared" si="3"/>
        <v>42.000196487774311</v>
      </c>
      <c r="H32" s="31"/>
      <c r="I32" s="31"/>
      <c r="J32" s="32"/>
      <c r="K32" s="372">
        <f t="shared" si="5"/>
        <v>2.8000130991849542E-2</v>
      </c>
    </row>
    <row r="33" spans="2:11" x14ac:dyDescent="0.25">
      <c r="B33" s="30" t="s">
        <v>9</v>
      </c>
      <c r="C33" s="30" t="s">
        <v>10</v>
      </c>
      <c r="D33" s="31">
        <v>2.2400104793479623E-2</v>
      </c>
      <c r="E33" s="32">
        <f t="shared" si="4"/>
        <v>8.0000374262427218</v>
      </c>
      <c r="F33" s="9">
        <v>5975</v>
      </c>
      <c r="G33" s="33">
        <f t="shared" si="3"/>
        <v>133.84062614104076</v>
      </c>
      <c r="H33" s="31"/>
      <c r="I33" s="31"/>
      <c r="J33" s="32"/>
      <c r="K33" s="372">
        <f t="shared" si="5"/>
        <v>2.2400104793479623E-2</v>
      </c>
    </row>
    <row r="34" spans="2:11" x14ac:dyDescent="0.25">
      <c r="B34" s="30" t="s">
        <v>238</v>
      </c>
      <c r="C34" s="30" t="s">
        <v>239</v>
      </c>
      <c r="D34" s="31">
        <v>1.6240075975272737E-2</v>
      </c>
      <c r="E34" s="32">
        <f t="shared" si="4"/>
        <v>5.800027134025977</v>
      </c>
      <c r="F34" s="33">
        <v>4192</v>
      </c>
      <c r="G34" s="33">
        <f t="shared" si="3"/>
        <v>68.078398488343311</v>
      </c>
      <c r="H34" s="31"/>
      <c r="I34" s="31"/>
      <c r="J34" s="32"/>
      <c r="K34" s="372">
        <f t="shared" si="5"/>
        <v>1.6240075975272737E-2</v>
      </c>
    </row>
    <row r="35" spans="2:11" x14ac:dyDescent="0.25">
      <c r="B35" s="6" t="s">
        <v>7</v>
      </c>
      <c r="C35" s="6" t="s">
        <v>58</v>
      </c>
      <c r="D35" s="31">
        <v>1.1200052396739811E-2</v>
      </c>
      <c r="E35" s="32">
        <f t="shared" si="4"/>
        <v>4.0000187131213609</v>
      </c>
      <c r="F35" s="33">
        <v>7029</v>
      </c>
      <c r="G35" s="33">
        <f t="shared" si="3"/>
        <v>78.725168296684132</v>
      </c>
      <c r="H35" s="31"/>
      <c r="I35" s="31"/>
      <c r="J35" s="32"/>
      <c r="K35" s="372">
        <f t="shared" si="5"/>
        <v>1.1200052396739811E-2</v>
      </c>
    </row>
    <row r="36" spans="2:11" x14ac:dyDescent="0.25">
      <c r="B36" s="30" t="s">
        <v>11</v>
      </c>
      <c r="C36" s="30" t="s">
        <v>12</v>
      </c>
      <c r="D36" s="31">
        <v>8.4000392975548625E-3</v>
      </c>
      <c r="E36" s="32">
        <f t="shared" si="4"/>
        <v>3.0000140348410218</v>
      </c>
      <c r="F36" s="33">
        <v>16084</v>
      </c>
      <c r="G36" s="33">
        <f t="shared" si="3"/>
        <v>135.10623206187242</v>
      </c>
      <c r="H36" s="31"/>
      <c r="I36" s="31"/>
      <c r="J36" s="32"/>
      <c r="K36" s="372">
        <f t="shared" si="5"/>
        <v>8.4000392975548625E-3</v>
      </c>
    </row>
    <row r="37" spans="2:11" x14ac:dyDescent="0.25">
      <c r="B37" s="6" t="s">
        <v>17</v>
      </c>
      <c r="C37" s="6" t="s">
        <v>18</v>
      </c>
      <c r="D37" s="31">
        <v>2.4689246624103388E-3</v>
      </c>
      <c r="E37" s="32">
        <f t="shared" si="4"/>
        <v>0.88175880800369233</v>
      </c>
      <c r="F37" s="33">
        <v>878</v>
      </c>
      <c r="G37" s="33">
        <f t="shared" si="3"/>
        <v>2.1677158535962775</v>
      </c>
      <c r="H37" s="31"/>
      <c r="I37" s="31"/>
      <c r="J37" s="32"/>
      <c r="K37" s="372">
        <f t="shared" si="5"/>
        <v>2.4689246624103388E-3</v>
      </c>
    </row>
    <row r="38" spans="2:11" x14ac:dyDescent="0.25">
      <c r="B38" s="30" t="s">
        <v>337</v>
      </c>
      <c r="C38" s="30" t="s">
        <v>336</v>
      </c>
      <c r="D38" s="31">
        <v>1.1200052396739815E-3</v>
      </c>
      <c r="E38" s="32">
        <f t="shared" si="4"/>
        <v>0.40000187131213621</v>
      </c>
      <c r="F38" s="33">
        <v>32870</v>
      </c>
      <c r="G38" s="33">
        <f t="shared" si="3"/>
        <v>36.814572228083769</v>
      </c>
      <c r="H38" s="31"/>
      <c r="I38" s="31"/>
      <c r="J38" s="32"/>
      <c r="K38" s="372">
        <f t="shared" si="5"/>
        <v>1.1200052396739815E-3</v>
      </c>
    </row>
    <row r="39" spans="2:11" x14ac:dyDescent="0.25">
      <c r="B39" s="154" t="s">
        <v>27</v>
      </c>
      <c r="C39" s="154" t="s">
        <v>28</v>
      </c>
      <c r="D39" s="31">
        <v>8.4000392975548612E-4</v>
      </c>
      <c r="E39" s="32">
        <f t="shared" si="4"/>
        <v>0.30000140348410215</v>
      </c>
      <c r="F39" s="33">
        <v>16132</v>
      </c>
      <c r="G39" s="33">
        <f t="shared" si="3"/>
        <v>13.550943394815501</v>
      </c>
      <c r="H39" s="31"/>
      <c r="I39" s="31"/>
      <c r="J39" s="32"/>
      <c r="K39" s="372">
        <f t="shared" si="5"/>
        <v>8.4000392975548612E-4</v>
      </c>
    </row>
    <row r="40" spans="2:11" x14ac:dyDescent="0.25">
      <c r="B40" s="30" t="s">
        <v>467</v>
      </c>
      <c r="C40" s="30" t="s">
        <v>505</v>
      </c>
      <c r="D40" s="31">
        <v>8.4000392975548612E-4</v>
      </c>
      <c r="E40" s="32">
        <f t="shared" si="4"/>
        <v>0.30000140348410215</v>
      </c>
      <c r="F40" s="33">
        <v>64311</v>
      </c>
      <c r="G40" s="33">
        <f t="shared" si="3"/>
        <v>54.021492726505066</v>
      </c>
      <c r="H40" s="31"/>
      <c r="I40" s="31"/>
      <c r="J40" s="32"/>
      <c r="K40" s="372">
        <f t="shared" si="5"/>
        <v>8.4000392975548612E-4</v>
      </c>
    </row>
    <row r="41" spans="2:11" x14ac:dyDescent="0.25">
      <c r="B41" s="30" t="s">
        <v>25</v>
      </c>
      <c r="C41" s="30" t="s">
        <v>26</v>
      </c>
      <c r="D41" s="31">
        <v>8.4000392975548612E-4</v>
      </c>
      <c r="E41" s="32">
        <f t="shared" si="4"/>
        <v>0.30000140348410215</v>
      </c>
      <c r="F41" s="33">
        <v>59418</v>
      </c>
      <c r="G41" s="33">
        <f t="shared" si="3"/>
        <v>49.911353498211476</v>
      </c>
      <c r="H41" s="31"/>
      <c r="I41" s="31"/>
      <c r="J41" s="32"/>
      <c r="K41" s="372">
        <f t="shared" si="5"/>
        <v>8.4000392975548612E-4</v>
      </c>
    </row>
    <row r="42" spans="2:11" x14ac:dyDescent="0.25">
      <c r="B42" s="30" t="s">
        <v>29</v>
      </c>
      <c r="C42" s="30" t="s">
        <v>30</v>
      </c>
      <c r="D42" s="31">
        <v>4.7695135523836101E-4</v>
      </c>
      <c r="E42" s="32">
        <f t="shared" si="4"/>
        <v>0.17033976972798606</v>
      </c>
      <c r="F42" s="33">
        <v>2500</v>
      </c>
      <c r="G42" s="33">
        <f t="shared" si="3"/>
        <v>1.1923783880959025</v>
      </c>
      <c r="H42" s="31"/>
      <c r="I42" s="31"/>
      <c r="J42" s="32"/>
      <c r="K42" s="372">
        <f t="shared" si="5"/>
        <v>4.7695135523836101E-4</v>
      </c>
    </row>
    <row r="43" spans="2:11" x14ac:dyDescent="0.25">
      <c r="B43" s="6" t="s">
        <v>61</v>
      </c>
      <c r="C43" s="6" t="s">
        <v>62</v>
      </c>
      <c r="D43" s="7">
        <v>3.7816752820591548E-4</v>
      </c>
      <c r="E43" s="32">
        <f t="shared" si="4"/>
        <v>0.13505983150211265</v>
      </c>
      <c r="F43" s="33">
        <v>30713</v>
      </c>
      <c r="G43" s="33">
        <f t="shared" si="3"/>
        <v>11.614659293788282</v>
      </c>
      <c r="H43" s="31"/>
      <c r="I43" s="31"/>
      <c r="J43" s="32"/>
      <c r="K43" s="372">
        <f t="shared" si="5"/>
        <v>3.7816752820591548E-4</v>
      </c>
    </row>
    <row r="44" spans="2:11" x14ac:dyDescent="0.25">
      <c r="B44" s="6" t="s">
        <v>67</v>
      </c>
      <c r="C44" s="6" t="s">
        <v>68</v>
      </c>
      <c r="D44" s="7">
        <v>3.7816752820591548E-4</v>
      </c>
      <c r="E44" s="32">
        <f t="shared" si="4"/>
        <v>0.13505983150211265</v>
      </c>
      <c r="F44" s="33">
        <v>69401</v>
      </c>
      <c r="G44" s="33">
        <f t="shared" si="3"/>
        <v>26.24520462501874</v>
      </c>
      <c r="H44" s="31"/>
      <c r="I44" s="31"/>
      <c r="J44" s="32"/>
      <c r="K44" s="372">
        <f t="shared" si="5"/>
        <v>3.7816752820591548E-4</v>
      </c>
    </row>
    <row r="45" spans="2:11" x14ac:dyDescent="0.25">
      <c r="B45" s="30" t="s">
        <v>31</v>
      </c>
      <c r="C45" s="30" t="s">
        <v>32</v>
      </c>
      <c r="D45" s="31">
        <v>2.2400104793479625E-4</v>
      </c>
      <c r="E45" s="32">
        <f t="shared" si="4"/>
        <v>8.0000374262427232E-2</v>
      </c>
      <c r="F45" s="33">
        <v>121899</v>
      </c>
      <c r="G45" s="33">
        <f t="shared" si="3"/>
        <v>27.305503742203729</v>
      </c>
      <c r="H45" s="31"/>
      <c r="I45" s="31"/>
      <c r="J45" s="32"/>
      <c r="K45" s="372">
        <f t="shared" si="5"/>
        <v>2.2400104793479625E-4</v>
      </c>
    </row>
    <row r="46" spans="2:11" x14ac:dyDescent="0.25">
      <c r="B46" s="30" t="s">
        <v>33</v>
      </c>
      <c r="C46" s="30" t="s">
        <v>34</v>
      </c>
      <c r="D46" s="31">
        <v>1.4089699262515492E-4</v>
      </c>
      <c r="E46" s="32">
        <f t="shared" si="4"/>
        <v>5.0320354508983894E-2</v>
      </c>
      <c r="F46" s="33">
        <v>28600</v>
      </c>
      <c r="G46" s="33">
        <f t="shared" si="3"/>
        <v>4.0296539890794305</v>
      </c>
      <c r="H46" s="31"/>
      <c r="I46" s="31"/>
      <c r="J46" s="6"/>
      <c r="K46" s="372">
        <f t="shared" si="5"/>
        <v>1.4089699262515492E-4</v>
      </c>
    </row>
    <row r="47" spans="2:11" x14ac:dyDescent="0.25">
      <c r="B47" s="30" t="s">
        <v>467</v>
      </c>
      <c r="C47" s="30" t="s">
        <v>515</v>
      </c>
      <c r="D47" s="31">
        <v>0</v>
      </c>
      <c r="E47" s="32">
        <f t="shared" si="4"/>
        <v>0</v>
      </c>
      <c r="F47" s="33">
        <v>16000</v>
      </c>
      <c r="G47" s="33">
        <f t="shared" si="3"/>
        <v>0</v>
      </c>
      <c r="H47" s="31"/>
      <c r="I47" s="31"/>
      <c r="J47" s="370"/>
      <c r="K47" s="372">
        <f t="shared" si="5"/>
        <v>0</v>
      </c>
    </row>
    <row r="48" spans="2:11" x14ac:dyDescent="0.25">
      <c r="B48" s="30" t="s">
        <v>467</v>
      </c>
      <c r="C48" s="30" t="s">
        <v>506</v>
      </c>
      <c r="D48" s="31">
        <v>0</v>
      </c>
      <c r="E48" s="32">
        <f t="shared" si="4"/>
        <v>0</v>
      </c>
      <c r="F48" s="33">
        <v>13800</v>
      </c>
      <c r="G48" s="33">
        <f t="shared" si="3"/>
        <v>0</v>
      </c>
      <c r="H48" s="31"/>
      <c r="I48" s="31"/>
      <c r="J48" s="370"/>
      <c r="K48" s="372">
        <f t="shared" si="5"/>
        <v>0</v>
      </c>
    </row>
    <row r="49" spans="2:11" x14ac:dyDescent="0.25">
      <c r="B49" s="30" t="s">
        <v>467</v>
      </c>
      <c r="C49" s="30" t="s">
        <v>516</v>
      </c>
      <c r="D49" s="31">
        <v>0</v>
      </c>
      <c r="E49" s="32">
        <f t="shared" si="4"/>
        <v>0</v>
      </c>
      <c r="F49" s="33">
        <v>320000</v>
      </c>
      <c r="G49" s="33">
        <f t="shared" si="3"/>
        <v>0</v>
      </c>
      <c r="H49" s="31"/>
      <c r="I49" s="31"/>
      <c r="J49" s="31"/>
      <c r="K49" s="372">
        <f t="shared" si="5"/>
        <v>0</v>
      </c>
    </row>
    <row r="50" spans="2:11" ht="13.15" hidden="1" customHeight="1" x14ac:dyDescent="0.25">
      <c r="B50" s="6"/>
      <c r="C50" s="6"/>
      <c r="D50" s="7"/>
      <c r="E50" s="6"/>
      <c r="F50" s="6"/>
      <c r="G50" s="6"/>
      <c r="H50" s="8"/>
      <c r="I50" s="8"/>
    </row>
    <row r="51" spans="2:11" x14ac:dyDescent="0.25">
      <c r="B51" s="1835" t="s">
        <v>37</v>
      </c>
      <c r="C51" s="1836"/>
      <c r="D51" s="94">
        <f>SUM(D30:D49)</f>
        <v>0.28000000000000003</v>
      </c>
      <c r="E51" s="257">
        <f>SUM(E30:E49)</f>
        <v>100.00000000000007</v>
      </c>
      <c r="F51" s="350"/>
      <c r="G51" s="373">
        <f>SUM(G30:G49)</f>
        <v>1663.9510420532281</v>
      </c>
      <c r="H51" s="257">
        <f>SUM(H30:H49)</f>
        <v>0</v>
      </c>
      <c r="I51" s="257">
        <f>SUM(I30:I49)</f>
        <v>0</v>
      </c>
      <c r="J51" s="257">
        <f>SUM(J30:J49)</f>
        <v>0</v>
      </c>
    </row>
    <row r="53" spans="2:11" ht="25.5" x14ac:dyDescent="0.35">
      <c r="B53" s="1839" t="s">
        <v>47</v>
      </c>
      <c r="C53" s="1840"/>
      <c r="D53" s="1840"/>
      <c r="E53" s="1840"/>
      <c r="F53" s="1840"/>
      <c r="G53" s="352"/>
      <c r="H53" s="352"/>
    </row>
    <row r="54" spans="2:11" ht="25.5" x14ac:dyDescent="0.25">
      <c r="B54" s="22" t="s">
        <v>0</v>
      </c>
      <c r="C54" s="22" t="s">
        <v>1</v>
      </c>
      <c r="D54" s="102" t="s">
        <v>2</v>
      </c>
      <c r="E54" s="353" t="s">
        <v>511</v>
      </c>
      <c r="F54" s="354" t="s">
        <v>512</v>
      </c>
      <c r="G54" s="355"/>
      <c r="H54" s="355"/>
    </row>
    <row r="55" spans="2:11" x14ac:dyDescent="0.25">
      <c r="B55" s="4" t="s">
        <v>520</v>
      </c>
      <c r="C55" s="4" t="s">
        <v>84</v>
      </c>
      <c r="D55" s="103">
        <v>0.04</v>
      </c>
      <c r="E55" s="24">
        <v>3800</v>
      </c>
      <c r="F55" s="24">
        <f>E55*D55</f>
        <v>152</v>
      </c>
      <c r="G55" s="356"/>
      <c r="H55" s="356"/>
    </row>
    <row r="56" spans="2:11" x14ac:dyDescent="0.25">
      <c r="B56" s="4" t="s">
        <v>200</v>
      </c>
      <c r="C56" s="4" t="s">
        <v>201</v>
      </c>
      <c r="D56" s="103">
        <v>0.1</v>
      </c>
      <c r="E56" s="24">
        <v>52</v>
      </c>
      <c r="F56" s="24">
        <f>E56*D56</f>
        <v>5.2</v>
      </c>
      <c r="G56" s="356"/>
      <c r="H56" s="356"/>
    </row>
    <row r="57" spans="2:11" x14ac:dyDescent="0.25">
      <c r="B57" s="4" t="s">
        <v>314</v>
      </c>
      <c r="C57" s="4" t="s">
        <v>315</v>
      </c>
      <c r="D57" s="103">
        <v>7.2999999999999995E-2</v>
      </c>
      <c r="E57" s="24">
        <v>861</v>
      </c>
      <c r="F57" s="24">
        <f>E57*D57</f>
        <v>62.852999999999994</v>
      </c>
      <c r="G57" s="356"/>
      <c r="H57" s="356"/>
    </row>
    <row r="58" spans="2:11" x14ac:dyDescent="0.25">
      <c r="B58" s="4" t="s">
        <v>51</v>
      </c>
      <c r="C58" s="4" t="s">
        <v>52</v>
      </c>
      <c r="D58" s="103">
        <v>7.2999999999999995E-2</v>
      </c>
      <c r="E58" s="24">
        <v>1350</v>
      </c>
      <c r="F58" s="24">
        <f>E58*D58</f>
        <v>98.55</v>
      </c>
      <c r="G58" s="356"/>
      <c r="H58" s="356"/>
    </row>
    <row r="59" spans="2:11" x14ac:dyDescent="0.25">
      <c r="B59" s="22"/>
      <c r="C59" s="22" t="s">
        <v>37</v>
      </c>
      <c r="D59" s="102"/>
      <c r="E59" s="23"/>
      <c r="F59" s="357">
        <f>SUM(F55,F56,F57,F58)</f>
        <v>318.60300000000001</v>
      </c>
      <c r="G59" s="358"/>
      <c r="H59" s="358"/>
    </row>
    <row r="61" spans="2:11" x14ac:dyDescent="0.25">
      <c r="B61" s="1825" t="s">
        <v>521</v>
      </c>
      <c r="C61" s="1825"/>
      <c r="D61" s="1837">
        <f>+F59+G51</f>
        <v>1982.5540420532282</v>
      </c>
      <c r="E61" s="1838"/>
      <c r="F61" s="359">
        <f>D61+D62</f>
        <v>2189.9140420532281</v>
      </c>
      <c r="G61" s="360"/>
      <c r="H61" s="359"/>
    </row>
    <row r="62" spans="2:11" x14ac:dyDescent="0.25">
      <c r="B62" s="1830" t="s">
        <v>48</v>
      </c>
      <c r="C62" s="1831"/>
      <c r="D62" s="1837">
        <f>+(921.6/1000)*225</f>
        <v>207.35999999999999</v>
      </c>
      <c r="E62" s="1838"/>
      <c r="F62" s="359"/>
      <c r="G62" s="360"/>
      <c r="H62" s="359"/>
    </row>
    <row r="63" spans="2:11" x14ac:dyDescent="0.25">
      <c r="B63" s="1830" t="s">
        <v>522</v>
      </c>
      <c r="C63" s="1831"/>
      <c r="D63" s="1837">
        <f>+D61+D62</f>
        <v>2189.9140420532281</v>
      </c>
      <c r="E63" s="1838"/>
      <c r="F63" s="359"/>
      <c r="G63" s="360"/>
      <c r="H63" s="359"/>
    </row>
    <row r="64" spans="2:11" x14ac:dyDescent="0.25">
      <c r="B64" s="1825" t="s">
        <v>49</v>
      </c>
      <c r="C64" s="1825"/>
      <c r="D64" s="1837">
        <f>D63/F65</f>
        <v>2737.392552566535</v>
      </c>
      <c r="E64" s="1838"/>
      <c r="F64" s="361">
        <v>0.2</v>
      </c>
      <c r="G64" s="360"/>
      <c r="H64" s="359"/>
    </row>
    <row r="65" spans="5:6" x14ac:dyDescent="0.25">
      <c r="F65" s="333">
        <f>1-F64</f>
        <v>0.8</v>
      </c>
    </row>
    <row r="68" spans="5:6" x14ac:dyDescent="0.25">
      <c r="E68" s="1">
        <v>1198</v>
      </c>
    </row>
    <row r="69" spans="5:6" x14ac:dyDescent="0.25">
      <c r="E69" s="115">
        <f>E68/F70</f>
        <v>1597.3333333333333</v>
      </c>
      <c r="F69" s="367">
        <v>0.25</v>
      </c>
    </row>
    <row r="70" spans="5:6" x14ac:dyDescent="0.25">
      <c r="F70" s="368">
        <f>1-F69</f>
        <v>0.75</v>
      </c>
    </row>
  </sheetData>
  <autoFilter ref="B29:J29" xr:uid="{DB795C46-EA83-46BD-A6C3-EDAEE7DE916E}">
    <sortState xmlns:xlrd2="http://schemas.microsoft.com/office/spreadsheetml/2017/richdata2" ref="B30:J48">
      <sortCondition descending="1" ref="D29"/>
    </sortState>
  </autoFilter>
  <mergeCells count="13">
    <mergeCell ref="B23:C23"/>
    <mergeCell ref="B1:G1"/>
    <mergeCell ref="B63:C63"/>
    <mergeCell ref="D63:E63"/>
    <mergeCell ref="B64:C64"/>
    <mergeCell ref="D64:E64"/>
    <mergeCell ref="B27:J27"/>
    <mergeCell ref="B51:C51"/>
    <mergeCell ref="B53:F53"/>
    <mergeCell ref="B61:C61"/>
    <mergeCell ref="D61:E61"/>
    <mergeCell ref="B62:C62"/>
    <mergeCell ref="D62:E6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FF47-BAE8-4450-A497-78FA263823C0}">
  <sheetPr codeName="Hoja49"/>
  <dimension ref="B2:M63"/>
  <sheetViews>
    <sheetView view="pageBreakPreview" topLeftCell="A44" zoomScale="90" zoomScaleNormal="100" zoomScaleSheetLayoutView="90" workbookViewId="0">
      <selection activeCell="C21" sqref="C21"/>
    </sheetView>
  </sheetViews>
  <sheetFormatPr baseColWidth="10" defaultColWidth="11.5703125" defaultRowHeight="13.5" x14ac:dyDescent="0.25"/>
  <cols>
    <col min="1" max="1" width="5" style="120" customWidth="1"/>
    <col min="2" max="2" width="17" style="120" customWidth="1"/>
    <col min="3" max="3" width="67.42578125" style="120" bestFit="1" customWidth="1"/>
    <col min="4" max="4" width="13.140625" style="120" customWidth="1"/>
    <col min="5" max="5" width="11.5703125" style="120"/>
    <col min="6" max="6" width="13" style="120" bestFit="1" customWidth="1"/>
    <col min="7" max="7" width="11.5703125" style="120" customWidth="1"/>
    <col min="8" max="8" width="14.85546875" style="120" customWidth="1"/>
    <col min="9" max="9" width="14.42578125" style="120" bestFit="1" customWidth="1"/>
    <col min="10" max="10" width="12.5703125" style="119" bestFit="1" customWidth="1"/>
    <col min="11" max="11" width="12" style="120" customWidth="1"/>
    <col min="12" max="12" width="11.5703125" style="120"/>
    <col min="13" max="13" width="16" style="120" bestFit="1" customWidth="1"/>
    <col min="14" max="16384" width="11.5703125" style="120"/>
  </cols>
  <sheetData>
    <row r="2" spans="2:13" ht="25.5" x14ac:dyDescent="0.25">
      <c r="B2" s="1743" t="s">
        <v>256</v>
      </c>
      <c r="C2" s="1743"/>
      <c r="D2" s="1743"/>
      <c r="E2" s="1743"/>
      <c r="F2" s="1743"/>
      <c r="G2" s="1743"/>
      <c r="H2" s="1743"/>
      <c r="I2" s="1743"/>
    </row>
    <row r="4" spans="2:13" ht="28.5" x14ac:dyDescent="0.25">
      <c r="B4" s="1355" t="s">
        <v>0</v>
      </c>
      <c r="C4" s="1355" t="s">
        <v>1</v>
      </c>
      <c r="D4" s="1355" t="s">
        <v>2</v>
      </c>
      <c r="E4" s="1355" t="s">
        <v>3</v>
      </c>
      <c r="F4" s="1335" t="str">
        <f>+'CIF Y PV'!$F$2</f>
        <v xml:space="preserve">JUN-COP/Kg </v>
      </c>
      <c r="G4" s="1335" t="str">
        <f>+'CIF Y PV'!$G$2</f>
        <v>JUN-COP/APP</v>
      </c>
      <c r="H4" s="1335" t="str">
        <f>+'CIF Y PV'!$H$2</f>
        <v xml:space="preserve">MAY-COP/Kg </v>
      </c>
      <c r="I4" s="1335" t="str">
        <f>+'CIF Y PV'!$I$2</f>
        <v>MAY-COP/APP</v>
      </c>
      <c r="J4" s="1335" t="s">
        <v>3</v>
      </c>
      <c r="K4" s="1418">
        <v>0.66</v>
      </c>
      <c r="L4" s="1419">
        <v>1508.4</v>
      </c>
      <c r="M4" s="1337"/>
    </row>
    <row r="5" spans="2:13" ht="16.5" x14ac:dyDescent="0.25">
      <c r="B5" s="576">
        <f>VLOOKUP(C5,[1]Hoja1!$B$2:$C$260,2,FALSE)</f>
        <v>1112001</v>
      </c>
      <c r="C5" s="523" t="s">
        <v>797</v>
      </c>
      <c r="D5" s="494">
        <v>0.12688941925218777</v>
      </c>
      <c r="E5" s="498">
        <v>19.225669583664811</v>
      </c>
      <c r="F5" s="982">
        <f>VLOOKUP(B5,[2]Hoja1!$C$2:$E$279,3,FALSE)</f>
        <v>3663.96</v>
      </c>
      <c r="G5" s="498">
        <f t="shared" ref="G5:G24" si="0">F5*D5</f>
        <v>464.91775656324592</v>
      </c>
      <c r="H5" s="982">
        <v>4222.72</v>
      </c>
      <c r="I5" s="498">
        <f>H5*D5</f>
        <v>535.81848846459843</v>
      </c>
      <c r="J5" s="905">
        <f t="shared" ref="J5:J24" si="1">((F5/H5)*100)-100</f>
        <v>-13.232229463473786</v>
      </c>
      <c r="K5" s="282">
        <f>$K$4*E5%</f>
        <v>0.12688941925218777</v>
      </c>
      <c r="L5" s="419">
        <v>290</v>
      </c>
      <c r="M5" s="1403">
        <f>L5*F5</f>
        <v>1062548.3999999999</v>
      </c>
    </row>
    <row r="6" spans="2:13" ht="16.5" x14ac:dyDescent="0.25">
      <c r="B6" s="576">
        <f>VLOOKUP(C6,[1]Hoja1!$B$2:$C$260,2,FALSE)</f>
        <v>1111002</v>
      </c>
      <c r="C6" s="523" t="s">
        <v>1170</v>
      </c>
      <c r="D6" s="190">
        <v>7.4821002386634847E-2</v>
      </c>
      <c r="E6" s="498">
        <v>11.336515513126491</v>
      </c>
      <c r="F6" s="982">
        <f>VLOOKUP(B6,[2]Hoja1!$C$2:$E$279,3,FALSE)</f>
        <v>2800</v>
      </c>
      <c r="G6" s="73">
        <f t="shared" si="0"/>
        <v>209.49880668257757</v>
      </c>
      <c r="H6" s="1184">
        <v>2803.03</v>
      </c>
      <c r="I6" s="498">
        <f t="shared" ref="I6:I24" si="2">H6*D6</f>
        <v>209.72551431980909</v>
      </c>
      <c r="J6" s="536">
        <f t="shared" si="1"/>
        <v>-0.10809730898350267</v>
      </c>
      <c r="K6" s="282">
        <f t="shared" ref="K6:K24" si="3">$K$4*E6%</f>
        <v>7.4821002386634847E-2</v>
      </c>
      <c r="L6" s="419">
        <v>171</v>
      </c>
      <c r="M6" s="1403">
        <f t="shared" ref="M6:M24" si="4">L6*F6</f>
        <v>478800</v>
      </c>
    </row>
    <row r="7" spans="2:13" ht="16.5" x14ac:dyDescent="0.25">
      <c r="B7" s="576">
        <f>VLOOKUP(C7,[1]Hoja1!$B$2:$C$260,2,FALSE)</f>
        <v>1112005</v>
      </c>
      <c r="C7" s="523" t="s">
        <v>1168</v>
      </c>
      <c r="D7" s="190">
        <v>3.5879077167859985E-2</v>
      </c>
      <c r="E7" s="498">
        <v>5.436223813312119</v>
      </c>
      <c r="F7" s="982">
        <f>VLOOKUP(B7,[2]Hoja1!$C$2:$E$279,3,FALSE)</f>
        <v>12700.23</v>
      </c>
      <c r="G7" s="73">
        <f t="shared" si="0"/>
        <v>455.67253221957043</v>
      </c>
      <c r="H7" s="585">
        <v>14378.04</v>
      </c>
      <c r="I7" s="498">
        <f t="shared" si="2"/>
        <v>515.87080668257761</v>
      </c>
      <c r="J7" s="536">
        <f t="shared" si="1"/>
        <v>-11.669253945600374</v>
      </c>
      <c r="K7" s="282">
        <f t="shared" si="3"/>
        <v>3.5879077167859985E-2</v>
      </c>
      <c r="L7" s="419">
        <v>82</v>
      </c>
      <c r="M7" s="1403">
        <f t="shared" si="4"/>
        <v>1041418.86</v>
      </c>
    </row>
    <row r="8" spans="2:13" ht="16.5" x14ac:dyDescent="0.25">
      <c r="B8" s="576">
        <f>VLOOKUP(C8,[1]Hoja1!$B$2:$C$260,2,FALSE)</f>
        <v>1131002</v>
      </c>
      <c r="C8" s="523" t="s">
        <v>663</v>
      </c>
      <c r="D8" s="190">
        <v>0.26866865552903735</v>
      </c>
      <c r="E8" s="498">
        <v>40.707372049854143</v>
      </c>
      <c r="F8" s="982">
        <f>VLOOKUP(B8,[2]Hoja1!$C$2:$E$279,3,FALSE)</f>
        <v>0</v>
      </c>
      <c r="G8" s="73">
        <f t="shared" si="0"/>
        <v>0</v>
      </c>
      <c r="H8" s="1184">
        <v>0</v>
      </c>
      <c r="I8" s="498">
        <f t="shared" si="2"/>
        <v>0</v>
      </c>
      <c r="J8" s="536" t="e">
        <f t="shared" si="1"/>
        <v>#DIV/0!</v>
      </c>
      <c r="K8" s="282">
        <f t="shared" si="3"/>
        <v>0.26866865552903735</v>
      </c>
      <c r="L8" s="419">
        <v>614.03</v>
      </c>
      <c r="M8" s="1403">
        <f t="shared" si="4"/>
        <v>0</v>
      </c>
    </row>
    <row r="9" spans="2:13" ht="16.5" x14ac:dyDescent="0.25">
      <c r="B9" s="576">
        <f>VLOOKUP(C9,[1]Hoja1!$B$2:$C$260,2,FALSE)</f>
        <v>1250007</v>
      </c>
      <c r="C9" s="523" t="s">
        <v>1171</v>
      </c>
      <c r="D9" s="190">
        <v>1.9689737470167065E-3</v>
      </c>
      <c r="E9" s="498">
        <v>0.29832935560859186</v>
      </c>
      <c r="F9" s="982">
        <f>VLOOKUP(B9,[2]Hoja1!$C$2:$E$279,3,FALSE)</f>
        <v>61516.21</v>
      </c>
      <c r="G9" s="73">
        <f t="shared" si="0"/>
        <v>121.12380250596658</v>
      </c>
      <c r="H9" s="70">
        <v>58309.97</v>
      </c>
      <c r="I9" s="498">
        <f t="shared" si="2"/>
        <v>114.81080011933174</v>
      </c>
      <c r="J9" s="536">
        <f t="shared" si="1"/>
        <v>5.4986137019106707</v>
      </c>
      <c r="K9" s="282">
        <f t="shared" si="3"/>
        <v>1.9689737470167065E-3</v>
      </c>
      <c r="L9" s="419">
        <v>4.5</v>
      </c>
      <c r="M9" s="1403">
        <f t="shared" si="4"/>
        <v>276822.94500000001</v>
      </c>
    </row>
    <row r="10" spans="2:13" ht="16.5" x14ac:dyDescent="0.25">
      <c r="B10" s="576">
        <f>VLOOKUP(C10,[1]Hoja1!$B$2:$C$260,2,FALSE)</f>
        <v>1210005</v>
      </c>
      <c r="C10" s="523" t="s">
        <v>1155</v>
      </c>
      <c r="D10" s="190">
        <v>1.0229912490055688E-2</v>
      </c>
      <c r="E10" s="498">
        <v>1.5499867409175283</v>
      </c>
      <c r="F10" s="982">
        <f>VLOOKUP(B10,[2]Hoja1!$C$2:$E$279,3,FALSE)</f>
        <v>1356</v>
      </c>
      <c r="G10" s="73">
        <f t="shared" si="0"/>
        <v>13.871761336515512</v>
      </c>
      <c r="H10" s="70">
        <v>1360</v>
      </c>
      <c r="I10" s="498">
        <f t="shared" si="2"/>
        <v>13.912680986475735</v>
      </c>
      <c r="J10" s="536">
        <f t="shared" si="1"/>
        <v>-0.29411764705882604</v>
      </c>
      <c r="K10" s="282">
        <f t="shared" si="3"/>
        <v>1.0229912490055688E-2</v>
      </c>
      <c r="L10" s="419">
        <v>23.38</v>
      </c>
      <c r="M10" s="1403">
        <f t="shared" si="4"/>
        <v>31703.279999999999</v>
      </c>
    </row>
    <row r="11" spans="2:13" ht="16.5" x14ac:dyDescent="0.3">
      <c r="B11" s="576">
        <f>VLOOKUP(C11,[1]Hoja1!$B$2:$C$260,2,FALSE)</f>
        <v>121007</v>
      </c>
      <c r="C11" s="523" t="s">
        <v>821</v>
      </c>
      <c r="D11" s="190">
        <v>1.9689737470167065E-3</v>
      </c>
      <c r="E11" s="498">
        <v>0.29832935560859186</v>
      </c>
      <c r="F11" s="982">
        <f>VLOOKUP(B11,[2]Hoja1!$C$2:$E$279,3,FALSE)</f>
        <v>16905</v>
      </c>
      <c r="G11" s="73">
        <f t="shared" si="0"/>
        <v>33.285501193317423</v>
      </c>
      <c r="H11" s="964">
        <v>16100</v>
      </c>
      <c r="I11" s="498">
        <f t="shared" si="2"/>
        <v>31.700477326968976</v>
      </c>
      <c r="J11" s="536">
        <f t="shared" si="1"/>
        <v>5</v>
      </c>
      <c r="K11" s="282">
        <f t="shared" si="3"/>
        <v>1.9689737470167065E-3</v>
      </c>
      <c r="L11" s="419">
        <v>4.5</v>
      </c>
      <c r="M11" s="1403">
        <f t="shared" si="4"/>
        <v>76072.5</v>
      </c>
    </row>
    <row r="12" spans="2:13" ht="16.5" x14ac:dyDescent="0.3">
      <c r="B12" s="576">
        <f>VLOOKUP(C12,[1]Hoja1!$B$2:$C$260,2,FALSE)</f>
        <v>1240002</v>
      </c>
      <c r="C12" s="523" t="s">
        <v>1140</v>
      </c>
      <c r="D12" s="190">
        <v>1.9689737470167065E-3</v>
      </c>
      <c r="E12" s="498">
        <v>0.29832935560859186</v>
      </c>
      <c r="F12" s="982">
        <f>VLOOKUP(B12,[2]Hoja1!$C$2:$E$279,3,FALSE)</f>
        <v>66115.8</v>
      </c>
      <c r="G12" s="73">
        <f t="shared" si="0"/>
        <v>130.18027446300718</v>
      </c>
      <c r="H12" s="964">
        <v>70840.75</v>
      </c>
      <c r="I12" s="498">
        <f t="shared" si="2"/>
        <v>139.48357696897375</v>
      </c>
      <c r="J12" s="536">
        <f t="shared" si="1"/>
        <v>-6.6698192777461998</v>
      </c>
      <c r="K12" s="282">
        <f t="shared" si="3"/>
        <v>1.9689737470167065E-3</v>
      </c>
      <c r="L12" s="419">
        <v>4.5</v>
      </c>
      <c r="M12" s="1403">
        <f t="shared" si="4"/>
        <v>297521.10000000003</v>
      </c>
    </row>
    <row r="13" spans="2:13" ht="16.5" x14ac:dyDescent="0.3">
      <c r="B13" s="576">
        <f>VLOOKUP(C13,[1]Hoja1!$B$2:$C$260,2,FALSE)</f>
        <v>1230016</v>
      </c>
      <c r="C13" s="523" t="s">
        <v>904</v>
      </c>
      <c r="D13" s="190">
        <v>2.6252983293556086E-3</v>
      </c>
      <c r="E13" s="498">
        <v>0.39777247414478922</v>
      </c>
      <c r="F13" s="982">
        <f>VLOOKUP(B13,[2]Hoja1!$C$2:$E$279,3,FALSE)</f>
        <v>91559.6</v>
      </c>
      <c r="G13" s="73">
        <f t="shared" si="0"/>
        <v>240.37126491646779</v>
      </c>
      <c r="H13" s="965">
        <v>87200</v>
      </c>
      <c r="I13" s="498">
        <f t="shared" si="2"/>
        <v>228.92601431980907</v>
      </c>
      <c r="J13" s="536">
        <f t="shared" si="1"/>
        <v>4.9995412844036764</v>
      </c>
      <c r="K13" s="282">
        <f t="shared" si="3"/>
        <v>2.6252983293556086E-3</v>
      </c>
      <c r="L13" s="419">
        <v>6</v>
      </c>
      <c r="M13" s="1403">
        <f t="shared" si="4"/>
        <v>549357.60000000009</v>
      </c>
    </row>
    <row r="14" spans="2:13" ht="16.5" x14ac:dyDescent="0.3">
      <c r="B14" s="576">
        <f>VLOOKUP(C14,[1]Hoja1!$B$2:$C$260,2,FALSE)</f>
        <v>1220008</v>
      </c>
      <c r="C14" s="523" t="s">
        <v>1157</v>
      </c>
      <c r="D14" s="190">
        <v>6.5632458233890216E-4</v>
      </c>
      <c r="E14" s="498">
        <v>9.9443118536197306E-2</v>
      </c>
      <c r="F14" s="982">
        <f>VLOOKUP(B14,[2]Hoja1!$C$2:$E$279,3,FALSE)</f>
        <v>50476.2</v>
      </c>
      <c r="G14" s="73">
        <f t="shared" si="0"/>
        <v>33.128770883054891</v>
      </c>
      <c r="H14" s="533">
        <v>48608.39</v>
      </c>
      <c r="I14" s="498">
        <f t="shared" si="2"/>
        <v>31.902881264916466</v>
      </c>
      <c r="J14" s="536">
        <f t="shared" si="1"/>
        <v>3.8425670959272509</v>
      </c>
      <c r="K14" s="282">
        <f t="shared" si="3"/>
        <v>6.5632458233890216E-4</v>
      </c>
      <c r="L14" s="419">
        <v>1.5</v>
      </c>
      <c r="M14" s="1403">
        <f t="shared" si="4"/>
        <v>75714.299999999988</v>
      </c>
    </row>
    <row r="15" spans="2:13" ht="16.5" x14ac:dyDescent="0.25">
      <c r="B15" s="576">
        <f>VLOOKUP(C15,[1]Hoja1!$B$2:$C$260,2,FALSE)</f>
        <v>1220005</v>
      </c>
      <c r="C15" s="523" t="s">
        <v>1135</v>
      </c>
      <c r="D15" s="190">
        <v>2.3627684964200478E-3</v>
      </c>
      <c r="E15" s="498">
        <v>0.35799522673031026</v>
      </c>
      <c r="F15" s="982">
        <f>VLOOKUP(B15,[2]Hoja1!$C$2:$E$279,3,FALSE)</f>
        <v>17429.990000000002</v>
      </c>
      <c r="G15" s="73">
        <f t="shared" si="0"/>
        <v>41.183031264916472</v>
      </c>
      <c r="H15" s="88">
        <v>17430</v>
      </c>
      <c r="I15" s="498">
        <f t="shared" si="2"/>
        <v>41.183054892601433</v>
      </c>
      <c r="J15" s="536">
        <f t="shared" si="1"/>
        <v>-5.7372346518036466E-5</v>
      </c>
      <c r="K15" s="282">
        <f t="shared" si="3"/>
        <v>2.3627684964200478E-3</v>
      </c>
      <c r="L15" s="419">
        <v>5.4</v>
      </c>
      <c r="M15" s="1403">
        <f t="shared" si="4"/>
        <v>94121.946000000011</v>
      </c>
    </row>
    <row r="16" spans="2:13" ht="16.5" x14ac:dyDescent="0.3">
      <c r="B16" s="576">
        <f>VLOOKUP(C16,[1]Hoja1!$B$2:$C$260,2,FALSE)</f>
        <v>1220006</v>
      </c>
      <c r="C16" s="523" t="s">
        <v>1172</v>
      </c>
      <c r="D16" s="190">
        <v>4.3754972155926814E-4</v>
      </c>
      <c r="E16" s="498">
        <v>6.6295412357464861E-2</v>
      </c>
      <c r="F16" s="982">
        <f>VLOOKUP(B16,[2]Hoja1!$C$2:$E$279,3,FALSE)</f>
        <v>73448</v>
      </c>
      <c r="G16" s="73">
        <f t="shared" si="0"/>
        <v>32.13715194908513</v>
      </c>
      <c r="H16" s="964">
        <v>73448</v>
      </c>
      <c r="I16" s="498">
        <f t="shared" si="2"/>
        <v>32.13715194908513</v>
      </c>
      <c r="J16" s="536">
        <f t="shared" si="1"/>
        <v>0</v>
      </c>
      <c r="K16" s="282">
        <f t="shared" si="3"/>
        <v>4.3754972155926814E-4</v>
      </c>
      <c r="L16" s="419">
        <v>1</v>
      </c>
      <c r="M16" s="1403">
        <f t="shared" si="4"/>
        <v>73448</v>
      </c>
    </row>
    <row r="17" spans="2:13" ht="16.5" x14ac:dyDescent="0.25">
      <c r="B17" s="576">
        <f>VLOOKUP(C17,[1]Hoja1!$B$2:$C$260,2,FALSE)</f>
        <v>1220009</v>
      </c>
      <c r="C17" s="523" t="s">
        <v>1133</v>
      </c>
      <c r="D17" s="190">
        <v>2.8878281622911695E-3</v>
      </c>
      <c r="E17" s="498">
        <v>0.43754972155926808</v>
      </c>
      <c r="F17" s="982">
        <f>VLOOKUP(B17,[2]Hoja1!$C$2:$E$279,3,FALSE)</f>
        <v>21312.16</v>
      </c>
      <c r="G17" s="73">
        <f t="shared" si="0"/>
        <v>61.545855847255368</v>
      </c>
      <c r="H17" s="72">
        <v>20299</v>
      </c>
      <c r="I17" s="498">
        <f t="shared" si="2"/>
        <v>58.620023866348447</v>
      </c>
      <c r="J17" s="536">
        <f t="shared" si="1"/>
        <v>4.9911818316173253</v>
      </c>
      <c r="K17" s="282">
        <f t="shared" si="3"/>
        <v>2.8878281622911695E-3</v>
      </c>
      <c r="L17" s="419">
        <v>6.6</v>
      </c>
      <c r="M17" s="1403">
        <f t="shared" si="4"/>
        <v>140660.25599999999</v>
      </c>
    </row>
    <row r="18" spans="2:13" ht="16.5" x14ac:dyDescent="0.25">
      <c r="B18" s="576">
        <f>VLOOKUP(C18,[1]Hoja1!$B$2:$C$260,2,FALSE)</f>
        <v>1210003</v>
      </c>
      <c r="C18" s="523" t="s">
        <v>1143</v>
      </c>
      <c r="D18" s="190">
        <v>3.2816229116945108E-4</v>
      </c>
      <c r="E18" s="498">
        <v>4.9721559268098653E-2</v>
      </c>
      <c r="F18" s="982">
        <f>VLOOKUP(B18,[2]Hoja1!$C$2:$E$279,3,FALSE)</f>
        <v>16235.45</v>
      </c>
      <c r="G18" s="73">
        <f t="shared" si="0"/>
        <v>5.3278624701670649</v>
      </c>
      <c r="H18" s="88">
        <v>12852.58</v>
      </c>
      <c r="I18" s="498">
        <f t="shared" si="2"/>
        <v>4.2177321002386634</v>
      </c>
      <c r="J18" s="536">
        <f t="shared" si="1"/>
        <v>26.320551982559152</v>
      </c>
      <c r="K18" s="282">
        <f t="shared" si="3"/>
        <v>3.2816229116945108E-4</v>
      </c>
      <c r="L18" s="419">
        <v>0.75</v>
      </c>
      <c r="M18" s="1403">
        <f t="shared" si="4"/>
        <v>12176.587500000001</v>
      </c>
    </row>
    <row r="19" spans="2:13" ht="16.5" x14ac:dyDescent="0.3">
      <c r="B19" s="576">
        <f>VLOOKUP(C19,[1]Hoja1!$B$2:$C$260,2,FALSE)</f>
        <v>1260008</v>
      </c>
      <c r="C19" s="523" t="s">
        <v>1044</v>
      </c>
      <c r="D19" s="190">
        <v>5.9506762132060458E-2</v>
      </c>
      <c r="E19" s="498">
        <v>9.0161760806152209</v>
      </c>
      <c r="F19" s="982">
        <f>VLOOKUP(B19,[2]Hoja1!$C$2:$E$279,3,FALSE)</f>
        <v>10202.790000000001</v>
      </c>
      <c r="G19" s="73">
        <f t="shared" si="0"/>
        <v>607.13499761336516</v>
      </c>
      <c r="H19" s="965">
        <v>12670.44</v>
      </c>
      <c r="I19" s="498">
        <f t="shared" si="2"/>
        <v>753.97685918854415</v>
      </c>
      <c r="J19" s="536">
        <f t="shared" si="1"/>
        <v>-19.475645676077548</v>
      </c>
      <c r="K19" s="282">
        <f t="shared" si="3"/>
        <v>5.9506762132060458E-2</v>
      </c>
      <c r="L19" s="419">
        <v>136</v>
      </c>
      <c r="M19" s="1403">
        <f t="shared" si="4"/>
        <v>1387579.4400000002</v>
      </c>
    </row>
    <row r="20" spans="2:13" ht="16.5" x14ac:dyDescent="0.25">
      <c r="B20" s="576">
        <f>VLOOKUP(C20,[1]Hoja1!$B$2:$C$260,2,FALSE)</f>
        <v>1260014</v>
      </c>
      <c r="C20" s="523" t="s">
        <v>825</v>
      </c>
      <c r="D20" s="190">
        <v>3.1678599840891009E-3</v>
      </c>
      <c r="E20" s="498">
        <v>0.47997878546804557</v>
      </c>
      <c r="F20" s="982">
        <f>VLOOKUP(B20,[2]Hoja1!$C$2:$E$279,3,FALSE)</f>
        <v>28083.42</v>
      </c>
      <c r="G20" s="73">
        <f t="shared" si="0"/>
        <v>88.964342434367538</v>
      </c>
      <c r="H20" s="1092">
        <v>40834.379999999997</v>
      </c>
      <c r="I20" s="498">
        <f t="shared" si="2"/>
        <v>129.35759837708829</v>
      </c>
      <c r="J20" s="536">
        <f t="shared" si="1"/>
        <v>-31.226040410066219</v>
      </c>
      <c r="K20" s="282">
        <f t="shared" si="3"/>
        <v>3.1678599840891009E-3</v>
      </c>
      <c r="L20" s="419">
        <v>7.24</v>
      </c>
      <c r="M20" s="1403">
        <f t="shared" si="4"/>
        <v>203323.9608</v>
      </c>
    </row>
    <row r="21" spans="2:13" ht="16.5" x14ac:dyDescent="0.3">
      <c r="B21" s="576">
        <f>VLOOKUP(C21,[1]Hoja1!$B$2:$C$260,2,FALSE)</f>
        <v>1260010</v>
      </c>
      <c r="C21" s="523" t="s">
        <v>1043</v>
      </c>
      <c r="D21" s="190">
        <v>1.7501988862370723E-2</v>
      </c>
      <c r="E21" s="498">
        <v>2.6518164942985942</v>
      </c>
      <c r="F21" s="982">
        <f>VLOOKUP(B21,[2]Hoja1!$C$2:$E$279,3,FALSE)</f>
        <v>6959.71</v>
      </c>
      <c r="G21" s="73">
        <f t="shared" si="0"/>
        <v>121.80876690533015</v>
      </c>
      <c r="H21" s="965">
        <v>9565.2099999999991</v>
      </c>
      <c r="I21" s="498">
        <f t="shared" si="2"/>
        <v>167.41019888623705</v>
      </c>
      <c r="J21" s="536">
        <f t="shared" si="1"/>
        <v>-27.239339230398485</v>
      </c>
      <c r="K21" s="282">
        <f t="shared" si="3"/>
        <v>1.7501988862370723E-2</v>
      </c>
      <c r="L21" s="419">
        <v>40</v>
      </c>
      <c r="M21" s="1403">
        <f t="shared" si="4"/>
        <v>278388.40000000002</v>
      </c>
    </row>
    <row r="22" spans="2:13" ht="16.5" x14ac:dyDescent="0.25">
      <c r="B22" s="576">
        <f>VLOOKUP(C22,[1]Hoja1!$B$2:$C$260,2,FALSE)</f>
        <v>1260017</v>
      </c>
      <c r="C22" s="523" t="s">
        <v>832</v>
      </c>
      <c r="D22" s="190">
        <v>3.2816229116945109E-2</v>
      </c>
      <c r="E22" s="498">
        <v>4.9721559268098643</v>
      </c>
      <c r="F22" s="982">
        <f>VLOOKUP(B22,[2]Hoja1!$C$2:$E$279,3,FALSE)</f>
        <v>4500</v>
      </c>
      <c r="G22" s="73">
        <f>F22*D22</f>
        <v>147.673031026253</v>
      </c>
      <c r="H22" s="70">
        <v>4500</v>
      </c>
      <c r="I22" s="498">
        <f t="shared" si="2"/>
        <v>147.673031026253</v>
      </c>
      <c r="J22" s="536">
        <f>((F22/H22)*100)-100</f>
        <v>0</v>
      </c>
      <c r="K22" s="282">
        <f t="shared" si="3"/>
        <v>3.2816229116945109E-2</v>
      </c>
      <c r="L22" s="419">
        <v>75</v>
      </c>
      <c r="M22" s="1403">
        <f t="shared" si="4"/>
        <v>337500</v>
      </c>
    </row>
    <row r="23" spans="2:13" ht="16.5" x14ac:dyDescent="0.3">
      <c r="B23" s="576">
        <f>VLOOKUP(C23,[1]Hoja1!$B$2:$C$260,2,FALSE)</f>
        <v>1260018</v>
      </c>
      <c r="C23" s="523" t="s">
        <v>1056</v>
      </c>
      <c r="D23" s="190">
        <v>8.7509944311853615E-3</v>
      </c>
      <c r="E23" s="498">
        <v>1.3259082471492971</v>
      </c>
      <c r="F23" s="982">
        <f>VLOOKUP(B23,[2]Hoja1!$C$2:$E$279,3,FALSE)</f>
        <v>25909</v>
      </c>
      <c r="G23" s="73">
        <f>F23*D23</f>
        <v>226.72951471758154</v>
      </c>
      <c r="H23" s="964">
        <v>24213.99</v>
      </c>
      <c r="I23" s="498">
        <f t="shared" si="2"/>
        <v>211.89649164677806</v>
      </c>
      <c r="J23" s="536">
        <f>((F23/H23)*100)-100</f>
        <v>7.0001267862091083</v>
      </c>
      <c r="K23" s="282">
        <f t="shared" si="3"/>
        <v>8.7509944311853615E-3</v>
      </c>
      <c r="L23" s="419">
        <v>20</v>
      </c>
      <c r="M23" s="1403">
        <f t="shared" si="4"/>
        <v>518180</v>
      </c>
    </row>
    <row r="24" spans="2:13" ht="16.5" x14ac:dyDescent="0.3">
      <c r="B24" s="576">
        <f>VLOOKUP(C24,[1]Hoja1!$B$2:$C$260,2,FALSE)</f>
        <v>1260005</v>
      </c>
      <c r="C24" s="523" t="s">
        <v>811</v>
      </c>
      <c r="D24" s="190">
        <v>6.5632458233890216E-3</v>
      </c>
      <c r="E24" s="498">
        <v>0.99443118536197295</v>
      </c>
      <c r="F24" s="982">
        <f>VLOOKUP(B24,[2]Hoja1!$C$2:$E$279,3,FALSE)</f>
        <v>26429</v>
      </c>
      <c r="G24" s="73">
        <f t="shared" si="0"/>
        <v>173.46002386634845</v>
      </c>
      <c r="H24" s="533">
        <v>25850</v>
      </c>
      <c r="I24" s="498">
        <f t="shared" si="2"/>
        <v>169.6599045346062</v>
      </c>
      <c r="J24" s="536">
        <f t="shared" si="1"/>
        <v>2.2398452611218715</v>
      </c>
      <c r="K24" s="282">
        <f t="shared" si="3"/>
        <v>6.5632458233890216E-3</v>
      </c>
      <c r="L24" s="419">
        <v>15</v>
      </c>
      <c r="M24" s="1403">
        <f t="shared" si="4"/>
        <v>396435</v>
      </c>
    </row>
    <row r="25" spans="2:13" s="146" customFormat="1" ht="14.25" x14ac:dyDescent="0.25">
      <c r="B25" s="1820" t="s">
        <v>37</v>
      </c>
      <c r="C25" s="1820"/>
      <c r="D25" s="1414">
        <f>SUM(D5:D24)</f>
        <v>0.65999999999999992</v>
      </c>
      <c r="E25" s="1415">
        <f>SUM(E5:E24)</f>
        <v>99.999999999999986</v>
      </c>
      <c r="F25" s="1415"/>
      <c r="G25" s="1416">
        <f>SUM(G5:G24)</f>
        <v>3208.0150488583927</v>
      </c>
      <c r="H25" s="1415"/>
      <c r="I25" s="1416">
        <f>SUM(I5:I24)</f>
        <v>3538.2832869212411</v>
      </c>
      <c r="J25" s="1417">
        <f>((G25/I25)*100)-100</f>
        <v>-9.3341378086836073</v>
      </c>
      <c r="K25" s="1332"/>
      <c r="L25" s="1332"/>
      <c r="M25" s="1404">
        <f>SUM(M5:M24)</f>
        <v>7331772.5753000006</v>
      </c>
    </row>
    <row r="26" spans="2:13" s="146" customFormat="1" x14ac:dyDescent="0.25">
      <c r="B26" s="229"/>
      <c r="C26" s="229"/>
      <c r="D26" s="158"/>
      <c r="E26" s="130"/>
      <c r="F26" s="130"/>
      <c r="G26" s="130">
        <f>G25*2</f>
        <v>6416.0300977167853</v>
      </c>
      <c r="H26" s="130"/>
      <c r="I26" s="224"/>
      <c r="J26" s="119"/>
    </row>
    <row r="28" spans="2:13" ht="25.5" x14ac:dyDescent="0.25">
      <c r="B28" s="1742" t="s">
        <v>50</v>
      </c>
      <c r="C28" s="1821"/>
      <c r="D28" s="38"/>
      <c r="E28" s="159"/>
      <c r="F28" s="159"/>
      <c r="G28" s="159"/>
      <c r="H28" s="159"/>
      <c r="I28" s="159"/>
      <c r="J28" s="158"/>
    </row>
    <row r="29" spans="2:13" x14ac:dyDescent="0.25">
      <c r="B29" s="1420" t="s">
        <v>38</v>
      </c>
      <c r="C29" s="215" t="s">
        <v>90</v>
      </c>
      <c r="D29" s="146"/>
      <c r="G29" s="1033" t="s">
        <v>900</v>
      </c>
      <c r="H29" s="1034">
        <v>2</v>
      </c>
      <c r="I29" s="301">
        <f>H29/H31</f>
        <v>0.66666666666666663</v>
      </c>
      <c r="J29" s="119">
        <v>1</v>
      </c>
      <c r="K29" s="120">
        <f>+J29*I29</f>
        <v>0.66666666666666663</v>
      </c>
    </row>
    <row r="30" spans="2:13" x14ac:dyDescent="0.25">
      <c r="B30" s="1420" t="s">
        <v>39</v>
      </c>
      <c r="C30" s="215" t="s">
        <v>245</v>
      </c>
      <c r="D30" s="146">
        <v>660</v>
      </c>
      <c r="G30" s="1033" t="s">
        <v>901</v>
      </c>
      <c r="H30" s="1034">
        <v>1</v>
      </c>
      <c r="I30" s="301">
        <f>H30/H31</f>
        <v>0.33333333333333331</v>
      </c>
      <c r="J30" s="119">
        <v>5320</v>
      </c>
      <c r="K30" s="120">
        <f>+J30*I30</f>
        <v>1773.3333333333333</v>
      </c>
    </row>
    <row r="31" spans="2:13" x14ac:dyDescent="0.25">
      <c r="B31" s="1420" t="s">
        <v>40</v>
      </c>
      <c r="C31" s="215">
        <v>600</v>
      </c>
      <c r="D31" s="146"/>
      <c r="G31" s="1033" t="s">
        <v>465</v>
      </c>
      <c r="H31" s="1034">
        <f>SUM(H29:H30)</f>
        <v>3</v>
      </c>
      <c r="K31" s="120">
        <f>SUM(K29:K30)</f>
        <v>1774</v>
      </c>
    </row>
    <row r="32" spans="2:13" x14ac:dyDescent="0.25">
      <c r="B32" s="1420" t="s">
        <v>41</v>
      </c>
      <c r="C32" s="215">
        <v>0.5</v>
      </c>
      <c r="D32" s="146"/>
      <c r="H32" s="146"/>
    </row>
    <row r="33" spans="2:11" x14ac:dyDescent="0.25">
      <c r="B33" s="1420" t="s">
        <v>42</v>
      </c>
      <c r="C33" s="215">
        <v>0.5</v>
      </c>
      <c r="D33" s="146"/>
      <c r="H33" s="146"/>
    </row>
    <row r="34" spans="2:11" x14ac:dyDescent="0.25">
      <c r="B34" s="1420" t="s">
        <v>43</v>
      </c>
      <c r="C34" s="215">
        <v>0</v>
      </c>
      <c r="D34" s="146"/>
      <c r="H34" s="146"/>
    </row>
    <row r="35" spans="2:11" x14ac:dyDescent="0.25">
      <c r="B35" s="1420" t="s">
        <v>44</v>
      </c>
      <c r="C35" s="215">
        <v>7</v>
      </c>
      <c r="D35" s="146"/>
      <c r="H35" s="146"/>
    </row>
    <row r="36" spans="2:11" x14ac:dyDescent="0.25">
      <c r="B36" s="1420" t="s">
        <v>45</v>
      </c>
      <c r="C36" s="215">
        <v>2</v>
      </c>
      <c r="D36" s="146"/>
      <c r="H36" s="146"/>
    </row>
    <row r="37" spans="2:11" x14ac:dyDescent="0.25">
      <c r="B37" s="1420" t="s">
        <v>46</v>
      </c>
      <c r="C37" s="214">
        <f>SUM(C32,C33,C34,C35,C36)</f>
        <v>10</v>
      </c>
      <c r="D37" s="146"/>
      <c r="H37" s="146"/>
    </row>
    <row r="38" spans="2:11" x14ac:dyDescent="0.25">
      <c r="B38" s="159"/>
      <c r="C38" s="173"/>
      <c r="D38" s="146"/>
      <c r="H38" s="146"/>
    </row>
    <row r="39" spans="2:11" ht="25.5" x14ac:dyDescent="0.25">
      <c r="B39" s="1743" t="s">
        <v>257</v>
      </c>
      <c r="C39" s="1743"/>
      <c r="D39" s="1743"/>
      <c r="E39" s="1743"/>
      <c r="F39" s="1743"/>
      <c r="G39" s="1743"/>
      <c r="H39" s="1743"/>
      <c r="I39" s="1743"/>
    </row>
    <row r="41" spans="2:11" ht="25.5" x14ac:dyDescent="0.25">
      <c r="B41" s="1242" t="s">
        <v>0</v>
      </c>
      <c r="C41" s="1242" t="s">
        <v>1</v>
      </c>
      <c r="D41" s="1242" t="s">
        <v>2</v>
      </c>
      <c r="E41" s="1242" t="s">
        <v>3</v>
      </c>
      <c r="F41" s="1243" t="str">
        <f>+'CIF Y PV'!$F$4</f>
        <v xml:space="preserve">JUN-COP/UMB </v>
      </c>
      <c r="G41" s="1243" t="str">
        <f>+'CIF Y PV'!$G$4</f>
        <v>JUN-COP/APP</v>
      </c>
      <c r="H41" s="1243" t="str">
        <f>+'CIF Y PV'!$H$4</f>
        <v xml:space="preserve">MAY-COP/UMB </v>
      </c>
      <c r="I41" s="1243" t="str">
        <f>+'CIF Y PV'!$I$4</f>
        <v>MAY-COP/APP</v>
      </c>
      <c r="J41" s="1243" t="s">
        <v>3</v>
      </c>
      <c r="K41" s="1283">
        <v>2231</v>
      </c>
    </row>
    <row r="42" spans="2:11" x14ac:dyDescent="0.25">
      <c r="B42" s="165"/>
      <c r="C42" s="165" t="s">
        <v>136</v>
      </c>
      <c r="D42" s="166">
        <v>0.48840000000000011</v>
      </c>
      <c r="E42" s="805">
        <f>(D42*100)/$D$46</f>
        <v>95.839874411302986</v>
      </c>
      <c r="F42" s="1190">
        <f>G25</f>
        <v>3208.0150488583927</v>
      </c>
      <c r="G42" s="805">
        <f>F42*D42</f>
        <v>1566.7945498624395</v>
      </c>
      <c r="H42" s="805">
        <v>5361.0352832140006</v>
      </c>
      <c r="I42" s="167">
        <f>H42*D42</f>
        <v>2618.3296323217187</v>
      </c>
      <c r="J42" s="270">
        <f>((F42/H42)*100)-100</f>
        <v>-40.160530953731168</v>
      </c>
      <c r="K42" s="146">
        <f>$K$41*E42%</f>
        <v>2138.1875981161697</v>
      </c>
    </row>
    <row r="43" spans="2:11" x14ac:dyDescent="0.25">
      <c r="B43" s="154">
        <f>VLOOKUP(C43,[1]Hoja1!$B$2:$C$260,2,FALSE)</f>
        <v>1230011</v>
      </c>
      <c r="C43" s="154" t="s">
        <v>1173</v>
      </c>
      <c r="D43" s="143">
        <v>6.7999999999999996E-3</v>
      </c>
      <c r="E43" s="96">
        <f>(D43*100)/$D$46</f>
        <v>1.3343799058084769</v>
      </c>
      <c r="F43" s="96">
        <f>VLOOKUP(B43,[2]Hoja1!$C$2:$E$279,3,FALSE)</f>
        <v>5480</v>
      </c>
      <c r="G43" s="805">
        <f>F43*D43</f>
        <v>37.263999999999996</v>
      </c>
      <c r="H43" s="96">
        <v>5480</v>
      </c>
      <c r="I43" s="167">
        <f>H43*D43</f>
        <v>37.263999999999996</v>
      </c>
      <c r="J43" s="250">
        <f>((F43/H43)*100)-100</f>
        <v>0</v>
      </c>
      <c r="K43" s="146">
        <f>$K$41*E43%</f>
        <v>29.77001569858712</v>
      </c>
    </row>
    <row r="44" spans="2:11" x14ac:dyDescent="0.25">
      <c r="B44" s="154">
        <f>VLOOKUP(C44,[1]Hoja1!$B$2:$C$260,2,FALSE)</f>
        <v>1220012</v>
      </c>
      <c r="C44" s="154" t="s">
        <v>1174</v>
      </c>
      <c r="D44" s="143">
        <v>1.44E-2</v>
      </c>
      <c r="E44" s="96">
        <f>(D44*100)/$D$46</f>
        <v>2.8257456828885394</v>
      </c>
      <c r="F44" s="96">
        <f>VLOOKUP(B44,[2]Hoja1!$C$2:$E$279,3,FALSE)</f>
        <v>8450</v>
      </c>
      <c r="G44" s="805">
        <f>F44*D44</f>
        <v>121.67999999999999</v>
      </c>
      <c r="H44" s="96">
        <v>8450</v>
      </c>
      <c r="I44" s="167">
        <f>H44*D44</f>
        <v>121.67999999999999</v>
      </c>
      <c r="J44" s="250">
        <f>((F44/H44)*100)-100</f>
        <v>0</v>
      </c>
      <c r="K44" s="146">
        <f>$K$41*E44%</f>
        <v>63.042386185243316</v>
      </c>
    </row>
    <row r="45" spans="2:11" ht="13.15" hidden="1" customHeight="1" x14ac:dyDescent="0.25">
      <c r="B45" s="806"/>
      <c r="C45" s="806"/>
      <c r="D45" s="807"/>
      <c r="E45" s="806"/>
      <c r="F45" s="96" t="e">
        <f>VLOOKUP(B45,[4]Hoja1!$C$2:$E$312,3,FALSE)</f>
        <v>#N/A</v>
      </c>
      <c r="G45" s="806"/>
      <c r="H45" s="799"/>
      <c r="I45" s="808"/>
      <c r="J45" s="907"/>
    </row>
    <row r="46" spans="2:11" s="146" customFormat="1" x14ac:dyDescent="0.25">
      <c r="B46" s="1822" t="s">
        <v>37</v>
      </c>
      <c r="C46" s="1822"/>
      <c r="D46" s="1410">
        <f>SUM(D42:D44)</f>
        <v>0.50960000000000005</v>
      </c>
      <c r="E46" s="1411">
        <f>SUM(E42:E44)</f>
        <v>100</v>
      </c>
      <c r="F46" s="1411"/>
      <c r="G46" s="1412">
        <f>SUM(G42:G44)</f>
        <v>1725.7385498624394</v>
      </c>
      <c r="H46" s="1411"/>
      <c r="I46" s="1412">
        <f>SUM(I42:I44)</f>
        <v>2777.2736323217187</v>
      </c>
      <c r="J46" s="908">
        <f>((G46/I46)*100)-100</f>
        <v>-37.862134656865877</v>
      </c>
    </row>
    <row r="47" spans="2:11" x14ac:dyDescent="0.25">
      <c r="G47" s="217"/>
      <c r="H47" s="159"/>
      <c r="I47" s="224"/>
      <c r="J47" s="897"/>
    </row>
    <row r="48" spans="2:11" x14ac:dyDescent="0.25">
      <c r="E48" s="120">
        <f>0.0098*15</f>
        <v>0.14699999999999999</v>
      </c>
      <c r="G48" s="217"/>
      <c r="H48" s="159"/>
      <c r="I48" s="224"/>
    </row>
    <row r="49" spans="2:11" ht="25.5" x14ac:dyDescent="0.25">
      <c r="B49" s="1789" t="s">
        <v>47</v>
      </c>
      <c r="C49" s="1790"/>
      <c r="D49" s="1790"/>
      <c r="E49" s="1790"/>
      <c r="F49" s="1790"/>
      <c r="G49" s="1790"/>
      <c r="H49" s="1790"/>
      <c r="I49" s="1791"/>
      <c r="J49" s="223"/>
    </row>
    <row r="50" spans="2:11" ht="25.5" x14ac:dyDescent="0.25">
      <c r="B50" s="1368" t="s">
        <v>0</v>
      </c>
      <c r="C50" s="1368" t="s">
        <v>1</v>
      </c>
      <c r="D50" s="1421" t="s">
        <v>2</v>
      </c>
      <c r="E50" s="1243" t="str">
        <f>+'CIF Y PV'!$F$4</f>
        <v xml:space="preserve">JUN-COP/UMB </v>
      </c>
      <c r="F50" s="1243" t="str">
        <f>+'CIF Y PV'!$G$4</f>
        <v>JUN-COP/APP</v>
      </c>
      <c r="G50" s="1243" t="str">
        <f>+'CIF Y PV'!$H$4</f>
        <v xml:space="preserve">MAY-COP/UMB </v>
      </c>
      <c r="H50" s="1243" t="str">
        <f>+'CIF Y PV'!$I$4</f>
        <v>MAY-COP/APP</v>
      </c>
      <c r="I50" s="1243" t="s">
        <v>3</v>
      </c>
      <c r="J50" s="119">
        <v>3718</v>
      </c>
    </row>
    <row r="51" spans="2:11" x14ac:dyDescent="0.25">
      <c r="B51" s="222">
        <f>VLOOKUP(C51,[1]Hoja1!$B$2:$C$260,2,FALSE)</f>
        <v>1370003</v>
      </c>
      <c r="C51" s="222" t="s">
        <v>1175</v>
      </c>
      <c r="D51" s="221">
        <v>6.9000000000000006E-2</v>
      </c>
      <c r="E51" s="225">
        <f>VLOOKUP(B51,[2]Hoja1!$C$2:$E$279,3,FALSE)</f>
        <v>698</v>
      </c>
      <c r="F51" s="225">
        <f>E51*D51</f>
        <v>48.162000000000006</v>
      </c>
      <c r="G51" s="225">
        <v>698.51</v>
      </c>
      <c r="H51" s="634">
        <f>G51*D51</f>
        <v>48.197190000000006</v>
      </c>
      <c r="I51" s="1204">
        <f>((E51/G51)*100)-100</f>
        <v>-7.3012555296273263E-2</v>
      </c>
      <c r="J51" s="119">
        <f>J50*D51</f>
        <v>256.54200000000003</v>
      </c>
    </row>
    <row r="52" spans="2:11" ht="15" x14ac:dyDescent="0.25">
      <c r="B52" s="222">
        <f>VLOOKUP(C52,[1]Hoja1!$B$2:$C$260,2,FALSE)</f>
        <v>1380002</v>
      </c>
      <c r="C52" s="222" t="s">
        <v>1051</v>
      </c>
      <c r="D52" s="221">
        <v>0.1426</v>
      </c>
      <c r="E52" s="225">
        <f>VLOOKUP(B52,[2]Hoja1!$C$2:$E$279,3,FALSE)</f>
        <v>73.33</v>
      </c>
      <c r="F52" s="225">
        <f t="shared" ref="F52:F54" si="5">E52*D52</f>
        <v>10.456858</v>
      </c>
      <c r="G52" s="866">
        <v>76.61</v>
      </c>
      <c r="H52" s="634">
        <f>G52*D52</f>
        <v>10.924586</v>
      </c>
      <c r="I52" s="1204">
        <f>((E52/G52)*100)-100</f>
        <v>-4.281425401383629</v>
      </c>
      <c r="J52" s="119">
        <f>J50*D52</f>
        <v>530.18680000000006</v>
      </c>
    </row>
    <row r="53" spans="2:11" x14ac:dyDescent="0.25">
      <c r="B53" s="222">
        <f>VLOOKUP(C53,[1]Hoja1!$B$2:$C$260,2,FALSE)</f>
        <v>1360001</v>
      </c>
      <c r="C53" s="222" t="s">
        <v>223</v>
      </c>
      <c r="D53" s="221">
        <v>4</v>
      </c>
      <c r="E53" s="225">
        <f>VLOOKUP(B53,[2]Hoja1!$C$2:$E$279,3,FALSE)</f>
        <v>22</v>
      </c>
      <c r="F53" s="225">
        <f t="shared" si="5"/>
        <v>88</v>
      </c>
      <c r="G53" s="167">
        <v>22</v>
      </c>
      <c r="H53" s="634">
        <f>G53*D53</f>
        <v>88</v>
      </c>
      <c r="I53" s="1204">
        <f>((E53/G53)*100)-100</f>
        <v>0</v>
      </c>
      <c r="J53" s="119">
        <f>J50*D53</f>
        <v>14872</v>
      </c>
    </row>
    <row r="54" spans="2:11" x14ac:dyDescent="0.25">
      <c r="B54" s="222">
        <f>VLOOKUP(C54,[1]Hoja1!$B$2:$C$260,2,FALSE)</f>
        <v>1340003</v>
      </c>
      <c r="C54" s="222" t="s">
        <v>1176</v>
      </c>
      <c r="D54" s="225">
        <v>1</v>
      </c>
      <c r="E54" s="225">
        <f>VLOOKUP(B54,[2]Hoja1!$C$2:$E$279,3,FALSE)</f>
        <v>578.97</v>
      </c>
      <c r="F54" s="225">
        <f t="shared" si="5"/>
        <v>578.97</v>
      </c>
      <c r="G54" s="225">
        <v>555.34</v>
      </c>
      <c r="H54" s="634">
        <f>G54*D54</f>
        <v>555.34</v>
      </c>
      <c r="I54" s="1204">
        <f>((E54/G54)*100)-100</f>
        <v>4.2550509597723902</v>
      </c>
      <c r="J54" s="119">
        <f>J50*D54</f>
        <v>3718</v>
      </c>
    </row>
    <row r="55" spans="2:11" x14ac:dyDescent="0.25">
      <c r="B55" s="1370"/>
      <c r="C55" s="1370" t="s">
        <v>37</v>
      </c>
      <c r="D55" s="1372"/>
      <c r="E55" s="1372"/>
      <c r="F55" s="1422">
        <f>SUM(F51:F54)</f>
        <v>725.58885800000007</v>
      </c>
      <c r="G55" s="1372"/>
      <c r="H55" s="1372">
        <f>SUM(H51:H54)</f>
        <v>702.4617760000001</v>
      </c>
      <c r="I55" s="909">
        <f>((F55/H55)*100)-100</f>
        <v>3.2922904548189962</v>
      </c>
    </row>
    <row r="56" spans="2:11" x14ac:dyDescent="0.25">
      <c r="H56" s="1" t="str">
        <f>+'CIF Y PV'!$G$1</f>
        <v>MAYO</v>
      </c>
      <c r="I56" s="207"/>
      <c r="J56" s="146"/>
      <c r="K56" s="207"/>
    </row>
    <row r="57" spans="2:11" x14ac:dyDescent="0.25">
      <c r="B57" s="1841" t="s">
        <v>327</v>
      </c>
      <c r="C57" s="1842"/>
      <c r="E57" s="884"/>
      <c r="F57" s="884"/>
      <c r="G57" s="884"/>
      <c r="H57" s="900">
        <f>+G46+F55</f>
        <v>2451.3274078624395</v>
      </c>
      <c r="I57" s="181"/>
      <c r="J57" s="900"/>
      <c r="K57" s="181"/>
    </row>
    <row r="58" spans="2:11" x14ac:dyDescent="0.25">
      <c r="B58" s="1843" t="s">
        <v>48</v>
      </c>
      <c r="C58" s="1844"/>
      <c r="E58" s="884"/>
      <c r="F58" s="884"/>
      <c r="G58" s="884"/>
      <c r="H58" s="900">
        <f>+('CIF Y PV'!C3/1000)*600</f>
        <v>1134</v>
      </c>
      <c r="I58" s="207"/>
      <c r="J58" s="900"/>
      <c r="K58" s="207"/>
    </row>
    <row r="59" spans="2:11" x14ac:dyDescent="0.25">
      <c r="B59" s="1843" t="s">
        <v>328</v>
      </c>
      <c r="C59" s="1844"/>
      <c r="E59" s="884"/>
      <c r="F59" s="884"/>
      <c r="G59" s="884"/>
      <c r="H59" s="900">
        <f>+H57+H58</f>
        <v>3585.3274078624395</v>
      </c>
      <c r="I59" s="219"/>
      <c r="J59" s="900"/>
      <c r="K59" s="219"/>
    </row>
    <row r="60" spans="2:11" x14ac:dyDescent="0.25">
      <c r="B60" s="1841" t="s">
        <v>49</v>
      </c>
      <c r="C60" s="1842"/>
      <c r="E60" s="884"/>
      <c r="F60" s="884"/>
      <c r="G60" s="884"/>
      <c r="H60" s="900">
        <f>'CIF Y PV'!C38</f>
        <v>12847.960800000003</v>
      </c>
      <c r="I60" s="1213"/>
      <c r="J60" s="900"/>
      <c r="K60" s="300"/>
    </row>
    <row r="61" spans="2:11" x14ac:dyDescent="0.2">
      <c r="B61" s="1841" t="s">
        <v>805</v>
      </c>
      <c r="C61" s="1842"/>
      <c r="E61" s="884"/>
      <c r="F61" s="884"/>
      <c r="G61" s="884"/>
      <c r="H61" s="928">
        <f>+(H60-H59)/H60</f>
        <v>0.72094190948477677</v>
      </c>
      <c r="I61" s="199"/>
      <c r="J61" s="146"/>
      <c r="K61" s="199">
        <f>1-K60</f>
        <v>1</v>
      </c>
    </row>
    <row r="62" spans="2:11" x14ac:dyDescent="0.25">
      <c r="H62" s="146"/>
      <c r="I62" s="181"/>
      <c r="J62" s="304"/>
    </row>
    <row r="63" spans="2:11" x14ac:dyDescent="0.25">
      <c r="H63" s="146"/>
      <c r="I63" s="301"/>
    </row>
  </sheetData>
  <autoFilter ref="A4:K4" xr:uid="{E046FF47-BAE8-4450-A497-78FA263823C0}">
    <sortState xmlns:xlrd2="http://schemas.microsoft.com/office/spreadsheetml/2017/richdata2" ref="A5:K24">
      <sortCondition descending="1" ref="K4"/>
    </sortState>
  </autoFilter>
  <mergeCells count="11">
    <mergeCell ref="B49:I49"/>
    <mergeCell ref="B2:I2"/>
    <mergeCell ref="B25:C25"/>
    <mergeCell ref="B28:C28"/>
    <mergeCell ref="B39:I39"/>
    <mergeCell ref="B46:C46"/>
    <mergeCell ref="B61:C61"/>
    <mergeCell ref="B60:C60"/>
    <mergeCell ref="B57:C57"/>
    <mergeCell ref="B58:C58"/>
    <mergeCell ref="B59:C59"/>
  </mergeCells>
  <pageMargins left="0.7" right="0.7" top="0.75" bottom="0.75" header="0.3" footer="0.3"/>
  <pageSetup scale="37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BA68-1FCB-4492-8D09-EC333F4DDCE4}">
  <sheetPr codeName="Hoja116"/>
  <dimension ref="B2:M76"/>
  <sheetViews>
    <sheetView view="pageBreakPreview" topLeftCell="A41" zoomScale="90" zoomScaleNormal="100" zoomScaleSheetLayoutView="90" workbookViewId="0">
      <selection activeCell="C21" sqref="C21"/>
    </sheetView>
  </sheetViews>
  <sheetFormatPr baseColWidth="10" defaultColWidth="11.5703125" defaultRowHeight="13.5" x14ac:dyDescent="0.25"/>
  <cols>
    <col min="1" max="1" width="9" style="120" customWidth="1"/>
    <col min="2" max="2" width="18.140625" style="120" customWidth="1"/>
    <col min="3" max="3" width="67.42578125" style="120" bestFit="1" customWidth="1"/>
    <col min="4" max="4" width="13.140625" style="120" customWidth="1"/>
    <col min="5" max="5" width="11.5703125" style="120"/>
    <col min="6" max="6" width="13" style="120" bestFit="1" customWidth="1"/>
    <col min="7" max="7" width="11.5703125" style="120" customWidth="1"/>
    <col min="8" max="8" width="14.85546875" style="120" customWidth="1"/>
    <col min="9" max="9" width="14.42578125" style="120" bestFit="1" customWidth="1"/>
    <col min="10" max="10" width="12.5703125" style="119" bestFit="1" customWidth="1"/>
    <col min="11" max="11" width="12" style="120" customWidth="1"/>
    <col min="12" max="12" width="11.5703125" style="120"/>
    <col min="13" max="13" width="16" style="120" bestFit="1" customWidth="1"/>
    <col min="14" max="16384" width="11.5703125" style="120"/>
  </cols>
  <sheetData>
    <row r="2" spans="2:13" ht="25.5" x14ac:dyDescent="0.25">
      <c r="B2" s="1743" t="s">
        <v>256</v>
      </c>
      <c r="C2" s="1743"/>
      <c r="D2" s="1743"/>
      <c r="E2" s="1743"/>
      <c r="F2" s="1743"/>
      <c r="G2" s="1743"/>
      <c r="H2" s="1743"/>
      <c r="I2" s="1743"/>
    </row>
    <row r="4" spans="2:13" ht="28.5" x14ac:dyDescent="0.25">
      <c r="B4" s="1355" t="s">
        <v>0</v>
      </c>
      <c r="C4" s="1355" t="s">
        <v>1</v>
      </c>
      <c r="D4" s="1355" t="s">
        <v>2</v>
      </c>
      <c r="E4" s="1355" t="s">
        <v>3</v>
      </c>
      <c r="F4" s="1335" t="str">
        <f>+'CIF Y PV'!$F$2</f>
        <v xml:space="preserve">JUN-COP/Kg </v>
      </c>
      <c r="G4" s="1335" t="str">
        <f>+'CIF Y PV'!$G$2</f>
        <v>JUN-COP/APP</v>
      </c>
      <c r="H4" s="1335" t="str">
        <f>+'CIF Y PV'!$H$2</f>
        <v xml:space="preserve">MAY-COP/Kg </v>
      </c>
      <c r="I4" s="1335" t="str">
        <f>+'CIF Y PV'!$I$2</f>
        <v>MAY-COP/APP</v>
      </c>
      <c r="J4" s="1335" t="s">
        <v>3</v>
      </c>
      <c r="K4" s="1418">
        <v>0.26400000000000001</v>
      </c>
      <c r="L4" s="1419">
        <v>1508.4</v>
      </c>
      <c r="M4" s="1337"/>
    </row>
    <row r="5" spans="2:13" ht="16.5" x14ac:dyDescent="0.25">
      <c r="B5" s="576">
        <f>VLOOKUP(C5,[1]Hoja1!$B$2:$C$260,2,FALSE)</f>
        <v>1112001</v>
      </c>
      <c r="C5" s="523" t="s">
        <v>797</v>
      </c>
      <c r="D5" s="494">
        <v>5.0755767700875108E-2</v>
      </c>
      <c r="E5" s="498">
        <v>19.225669583664811</v>
      </c>
      <c r="F5" s="982">
        <f>VLOOKUP(B5,[2]Hoja1!$C$2:$E$279,3,FALSE)</f>
        <v>3663.96</v>
      </c>
      <c r="G5" s="498">
        <f t="shared" ref="G5:G24" si="0">F5*D5</f>
        <v>185.96710262529837</v>
      </c>
      <c r="H5" s="982">
        <v>4222.72</v>
      </c>
      <c r="I5" s="498">
        <f>H5*D5</f>
        <v>214.32739538583934</v>
      </c>
      <c r="J5" s="905">
        <f t="shared" ref="J5:J24" si="1">((F5/H5)*100)-100</f>
        <v>-13.232229463473786</v>
      </c>
      <c r="K5" s="282">
        <f>$K$4*E5%</f>
        <v>5.0755767700875108E-2</v>
      </c>
      <c r="L5" s="419">
        <v>290</v>
      </c>
      <c r="M5" s="1403">
        <f>L5*F5</f>
        <v>1062548.3999999999</v>
      </c>
    </row>
    <row r="6" spans="2:13" ht="16.5" x14ac:dyDescent="0.25">
      <c r="B6" s="576">
        <f>VLOOKUP(C6,[1]Hoja1!$B$2:$C$260,2,FALSE)</f>
        <v>1111002</v>
      </c>
      <c r="C6" s="523" t="s">
        <v>1170</v>
      </c>
      <c r="D6" s="190">
        <v>2.9928400954653937E-2</v>
      </c>
      <c r="E6" s="498">
        <v>11.336515513126491</v>
      </c>
      <c r="F6" s="982">
        <f>VLOOKUP(B6,[2]Hoja1!$C$2:$E$279,3,FALSE)</f>
        <v>2800</v>
      </c>
      <c r="G6" s="73">
        <f t="shared" si="0"/>
        <v>83.799522673031021</v>
      </c>
      <c r="H6" s="1184">
        <v>2803.03</v>
      </c>
      <c r="I6" s="498">
        <f t="shared" ref="I6:I24" si="2">H6*D6</f>
        <v>83.890205727923629</v>
      </c>
      <c r="J6" s="536">
        <f t="shared" si="1"/>
        <v>-0.10809730898350267</v>
      </c>
      <c r="K6" s="282">
        <f t="shared" ref="K6:K24" si="3">$K$4*E6%</f>
        <v>2.9928400954653937E-2</v>
      </c>
      <c r="L6" s="419">
        <v>171</v>
      </c>
      <c r="M6" s="1403">
        <f t="shared" ref="M6:M24" si="4">L6*F6</f>
        <v>478800</v>
      </c>
    </row>
    <row r="7" spans="2:13" ht="16.5" x14ac:dyDescent="0.25">
      <c r="B7" s="576">
        <f>VLOOKUP(C7,[1]Hoja1!$B$2:$C$260,2,FALSE)</f>
        <v>1112005</v>
      </c>
      <c r="C7" s="523" t="s">
        <v>1168</v>
      </c>
      <c r="D7" s="190">
        <v>1.4351630867143994E-2</v>
      </c>
      <c r="E7" s="498">
        <v>5.436223813312119</v>
      </c>
      <c r="F7" s="982">
        <f>VLOOKUP(B7,[2]Hoja1!$C$2:$E$279,3,FALSE)</f>
        <v>12700.23</v>
      </c>
      <c r="G7" s="73">
        <f t="shared" si="0"/>
        <v>182.26901288782815</v>
      </c>
      <c r="H7" s="585">
        <v>14378.04</v>
      </c>
      <c r="I7" s="498">
        <f t="shared" si="2"/>
        <v>206.34832267303105</v>
      </c>
      <c r="J7" s="536">
        <f t="shared" si="1"/>
        <v>-11.669253945600374</v>
      </c>
      <c r="K7" s="282">
        <f t="shared" si="3"/>
        <v>1.4351630867143994E-2</v>
      </c>
      <c r="L7" s="419">
        <v>82</v>
      </c>
      <c r="M7" s="1403">
        <f t="shared" si="4"/>
        <v>1041418.86</v>
      </c>
    </row>
    <row r="8" spans="2:13" ht="16.5" x14ac:dyDescent="0.25">
      <c r="B8" s="576">
        <f>VLOOKUP(C8,[1]Hoja1!$B$2:$C$260,2,FALSE)</f>
        <v>1131002</v>
      </c>
      <c r="C8" s="523" t="s">
        <v>663</v>
      </c>
      <c r="D8" s="190">
        <v>0.10746746221161495</v>
      </c>
      <c r="E8" s="498">
        <v>40.707372049854143</v>
      </c>
      <c r="F8" s="982">
        <f>VLOOKUP(B8,[2]Hoja1!$C$2:$E$279,3,FALSE)</f>
        <v>0</v>
      </c>
      <c r="G8" s="73">
        <f t="shared" si="0"/>
        <v>0</v>
      </c>
      <c r="H8" s="1184">
        <v>0</v>
      </c>
      <c r="I8" s="498">
        <f t="shared" si="2"/>
        <v>0</v>
      </c>
      <c r="J8" s="536" t="e">
        <f t="shared" si="1"/>
        <v>#DIV/0!</v>
      </c>
      <c r="K8" s="282">
        <f t="shared" si="3"/>
        <v>0.10746746221161495</v>
      </c>
      <c r="L8" s="419">
        <v>614.03</v>
      </c>
      <c r="M8" s="1403">
        <f t="shared" si="4"/>
        <v>0</v>
      </c>
    </row>
    <row r="9" spans="2:13" ht="16.5" x14ac:dyDescent="0.25">
      <c r="B9" s="576">
        <f>VLOOKUP(C9,[1]Hoja1!$B$2:$C$260,2,FALSE)</f>
        <v>1250007</v>
      </c>
      <c r="C9" s="523" t="s">
        <v>1171</v>
      </c>
      <c r="D9" s="190">
        <v>7.8758949880668259E-4</v>
      </c>
      <c r="E9" s="498">
        <v>0.29832935560859186</v>
      </c>
      <c r="F9" s="982">
        <f>VLOOKUP(B9,[2]Hoja1!$C$2:$E$279,3,FALSE)</f>
        <v>61516.21</v>
      </c>
      <c r="G9" s="73">
        <f t="shared" si="0"/>
        <v>48.449521002386632</v>
      </c>
      <c r="H9" s="70">
        <v>58309.97</v>
      </c>
      <c r="I9" s="498">
        <f t="shared" si="2"/>
        <v>45.924320047732699</v>
      </c>
      <c r="J9" s="536">
        <f t="shared" si="1"/>
        <v>5.4986137019106707</v>
      </c>
      <c r="K9" s="282">
        <f t="shared" si="3"/>
        <v>7.8758949880668259E-4</v>
      </c>
      <c r="L9" s="419">
        <v>4.5</v>
      </c>
      <c r="M9" s="1403">
        <f t="shared" si="4"/>
        <v>276822.94500000001</v>
      </c>
    </row>
    <row r="10" spans="2:13" ht="16.5" x14ac:dyDescent="0.25">
      <c r="B10" s="576">
        <f>VLOOKUP(C10,[1]Hoja1!$B$2:$C$260,2,FALSE)</f>
        <v>1210005</v>
      </c>
      <c r="C10" s="523" t="s">
        <v>1155</v>
      </c>
      <c r="D10" s="190">
        <v>4.0919649960222751E-3</v>
      </c>
      <c r="E10" s="498">
        <v>1.5499867409175283</v>
      </c>
      <c r="F10" s="982">
        <f>VLOOKUP(B10,[2]Hoja1!$C$2:$E$279,3,FALSE)</f>
        <v>1356</v>
      </c>
      <c r="G10" s="73">
        <f t="shared" si="0"/>
        <v>5.5487045346062054</v>
      </c>
      <c r="H10" s="70">
        <v>1360</v>
      </c>
      <c r="I10" s="498">
        <f t="shared" si="2"/>
        <v>5.5650723945902945</v>
      </c>
      <c r="J10" s="536">
        <f t="shared" si="1"/>
        <v>-0.29411764705882604</v>
      </c>
      <c r="K10" s="282">
        <f t="shared" si="3"/>
        <v>4.0919649960222751E-3</v>
      </c>
      <c r="L10" s="419">
        <v>23.38</v>
      </c>
      <c r="M10" s="1403">
        <f t="shared" si="4"/>
        <v>31703.279999999999</v>
      </c>
    </row>
    <row r="11" spans="2:13" ht="16.5" x14ac:dyDescent="0.3">
      <c r="B11" s="576">
        <f>VLOOKUP(C11,[1]Hoja1!$B$2:$C$260,2,FALSE)</f>
        <v>121007</v>
      </c>
      <c r="C11" s="523" t="s">
        <v>821</v>
      </c>
      <c r="D11" s="190">
        <v>7.8758949880668259E-4</v>
      </c>
      <c r="E11" s="498">
        <v>0.29832935560859186</v>
      </c>
      <c r="F11" s="982">
        <f>VLOOKUP(B11,[2]Hoja1!$C$2:$E$279,3,FALSE)</f>
        <v>16905</v>
      </c>
      <c r="G11" s="73">
        <f t="shared" si="0"/>
        <v>13.314200477326969</v>
      </c>
      <c r="H11" s="964">
        <v>16100</v>
      </c>
      <c r="I11" s="498">
        <f t="shared" si="2"/>
        <v>12.680190930787589</v>
      </c>
      <c r="J11" s="536">
        <f t="shared" si="1"/>
        <v>5</v>
      </c>
      <c r="K11" s="282">
        <f t="shared" si="3"/>
        <v>7.8758949880668259E-4</v>
      </c>
      <c r="L11" s="419">
        <v>4.5</v>
      </c>
      <c r="M11" s="1403">
        <f t="shared" si="4"/>
        <v>76072.5</v>
      </c>
    </row>
    <row r="12" spans="2:13" ht="16.5" x14ac:dyDescent="0.3">
      <c r="B12" s="576">
        <f>VLOOKUP(C12,[1]Hoja1!$B$2:$C$260,2,FALSE)</f>
        <v>1240002</v>
      </c>
      <c r="C12" s="523" t="s">
        <v>1140</v>
      </c>
      <c r="D12" s="190">
        <v>7.8758949880668259E-4</v>
      </c>
      <c r="E12" s="498">
        <v>0.29832935560859186</v>
      </c>
      <c r="F12" s="982">
        <f>VLOOKUP(B12,[2]Hoja1!$C$2:$E$279,3,FALSE)</f>
        <v>66115.8</v>
      </c>
      <c r="G12" s="73">
        <f t="shared" si="0"/>
        <v>52.072109785202869</v>
      </c>
      <c r="H12" s="964">
        <v>70840.75</v>
      </c>
      <c r="I12" s="498">
        <f t="shared" si="2"/>
        <v>55.7934307875895</v>
      </c>
      <c r="J12" s="536">
        <f t="shared" si="1"/>
        <v>-6.6698192777461998</v>
      </c>
      <c r="K12" s="282">
        <f t="shared" si="3"/>
        <v>7.8758949880668259E-4</v>
      </c>
      <c r="L12" s="419">
        <v>4.5</v>
      </c>
      <c r="M12" s="1403">
        <f t="shared" si="4"/>
        <v>297521.10000000003</v>
      </c>
    </row>
    <row r="13" spans="2:13" ht="16.5" x14ac:dyDescent="0.3">
      <c r="B13" s="576">
        <f>VLOOKUP(C13,[1]Hoja1!$B$2:$C$260,2,FALSE)</f>
        <v>1230016</v>
      </c>
      <c r="C13" s="523" t="s">
        <v>904</v>
      </c>
      <c r="D13" s="190">
        <v>1.0501193317422435E-3</v>
      </c>
      <c r="E13" s="498">
        <v>0.39777247414478922</v>
      </c>
      <c r="F13" s="982">
        <f>VLOOKUP(B13,[2]Hoja1!$C$2:$E$279,3,FALSE)</f>
        <v>91559.6</v>
      </c>
      <c r="G13" s="73">
        <f t="shared" si="0"/>
        <v>96.148505966587123</v>
      </c>
      <c r="H13" s="965">
        <v>87200</v>
      </c>
      <c r="I13" s="498">
        <f t="shared" si="2"/>
        <v>91.570405727923628</v>
      </c>
      <c r="J13" s="536">
        <f t="shared" si="1"/>
        <v>4.9995412844036764</v>
      </c>
      <c r="K13" s="282">
        <f t="shared" si="3"/>
        <v>1.0501193317422435E-3</v>
      </c>
      <c r="L13" s="419">
        <v>6</v>
      </c>
      <c r="M13" s="1403">
        <f t="shared" si="4"/>
        <v>549357.60000000009</v>
      </c>
    </row>
    <row r="14" spans="2:13" ht="16.5" x14ac:dyDescent="0.3">
      <c r="B14" s="576">
        <f>VLOOKUP(C14,[1]Hoja1!$B$2:$C$260,2,FALSE)</f>
        <v>1220008</v>
      </c>
      <c r="C14" s="523" t="s">
        <v>1157</v>
      </c>
      <c r="D14" s="190">
        <v>2.6252983293556086E-4</v>
      </c>
      <c r="E14" s="498">
        <v>9.9443118536197306E-2</v>
      </c>
      <c r="F14" s="982">
        <f>VLOOKUP(B14,[2]Hoja1!$C$2:$E$279,3,FALSE)</f>
        <v>50476.2</v>
      </c>
      <c r="G14" s="73">
        <f t="shared" si="0"/>
        <v>13.251508353221956</v>
      </c>
      <c r="H14" s="533">
        <v>48608.39</v>
      </c>
      <c r="I14" s="498">
        <f t="shared" si="2"/>
        <v>12.761152505966587</v>
      </c>
      <c r="J14" s="536">
        <f t="shared" si="1"/>
        <v>3.8425670959272509</v>
      </c>
      <c r="K14" s="282">
        <f t="shared" si="3"/>
        <v>2.6252983293556086E-4</v>
      </c>
      <c r="L14" s="419">
        <v>1.5</v>
      </c>
      <c r="M14" s="1403">
        <f t="shared" si="4"/>
        <v>75714.299999999988</v>
      </c>
    </row>
    <row r="15" spans="2:13" ht="16.5" x14ac:dyDescent="0.25">
      <c r="B15" s="576">
        <f>VLOOKUP(C15,[1]Hoja1!$B$2:$C$260,2,FALSE)</f>
        <v>1220005</v>
      </c>
      <c r="C15" s="523" t="s">
        <v>1135</v>
      </c>
      <c r="D15" s="190">
        <v>9.4510739856801902E-4</v>
      </c>
      <c r="E15" s="498">
        <v>0.35799522673031026</v>
      </c>
      <c r="F15" s="982">
        <f>VLOOKUP(B15,[2]Hoja1!$C$2:$E$279,3,FALSE)</f>
        <v>17429.990000000002</v>
      </c>
      <c r="G15" s="73">
        <f t="shared" si="0"/>
        <v>16.473212505966586</v>
      </c>
      <c r="H15" s="88">
        <v>17430</v>
      </c>
      <c r="I15" s="498">
        <f t="shared" si="2"/>
        <v>16.473221957040572</v>
      </c>
      <c r="J15" s="536">
        <f t="shared" si="1"/>
        <v>-5.7372346518036466E-5</v>
      </c>
      <c r="K15" s="282">
        <f t="shared" si="3"/>
        <v>9.4510739856801902E-4</v>
      </c>
      <c r="L15" s="419">
        <v>5.4</v>
      </c>
      <c r="M15" s="1403">
        <f t="shared" si="4"/>
        <v>94121.946000000011</v>
      </c>
    </row>
    <row r="16" spans="2:13" ht="16.5" x14ac:dyDescent="0.3">
      <c r="B16" s="576">
        <f>VLOOKUP(C16,[1]Hoja1!$B$2:$C$260,2,FALSE)</f>
        <v>1220006</v>
      </c>
      <c r="C16" s="523" t="s">
        <v>1172</v>
      </c>
      <c r="D16" s="190">
        <v>1.7501988862370725E-4</v>
      </c>
      <c r="E16" s="498">
        <v>6.6295412357464861E-2</v>
      </c>
      <c r="F16" s="982">
        <f>VLOOKUP(B16,[2]Hoja1!$C$2:$E$279,3,FALSE)</f>
        <v>73448</v>
      </c>
      <c r="G16" s="73">
        <f t="shared" si="0"/>
        <v>12.85486077963405</v>
      </c>
      <c r="H16" s="964">
        <v>73448</v>
      </c>
      <c r="I16" s="498">
        <f t="shared" si="2"/>
        <v>12.85486077963405</v>
      </c>
      <c r="J16" s="536">
        <f t="shared" si="1"/>
        <v>0</v>
      </c>
      <c r="K16" s="282">
        <f t="shared" si="3"/>
        <v>1.7501988862370725E-4</v>
      </c>
      <c r="L16" s="419">
        <v>1</v>
      </c>
      <c r="M16" s="1403">
        <f t="shared" si="4"/>
        <v>73448</v>
      </c>
    </row>
    <row r="17" spans="2:13" ht="16.5" x14ac:dyDescent="0.25">
      <c r="B17" s="576">
        <f>VLOOKUP(C17,[1]Hoja1!$B$2:$C$260,2,FALSE)</f>
        <v>1220009</v>
      </c>
      <c r="C17" s="523" t="s">
        <v>1133</v>
      </c>
      <c r="D17" s="190">
        <v>1.1551312649164677E-3</v>
      </c>
      <c r="E17" s="498">
        <v>0.43754972155926808</v>
      </c>
      <c r="F17" s="982">
        <f>VLOOKUP(B17,[2]Hoja1!$C$2:$E$279,3,FALSE)</f>
        <v>21312.16</v>
      </c>
      <c r="G17" s="73">
        <f t="shared" si="0"/>
        <v>24.618342338902146</v>
      </c>
      <c r="H17" s="72">
        <v>20299</v>
      </c>
      <c r="I17" s="498">
        <f t="shared" si="2"/>
        <v>23.448009546539378</v>
      </c>
      <c r="J17" s="536">
        <f t="shared" si="1"/>
        <v>4.9911818316173253</v>
      </c>
      <c r="K17" s="282">
        <f t="shared" si="3"/>
        <v>1.1551312649164677E-3</v>
      </c>
      <c r="L17" s="419">
        <v>6.6</v>
      </c>
      <c r="M17" s="1403">
        <f t="shared" si="4"/>
        <v>140660.25599999999</v>
      </c>
    </row>
    <row r="18" spans="2:13" ht="16.5" x14ac:dyDescent="0.25">
      <c r="B18" s="576">
        <f>VLOOKUP(C18,[1]Hoja1!$B$2:$C$260,2,FALSE)</f>
        <v>1210003</v>
      </c>
      <c r="C18" s="523" t="s">
        <v>1143</v>
      </c>
      <c r="D18" s="190">
        <v>1.3126491646778043E-4</v>
      </c>
      <c r="E18" s="498">
        <v>4.9721559268098653E-2</v>
      </c>
      <c r="F18" s="982">
        <f>VLOOKUP(B18,[2]Hoja1!$C$2:$E$279,3,FALSE)</f>
        <v>16235.45</v>
      </c>
      <c r="G18" s="73">
        <f t="shared" si="0"/>
        <v>2.1311449880668261</v>
      </c>
      <c r="H18" s="88">
        <v>12852.58</v>
      </c>
      <c r="I18" s="498">
        <f t="shared" si="2"/>
        <v>1.6870928400954655</v>
      </c>
      <c r="J18" s="536">
        <f t="shared" si="1"/>
        <v>26.320551982559152</v>
      </c>
      <c r="K18" s="282">
        <f t="shared" si="3"/>
        <v>1.3126491646778043E-4</v>
      </c>
      <c r="L18" s="419">
        <v>0.75</v>
      </c>
      <c r="M18" s="1403">
        <f t="shared" si="4"/>
        <v>12176.587500000001</v>
      </c>
    </row>
    <row r="19" spans="2:13" ht="16.5" x14ac:dyDescent="0.3">
      <c r="B19" s="576">
        <f>VLOOKUP(C19,[1]Hoja1!$B$2:$C$260,2,FALSE)</f>
        <v>1260008</v>
      </c>
      <c r="C19" s="523" t="s">
        <v>1044</v>
      </c>
      <c r="D19" s="190">
        <v>2.3802704852824184E-2</v>
      </c>
      <c r="E19" s="498">
        <v>9.0161760806152209</v>
      </c>
      <c r="F19" s="982">
        <f>VLOOKUP(B19,[2]Hoja1!$C$2:$E$279,3,FALSE)</f>
        <v>10202.790000000001</v>
      </c>
      <c r="G19" s="73">
        <f t="shared" si="0"/>
        <v>242.85399904534609</v>
      </c>
      <c r="H19" s="965">
        <v>12670.44</v>
      </c>
      <c r="I19" s="498">
        <f t="shared" si="2"/>
        <v>301.59074367541768</v>
      </c>
      <c r="J19" s="536">
        <f t="shared" si="1"/>
        <v>-19.475645676077548</v>
      </c>
      <c r="K19" s="282">
        <f t="shared" si="3"/>
        <v>2.3802704852824184E-2</v>
      </c>
      <c r="L19" s="419">
        <v>136</v>
      </c>
      <c r="M19" s="1403">
        <f t="shared" si="4"/>
        <v>1387579.4400000002</v>
      </c>
    </row>
    <row r="20" spans="2:13" ht="16.5" x14ac:dyDescent="0.25">
      <c r="B20" s="576">
        <f>VLOOKUP(C20,[1]Hoja1!$B$2:$C$260,2,FALSE)</f>
        <v>1260014</v>
      </c>
      <c r="C20" s="523" t="s">
        <v>825</v>
      </c>
      <c r="D20" s="190">
        <v>1.2671439936356402E-3</v>
      </c>
      <c r="E20" s="498">
        <v>0.47997878546804557</v>
      </c>
      <c r="F20" s="982">
        <f>VLOOKUP(B20,[2]Hoja1!$C$2:$E$279,3,FALSE)</f>
        <v>28083.42</v>
      </c>
      <c r="G20" s="73">
        <f t="shared" si="0"/>
        <v>35.585736973747011</v>
      </c>
      <c r="H20" s="1092">
        <v>40834.379999999997</v>
      </c>
      <c r="I20" s="498">
        <f t="shared" si="2"/>
        <v>51.743039350835311</v>
      </c>
      <c r="J20" s="536">
        <f t="shared" si="1"/>
        <v>-31.226040410066219</v>
      </c>
      <c r="K20" s="282">
        <f t="shared" si="3"/>
        <v>1.2671439936356402E-3</v>
      </c>
      <c r="L20" s="419">
        <v>7.24</v>
      </c>
      <c r="M20" s="1403">
        <f t="shared" si="4"/>
        <v>203323.9608</v>
      </c>
    </row>
    <row r="21" spans="2:13" ht="16.5" x14ac:dyDescent="0.3">
      <c r="B21" s="576">
        <f>VLOOKUP(C21,[1]Hoja1!$B$2:$C$260,2,FALSE)</f>
        <v>1260010</v>
      </c>
      <c r="C21" s="523" t="s">
        <v>1043</v>
      </c>
      <c r="D21" s="190">
        <v>7.0007955449482894E-3</v>
      </c>
      <c r="E21" s="498">
        <v>2.6518164942985942</v>
      </c>
      <c r="F21" s="982">
        <f>VLOOKUP(B21,[2]Hoja1!$C$2:$E$279,3,FALSE)</f>
        <v>6959.71</v>
      </c>
      <c r="G21" s="73">
        <f t="shared" si="0"/>
        <v>48.723506762132061</v>
      </c>
      <c r="H21" s="965">
        <v>9565.2099999999991</v>
      </c>
      <c r="I21" s="498">
        <f t="shared" si="2"/>
        <v>66.964079554494816</v>
      </c>
      <c r="J21" s="536">
        <f t="shared" si="1"/>
        <v>-27.239339230398485</v>
      </c>
      <c r="K21" s="282">
        <f t="shared" si="3"/>
        <v>7.0007955449482894E-3</v>
      </c>
      <c r="L21" s="419">
        <v>40</v>
      </c>
      <c r="M21" s="1403">
        <f t="shared" si="4"/>
        <v>278388.40000000002</v>
      </c>
    </row>
    <row r="22" spans="2:13" ht="16.5" x14ac:dyDescent="0.25">
      <c r="B22" s="576">
        <f>VLOOKUP(C22,[1]Hoja1!$B$2:$C$260,2,FALSE)</f>
        <v>1260017</v>
      </c>
      <c r="C22" s="523" t="s">
        <v>832</v>
      </c>
      <c r="D22" s="190">
        <v>1.3126491646778043E-2</v>
      </c>
      <c r="E22" s="498">
        <v>4.9721559268098643</v>
      </c>
      <c r="F22" s="982">
        <f>VLOOKUP(B22,[2]Hoja1!$C$2:$E$279,3,FALSE)</f>
        <v>4500</v>
      </c>
      <c r="G22" s="73">
        <f>F22*D22</f>
        <v>59.069212410501194</v>
      </c>
      <c r="H22" s="70">
        <v>4500</v>
      </c>
      <c r="I22" s="498">
        <f t="shared" si="2"/>
        <v>59.069212410501194</v>
      </c>
      <c r="J22" s="536">
        <f>((F22/H22)*100)-100</f>
        <v>0</v>
      </c>
      <c r="K22" s="282">
        <f t="shared" si="3"/>
        <v>1.3126491646778043E-2</v>
      </c>
      <c r="L22" s="419">
        <v>75</v>
      </c>
      <c r="M22" s="1403">
        <f t="shared" si="4"/>
        <v>337500</v>
      </c>
    </row>
    <row r="23" spans="2:13" ht="16.5" x14ac:dyDescent="0.3">
      <c r="B23" s="576">
        <f>VLOOKUP(C23,[1]Hoja1!$B$2:$C$260,2,FALSE)</f>
        <v>1260018</v>
      </c>
      <c r="C23" s="523" t="s">
        <v>1056</v>
      </c>
      <c r="D23" s="190">
        <v>3.5003977724741447E-3</v>
      </c>
      <c r="E23" s="498">
        <v>1.3259082471492971</v>
      </c>
      <c r="F23" s="982">
        <f>VLOOKUP(B23,[2]Hoja1!$C$2:$E$279,3,FALSE)</f>
        <v>25909</v>
      </c>
      <c r="G23" s="73">
        <f>F23*D23</f>
        <v>90.691805887032615</v>
      </c>
      <c r="H23" s="964">
        <v>24213.99</v>
      </c>
      <c r="I23" s="498">
        <f t="shared" si="2"/>
        <v>84.758596658711227</v>
      </c>
      <c r="J23" s="536">
        <f>((F23/H23)*100)-100</f>
        <v>7.0001267862091083</v>
      </c>
      <c r="K23" s="282">
        <f t="shared" si="3"/>
        <v>3.5003977724741447E-3</v>
      </c>
      <c r="L23" s="419">
        <v>20</v>
      </c>
      <c r="M23" s="1403">
        <f t="shared" si="4"/>
        <v>518180</v>
      </c>
    </row>
    <row r="24" spans="2:13" ht="16.5" x14ac:dyDescent="0.3">
      <c r="B24" s="576">
        <f>VLOOKUP(C24,[1]Hoja1!$B$2:$C$260,2,FALSE)</f>
        <v>1260005</v>
      </c>
      <c r="C24" s="523" t="s">
        <v>811</v>
      </c>
      <c r="D24" s="190">
        <v>2.6252983293556086E-3</v>
      </c>
      <c r="E24" s="498">
        <v>0.99443118536197295</v>
      </c>
      <c r="F24" s="982">
        <f>VLOOKUP(B24,[2]Hoja1!$C$2:$E$279,3,FALSE)</f>
        <v>26429</v>
      </c>
      <c r="G24" s="73">
        <f t="shared" si="0"/>
        <v>69.384009546539374</v>
      </c>
      <c r="H24" s="533">
        <v>25850</v>
      </c>
      <c r="I24" s="498">
        <f t="shared" si="2"/>
        <v>67.863961813842479</v>
      </c>
      <c r="J24" s="536">
        <f t="shared" si="1"/>
        <v>2.2398452611218715</v>
      </c>
      <c r="K24" s="282">
        <f t="shared" si="3"/>
        <v>2.6252983293556086E-3</v>
      </c>
      <c r="L24" s="419">
        <v>15</v>
      </c>
      <c r="M24" s="1403">
        <f t="shared" si="4"/>
        <v>396435</v>
      </c>
    </row>
    <row r="25" spans="2:13" s="146" customFormat="1" ht="14.25" x14ac:dyDescent="0.25">
      <c r="B25" s="1820" t="s">
        <v>37</v>
      </c>
      <c r="C25" s="1820"/>
      <c r="D25" s="1414">
        <f>SUM(D5:D24)</f>
        <v>0.26400000000000001</v>
      </c>
      <c r="E25" s="1415">
        <f>SUM(E5:E24)</f>
        <v>99.999999999999986</v>
      </c>
      <c r="F25" s="1415"/>
      <c r="G25" s="1416">
        <f>SUM(G5:G24)</f>
        <v>1283.2060195433571</v>
      </c>
      <c r="H25" s="1415"/>
      <c r="I25" s="1416">
        <f>SUM(I5:I24)</f>
        <v>1415.3133147684966</v>
      </c>
      <c r="J25" s="1417">
        <f>((G25/I25)*100)-100</f>
        <v>-9.3341378086836073</v>
      </c>
      <c r="K25" s="1332"/>
      <c r="L25" s="1332"/>
      <c r="M25" s="1404">
        <f>SUM(M5:M24)</f>
        <v>7331772.5753000006</v>
      </c>
    </row>
    <row r="26" spans="2:13" s="146" customFormat="1" x14ac:dyDescent="0.25">
      <c r="B26" s="229"/>
      <c r="C26" s="229"/>
      <c r="D26" s="158"/>
      <c r="E26" s="130"/>
      <c r="F26" s="130"/>
      <c r="G26" s="130"/>
      <c r="H26" s="130"/>
      <c r="I26" s="224"/>
      <c r="J26" s="119"/>
    </row>
    <row r="28" spans="2:13" ht="25.5" x14ac:dyDescent="0.25">
      <c r="B28" s="1742" t="s">
        <v>50</v>
      </c>
      <c r="C28" s="1821"/>
      <c r="D28" s="38"/>
      <c r="E28" s="159"/>
      <c r="F28" s="159"/>
      <c r="G28" s="159"/>
      <c r="H28" s="159"/>
      <c r="I28" s="159"/>
      <c r="J28" s="158"/>
    </row>
    <row r="29" spans="2:13" x14ac:dyDescent="0.25">
      <c r="B29" s="1420" t="s">
        <v>38</v>
      </c>
      <c r="C29" s="215" t="s">
        <v>90</v>
      </c>
      <c r="D29" s="146">
        <f>C31+(C31*C37%)</f>
        <v>264</v>
      </c>
      <c r="G29" s="1033" t="s">
        <v>900</v>
      </c>
      <c r="H29" s="1034">
        <v>2</v>
      </c>
      <c r="I29" s="301">
        <f>H29/H31</f>
        <v>0.66666666666666663</v>
      </c>
      <c r="J29" s="119">
        <v>1</v>
      </c>
      <c r="K29" s="120">
        <f>+J29*I29</f>
        <v>0.66666666666666663</v>
      </c>
    </row>
    <row r="30" spans="2:13" x14ac:dyDescent="0.25">
      <c r="B30" s="1420" t="s">
        <v>39</v>
      </c>
      <c r="C30" s="215" t="s">
        <v>245</v>
      </c>
      <c r="D30" s="146"/>
      <c r="G30" s="1033" t="s">
        <v>901</v>
      </c>
      <c r="H30" s="1034">
        <v>1</v>
      </c>
      <c r="I30" s="301">
        <f>H30/H31</f>
        <v>0.33333333333333331</v>
      </c>
      <c r="J30" s="119">
        <v>5320</v>
      </c>
      <c r="K30" s="120">
        <f>+J30*I30</f>
        <v>1773.3333333333333</v>
      </c>
    </row>
    <row r="31" spans="2:13" x14ac:dyDescent="0.25">
      <c r="B31" s="1420" t="s">
        <v>40</v>
      </c>
      <c r="C31" s="215">
        <v>240</v>
      </c>
      <c r="D31" s="146"/>
      <c r="G31" s="1033" t="s">
        <v>465</v>
      </c>
      <c r="H31" s="1034">
        <f>SUM(H29:H30)</f>
        <v>3</v>
      </c>
      <c r="K31" s="120">
        <f>SUM(K29:K30)</f>
        <v>1774</v>
      </c>
    </row>
    <row r="32" spans="2:13" x14ac:dyDescent="0.25">
      <c r="B32" s="1420" t="s">
        <v>41</v>
      </c>
      <c r="C32" s="215">
        <v>0.5</v>
      </c>
      <c r="D32" s="146"/>
      <c r="H32" s="146"/>
    </row>
    <row r="33" spans="2:11" x14ac:dyDescent="0.25">
      <c r="B33" s="1420" t="s">
        <v>42</v>
      </c>
      <c r="C33" s="215">
        <v>0.5</v>
      </c>
      <c r="D33" s="146"/>
      <c r="H33" s="146"/>
    </row>
    <row r="34" spans="2:11" x14ac:dyDescent="0.25">
      <c r="B34" s="1420" t="s">
        <v>43</v>
      </c>
      <c r="C34" s="215">
        <v>0</v>
      </c>
      <c r="D34" s="146"/>
      <c r="H34" s="146"/>
    </row>
    <row r="35" spans="2:11" x14ac:dyDescent="0.25">
      <c r="B35" s="1420" t="s">
        <v>44</v>
      </c>
      <c r="C35" s="215">
        <v>7</v>
      </c>
      <c r="D35" s="146"/>
      <c r="H35" s="146"/>
    </row>
    <row r="36" spans="2:11" x14ac:dyDescent="0.25">
      <c r="B36" s="1420" t="s">
        <v>45</v>
      </c>
      <c r="C36" s="215">
        <v>2</v>
      </c>
      <c r="D36" s="146"/>
      <c r="H36" s="146"/>
    </row>
    <row r="37" spans="2:11" x14ac:dyDescent="0.25">
      <c r="B37" s="1420" t="s">
        <v>46</v>
      </c>
      <c r="C37" s="214">
        <f>SUM(C32,C33,C34,C35,C36)</f>
        <v>10</v>
      </c>
      <c r="D37" s="146"/>
      <c r="H37" s="146"/>
    </row>
    <row r="38" spans="2:11" x14ac:dyDescent="0.25">
      <c r="B38" s="159"/>
      <c r="C38" s="173"/>
      <c r="D38" s="146"/>
      <c r="H38" s="146"/>
    </row>
    <row r="39" spans="2:11" ht="25.5" x14ac:dyDescent="0.25">
      <c r="B39" s="1743" t="s">
        <v>257</v>
      </c>
      <c r="C39" s="1743"/>
      <c r="D39" s="1743"/>
      <c r="E39" s="1743"/>
      <c r="F39" s="1743"/>
      <c r="G39" s="1743"/>
      <c r="H39" s="1743"/>
      <c r="I39" s="1743"/>
    </row>
    <row r="41" spans="2:11" ht="25.5" x14ac:dyDescent="0.25">
      <c r="B41" s="1242" t="s">
        <v>0</v>
      </c>
      <c r="C41" s="1242" t="s">
        <v>1</v>
      </c>
      <c r="D41" s="1242" t="s">
        <v>2</v>
      </c>
      <c r="E41" s="1242" t="s">
        <v>3</v>
      </c>
      <c r="F41" s="1243" t="str">
        <f>+'CIF Y PV'!$F$4</f>
        <v xml:space="preserve">JUN-COP/UMB </v>
      </c>
      <c r="G41" s="1243" t="str">
        <f>+'CIF Y PV'!$G$4</f>
        <v>JUN-COP/APP</v>
      </c>
      <c r="H41" s="1243" t="str">
        <f>+'CIF Y PV'!$H$4</f>
        <v xml:space="preserve">MAY-COP/UMB </v>
      </c>
      <c r="I41" s="1243" t="str">
        <f>+'CIF Y PV'!$I$4</f>
        <v>MAY-COP/APP</v>
      </c>
      <c r="J41" s="1243" t="s">
        <v>3</v>
      </c>
      <c r="K41" s="1283">
        <v>2231</v>
      </c>
    </row>
    <row r="42" spans="2:11" x14ac:dyDescent="0.25">
      <c r="B42" s="165"/>
      <c r="C42" s="165" t="s">
        <v>136</v>
      </c>
      <c r="D42" s="166">
        <v>0.48840000000000011</v>
      </c>
      <c r="E42" s="805">
        <f>(D42*100)/$D$46</f>
        <v>95.839874411302986</v>
      </c>
      <c r="F42" s="1190">
        <f>G25</f>
        <v>1283.2060195433571</v>
      </c>
      <c r="G42" s="805">
        <f>F42*D42</f>
        <v>626.71781994497576</v>
      </c>
      <c r="H42" s="805">
        <v>1415.3133147684966</v>
      </c>
      <c r="I42" s="167">
        <f>H42*D42</f>
        <v>691.23902293293395</v>
      </c>
      <c r="J42" s="270">
        <f>((F42/H42)*100)-100</f>
        <v>-9.3341378086836073</v>
      </c>
      <c r="K42" s="146">
        <f>$K$41*E42%</f>
        <v>2138.1875981161697</v>
      </c>
    </row>
    <row r="43" spans="2:11" x14ac:dyDescent="0.25">
      <c r="B43" s="154">
        <f>VLOOKUP(C43,[1]Hoja1!$B$2:$C$260,2,FALSE)</f>
        <v>1230011</v>
      </c>
      <c r="C43" s="154" t="s">
        <v>1173</v>
      </c>
      <c r="D43" s="143">
        <v>6.7999999999999996E-3</v>
      </c>
      <c r="E43" s="96">
        <f>(D43*100)/$D$46</f>
        <v>1.3343799058084769</v>
      </c>
      <c r="F43" s="96">
        <f>VLOOKUP(B43,[2]Hoja1!$C$2:$E$279,3,FALSE)</f>
        <v>5480</v>
      </c>
      <c r="G43" s="805">
        <f>F43*D43</f>
        <v>37.263999999999996</v>
      </c>
      <c r="H43" s="96">
        <v>5480</v>
      </c>
      <c r="I43" s="167">
        <f>H43*D43</f>
        <v>37.263999999999996</v>
      </c>
      <c r="J43" s="250">
        <f>((F43/H43)*100)-100</f>
        <v>0</v>
      </c>
      <c r="K43" s="146">
        <f>$K$41*E43%</f>
        <v>29.77001569858712</v>
      </c>
    </row>
    <row r="44" spans="2:11" x14ac:dyDescent="0.25">
      <c r="B44" s="154">
        <f>VLOOKUP(C44,[1]Hoja1!$B$2:$C$260,2,FALSE)</f>
        <v>1220012</v>
      </c>
      <c r="C44" s="154" t="s">
        <v>1174</v>
      </c>
      <c r="D44" s="143">
        <v>1.44E-2</v>
      </c>
      <c r="E44" s="96">
        <f>(D44*100)/$D$46</f>
        <v>2.8257456828885394</v>
      </c>
      <c r="F44" s="96">
        <f>VLOOKUP(B44,[2]Hoja1!$C$2:$E$279,3,FALSE)</f>
        <v>8450</v>
      </c>
      <c r="G44" s="805">
        <f>F44*D44</f>
        <v>121.67999999999999</v>
      </c>
      <c r="H44" s="96">
        <v>8450</v>
      </c>
      <c r="I44" s="167">
        <f>H44*D44</f>
        <v>121.67999999999999</v>
      </c>
      <c r="J44" s="250">
        <f>((F44/H44)*100)-100</f>
        <v>0</v>
      </c>
      <c r="K44" s="146">
        <f>$K$41*E44%</f>
        <v>63.042386185243316</v>
      </c>
    </row>
    <row r="45" spans="2:11" ht="13.15" hidden="1" customHeight="1" x14ac:dyDescent="0.25">
      <c r="B45" s="806"/>
      <c r="C45" s="806"/>
      <c r="D45" s="807"/>
      <c r="E45" s="806"/>
      <c r="F45" s="96" t="e">
        <f>VLOOKUP(B45,[4]Hoja1!$C$2:$E$312,3,FALSE)</f>
        <v>#N/A</v>
      </c>
      <c r="G45" s="806"/>
      <c r="H45" s="799"/>
      <c r="I45" s="808"/>
      <c r="J45" s="907"/>
    </row>
    <row r="46" spans="2:11" s="146" customFormat="1" x14ac:dyDescent="0.25">
      <c r="B46" s="1822" t="s">
        <v>37</v>
      </c>
      <c r="C46" s="1822"/>
      <c r="D46" s="1410">
        <f>SUM(D42:D44)</f>
        <v>0.50960000000000005</v>
      </c>
      <c r="E46" s="1411">
        <f>SUM(E42:E44)</f>
        <v>100</v>
      </c>
      <c r="F46" s="1411"/>
      <c r="G46" s="1412">
        <f>SUM(G42:G44)</f>
        <v>785.66181994497572</v>
      </c>
      <c r="H46" s="1411"/>
      <c r="I46" s="1412">
        <f>SUM(I42:I44)</f>
        <v>850.18302293293391</v>
      </c>
      <c r="J46" s="908">
        <f>((G46/I46)*100)-100</f>
        <v>-7.5890956708797859</v>
      </c>
    </row>
    <row r="47" spans="2:11" x14ac:dyDescent="0.25">
      <c r="G47" s="217"/>
      <c r="H47" s="159"/>
      <c r="I47" s="224"/>
      <c r="J47" s="897"/>
    </row>
    <row r="48" spans="2:11" x14ac:dyDescent="0.25">
      <c r="E48" s="120">
        <f>0.0098*2</f>
        <v>1.9599999999999999E-2</v>
      </c>
      <c r="G48" s="217"/>
      <c r="H48" s="159"/>
      <c r="I48" s="224"/>
    </row>
    <row r="49" spans="2:11" ht="25.5" x14ac:dyDescent="0.25">
      <c r="B49" s="1789" t="s">
        <v>47</v>
      </c>
      <c r="C49" s="1790"/>
      <c r="D49" s="1790"/>
      <c r="E49" s="1790"/>
      <c r="F49" s="1790"/>
      <c r="G49" s="1790"/>
      <c r="H49" s="1790"/>
      <c r="I49" s="1791"/>
      <c r="J49" s="223"/>
    </row>
    <row r="50" spans="2:11" ht="25.5" x14ac:dyDescent="0.25">
      <c r="B50" s="1368" t="s">
        <v>0</v>
      </c>
      <c r="C50" s="1368" t="s">
        <v>1</v>
      </c>
      <c r="D50" s="1421" t="s">
        <v>2</v>
      </c>
      <c r="E50" s="1243" t="str">
        <f>+'CIF Y PV'!$F$4</f>
        <v xml:space="preserve">JUN-COP/UMB </v>
      </c>
      <c r="F50" s="1243" t="str">
        <f>+'CIF Y PV'!$G$4</f>
        <v>JUN-COP/APP</v>
      </c>
      <c r="G50" s="1243" t="str">
        <f>+'CIF Y PV'!$H$4</f>
        <v xml:space="preserve">MAY-COP/UMB </v>
      </c>
      <c r="H50" s="1243" t="str">
        <f>+'CIF Y PV'!$I$4</f>
        <v>MAY-COP/APP</v>
      </c>
      <c r="I50" s="1243" t="s">
        <v>3</v>
      </c>
      <c r="J50" s="119">
        <v>3718</v>
      </c>
    </row>
    <row r="51" spans="2:11" x14ac:dyDescent="0.25">
      <c r="B51" s="222">
        <f>VLOOKUP(C51,[1]Hoja1!$B$2:$C$260,2,FALSE)</f>
        <v>1370003</v>
      </c>
      <c r="C51" s="222" t="s">
        <v>1175</v>
      </c>
      <c r="D51" s="221">
        <v>1.9E-2</v>
      </c>
      <c r="E51" s="225">
        <f>VLOOKUP(B51,[2]Hoja1!$C$2:$E$279,3,FALSE)</f>
        <v>698</v>
      </c>
      <c r="F51" s="225">
        <f>E51*D51</f>
        <v>13.262</v>
      </c>
      <c r="G51" s="225">
        <v>698.51</v>
      </c>
      <c r="H51" s="634">
        <f>G51*D51</f>
        <v>13.27169</v>
      </c>
      <c r="I51" s="1204">
        <f>((E51/G51)*100)-100</f>
        <v>-7.3012555296273263E-2</v>
      </c>
      <c r="J51" s="119">
        <f>J50*D51</f>
        <v>70.641999999999996</v>
      </c>
    </row>
    <row r="52" spans="2:11" ht="15" x14ac:dyDescent="0.25">
      <c r="B52" s="222">
        <f>VLOOKUP(C52,[1]Hoja1!$B$2:$C$260,2,FALSE)</f>
        <v>1380002</v>
      </c>
      <c r="C52" s="222" t="s">
        <v>1051</v>
      </c>
      <c r="D52" s="221">
        <v>0.1426</v>
      </c>
      <c r="E52" s="225">
        <f>VLOOKUP(B52,[2]Hoja1!$C$2:$E$279,3,FALSE)</f>
        <v>73.33</v>
      </c>
      <c r="F52" s="225">
        <f>E52*D52</f>
        <v>10.456858</v>
      </c>
      <c r="G52" s="866">
        <v>76.61</v>
      </c>
      <c r="H52" s="634">
        <f>G52*D52</f>
        <v>10.924586</v>
      </c>
      <c r="I52" s="1204">
        <f>((E52/G52)*100)-100</f>
        <v>-4.281425401383629</v>
      </c>
      <c r="J52" s="119">
        <f>J50*D52</f>
        <v>530.18680000000006</v>
      </c>
    </row>
    <row r="53" spans="2:11" x14ac:dyDescent="0.25">
      <c r="B53" s="222">
        <f>VLOOKUP(C53,[1]Hoja1!$B$2:$C$260,2,FALSE)</f>
        <v>1360001</v>
      </c>
      <c r="C53" s="222" t="s">
        <v>223</v>
      </c>
      <c r="D53" s="221">
        <v>1</v>
      </c>
      <c r="E53" s="225">
        <f>VLOOKUP(B53,[2]Hoja1!$C$2:$E$279,3,FALSE)</f>
        <v>22</v>
      </c>
      <c r="F53" s="225">
        <f>E53*D53</f>
        <v>22</v>
      </c>
      <c r="G53" s="167">
        <v>22</v>
      </c>
      <c r="H53" s="634">
        <f>G53*D53</f>
        <v>22</v>
      </c>
      <c r="I53" s="1204">
        <f>((E53/G53)*100)-100</f>
        <v>0</v>
      </c>
      <c r="J53" s="119">
        <f>J50*D53</f>
        <v>3718</v>
      </c>
    </row>
    <row r="54" spans="2:11" x14ac:dyDescent="0.25">
      <c r="B54" s="222">
        <f>VLOOKUP(C54,[1]Hoja1!$B$2:$C$260,2,FALSE)</f>
        <v>1340015</v>
      </c>
      <c r="C54" s="222" t="s">
        <v>1237</v>
      </c>
      <c r="D54" s="225">
        <v>1</v>
      </c>
      <c r="E54" s="225">
        <f>VLOOKUP(B54,[2]Hoja1!$C$2:$E$279,3,FALSE)</f>
        <v>476</v>
      </c>
      <c r="F54" s="225">
        <f>E54*D54</f>
        <v>476</v>
      </c>
      <c r="G54" s="225">
        <v>476</v>
      </c>
      <c r="H54" s="634">
        <f>G54*D54</f>
        <v>476</v>
      </c>
      <c r="I54" s="1204">
        <f>((E54/G54)*100)-100</f>
        <v>0</v>
      </c>
      <c r="J54" s="119">
        <f>J50*D54</f>
        <v>3718</v>
      </c>
    </row>
    <row r="55" spans="2:11" x14ac:dyDescent="0.25">
      <c r="B55" s="1370"/>
      <c r="C55" s="1370" t="s">
        <v>37</v>
      </c>
      <c r="D55" s="1372"/>
      <c r="E55" s="1372"/>
      <c r="F55" s="1422">
        <f>SUM(F51:F54)</f>
        <v>521.71885799999995</v>
      </c>
      <c r="G55" s="1372"/>
      <c r="H55" s="1372">
        <f>SUM(H51:H54)</f>
        <v>522.19627600000001</v>
      </c>
      <c r="I55" s="909">
        <f>((F55/H55)*100)-100</f>
        <v>-9.1425010468682899E-2</v>
      </c>
    </row>
    <row r="56" spans="2:11" x14ac:dyDescent="0.25">
      <c r="H56" s="1" t="str">
        <f>+'CIF Y PV'!$G$1</f>
        <v>MAYO</v>
      </c>
      <c r="I56" s="207"/>
      <c r="J56" s="146"/>
      <c r="K56" s="207"/>
    </row>
    <row r="57" spans="2:11" x14ac:dyDescent="0.25">
      <c r="B57" s="1841" t="s">
        <v>327</v>
      </c>
      <c r="C57" s="1842"/>
      <c r="E57" s="884"/>
      <c r="F57" s="884"/>
      <c r="G57" s="884"/>
      <c r="H57" s="900">
        <f>+G46+F55</f>
        <v>1307.3806779449756</v>
      </c>
      <c r="I57" s="181"/>
      <c r="J57" s="900"/>
      <c r="K57" s="181"/>
    </row>
    <row r="58" spans="2:11" x14ac:dyDescent="0.25">
      <c r="B58" s="1843" t="s">
        <v>48</v>
      </c>
      <c r="C58" s="1844"/>
      <c r="E58" s="884"/>
      <c r="F58" s="884"/>
      <c r="G58" s="884"/>
      <c r="H58" s="900">
        <f>+('CIF Y PV'!C3/1000)*600</f>
        <v>1134</v>
      </c>
      <c r="I58" s="207"/>
      <c r="J58" s="900"/>
      <c r="K58" s="207"/>
    </row>
    <row r="59" spans="2:11" x14ac:dyDescent="0.25">
      <c r="B59" s="1843" t="s">
        <v>328</v>
      </c>
      <c r="C59" s="1844"/>
      <c r="E59" s="884"/>
      <c r="F59" s="884"/>
      <c r="G59" s="884"/>
      <c r="H59" s="900">
        <f>+H57+H58</f>
        <v>2441.3806779449756</v>
      </c>
      <c r="I59" s="219"/>
      <c r="J59" s="900"/>
      <c r="K59" s="219"/>
    </row>
    <row r="60" spans="2:11" x14ac:dyDescent="0.25">
      <c r="B60" s="1841" t="s">
        <v>49</v>
      </c>
      <c r="C60" s="1842"/>
      <c r="E60" s="884"/>
      <c r="F60" s="884"/>
      <c r="G60" s="884"/>
      <c r="H60" s="900">
        <f>'CIF Y PV'!C85</f>
        <v>5286.5</v>
      </c>
      <c r="I60" s="1213"/>
      <c r="J60" s="900"/>
      <c r="K60" s="300"/>
    </row>
    <row r="61" spans="2:11" x14ac:dyDescent="0.2">
      <c r="B61" s="1841" t="s">
        <v>805</v>
      </c>
      <c r="C61" s="1842"/>
      <c r="E61" s="884"/>
      <c r="F61" s="884"/>
      <c r="G61" s="884"/>
      <c r="H61" s="928">
        <f>+(H60-H59)/H60</f>
        <v>0.53818581709165314</v>
      </c>
      <c r="I61" s="199"/>
      <c r="J61" s="146"/>
      <c r="K61" s="199">
        <f>1-K60</f>
        <v>1</v>
      </c>
    </row>
    <row r="62" spans="2:11" x14ac:dyDescent="0.25">
      <c r="H62" s="146"/>
      <c r="I62" s="181"/>
      <c r="J62" s="304"/>
    </row>
    <row r="63" spans="2:11" x14ac:dyDescent="0.25">
      <c r="H63" s="146"/>
      <c r="I63" s="301"/>
    </row>
    <row r="68" spans="4:4" x14ac:dyDescent="0.25">
      <c r="D68" s="120">
        <v>51.45</v>
      </c>
    </row>
    <row r="72" spans="4:4" x14ac:dyDescent="0.25">
      <c r="D72" s="120">
        <v>38.869999999999997</v>
      </c>
    </row>
    <row r="73" spans="4:4" x14ac:dyDescent="0.25">
      <c r="D73" s="120">
        <v>42.65</v>
      </c>
    </row>
    <row r="74" spans="4:4" x14ac:dyDescent="0.25">
      <c r="D74" s="120">
        <v>47.04</v>
      </c>
    </row>
    <row r="75" spans="4:4" x14ac:dyDescent="0.25">
      <c r="D75" s="120">
        <v>36.979999999999997</v>
      </c>
    </row>
    <row r="76" spans="4:4" x14ac:dyDescent="0.25">
      <c r="D76" s="120">
        <v>36.880000000000003</v>
      </c>
    </row>
  </sheetData>
  <autoFilter ref="A4:K4" xr:uid="{E046FF47-BAE8-4450-A497-78FA263823C0}">
    <sortState xmlns:xlrd2="http://schemas.microsoft.com/office/spreadsheetml/2017/richdata2" ref="A5:K24">
      <sortCondition descending="1" ref="K4"/>
    </sortState>
  </autoFilter>
  <mergeCells count="11">
    <mergeCell ref="B49:I49"/>
    <mergeCell ref="B2:I2"/>
    <mergeCell ref="B25:C25"/>
    <mergeCell ref="B28:C28"/>
    <mergeCell ref="B39:I39"/>
    <mergeCell ref="B46:C46"/>
    <mergeCell ref="B57:C57"/>
    <mergeCell ref="B58:C58"/>
    <mergeCell ref="B59:C59"/>
    <mergeCell ref="B60:C60"/>
    <mergeCell ref="B61:C61"/>
  </mergeCells>
  <pageMargins left="0.7" right="0.7" top="0.75" bottom="0.75" header="0.3" footer="0.3"/>
  <pageSetup scale="37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09D1-BF2D-4858-BBBE-38FAB7C57CDF}">
  <sheetPr codeName="Hoja55"/>
  <dimension ref="B2:L49"/>
  <sheetViews>
    <sheetView view="pageBreakPreview" topLeftCell="A26" zoomScale="90" zoomScaleNormal="100" zoomScaleSheetLayoutView="90" workbookViewId="0">
      <selection activeCell="J29" sqref="J29"/>
    </sheetView>
  </sheetViews>
  <sheetFormatPr baseColWidth="10" defaultColWidth="11.5703125" defaultRowHeight="15.75" customHeight="1" x14ac:dyDescent="0.25"/>
  <cols>
    <col min="1" max="1" width="10.7109375" style="1" customWidth="1"/>
    <col min="2" max="2" width="11.85546875" style="1" customWidth="1"/>
    <col min="3" max="3" width="58.28515625" style="1" customWidth="1"/>
    <col min="4" max="4" width="14.28515625" style="38" customWidth="1"/>
    <col min="5" max="5" width="13.140625" style="1" bestFit="1" customWidth="1"/>
    <col min="6" max="6" width="13.140625" style="1" customWidth="1"/>
    <col min="7" max="7" width="12.42578125" style="1" customWidth="1"/>
    <col min="8" max="8" width="12.85546875" style="1" customWidth="1"/>
    <col min="9" max="9" width="13.7109375" style="1" bestFit="1" customWidth="1"/>
    <col min="10" max="10" width="10" style="38" bestFit="1" customWidth="1"/>
    <col min="11" max="11" width="12.28515625" style="1" customWidth="1"/>
    <col min="12" max="16384" width="11.5703125" style="1"/>
  </cols>
  <sheetData>
    <row r="2" spans="2:12" ht="15.75" customHeight="1" x14ac:dyDescent="0.35">
      <c r="B2" s="1845" t="s">
        <v>329</v>
      </c>
      <c r="C2" s="1845"/>
      <c r="D2" s="1845"/>
      <c r="E2" s="1845"/>
      <c r="F2" s="1845"/>
      <c r="G2" s="1845"/>
      <c r="H2" s="1845"/>
      <c r="I2" s="1845"/>
      <c r="J2" s="1845"/>
    </row>
    <row r="4" spans="2:12" s="3" customFormat="1" ht="22.5" customHeight="1" x14ac:dyDescent="0.25">
      <c r="B4" s="1326" t="s">
        <v>0</v>
      </c>
      <c r="C4" s="1326" t="s">
        <v>1</v>
      </c>
      <c r="D4" s="1326" t="s">
        <v>2</v>
      </c>
      <c r="E4" s="1326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21" t="s">
        <v>3</v>
      </c>
      <c r="K4" s="1424">
        <f>+D26/1000</f>
        <v>0.77175000000000005</v>
      </c>
    </row>
    <row r="5" spans="2:12" ht="15.75" customHeight="1" x14ac:dyDescent="0.25">
      <c r="B5" s="34">
        <f>VLOOKUP(C5,[1]Hoja1!$B$2:$C$260,2,FALSE)</f>
        <v>1112001</v>
      </c>
      <c r="C5" s="30" t="s">
        <v>797</v>
      </c>
      <c r="D5" s="31">
        <v>0.17511007500000003</v>
      </c>
      <c r="E5" s="32">
        <v>22.69</v>
      </c>
      <c r="F5" s="896">
        <f>VLOOKUP(B5,[2]Hoja1!$C$2:$E$279,3,FALSE)</f>
        <v>3663.96</v>
      </c>
      <c r="G5" s="32">
        <f>F5*D5</f>
        <v>641.59631039700014</v>
      </c>
      <c r="H5" s="896">
        <v>4222.72</v>
      </c>
      <c r="I5" s="212">
        <f>H5*D5</f>
        <v>739.44081590400015</v>
      </c>
      <c r="J5" s="39">
        <f t="shared" ref="J5:J23" si="0">((F5/H5)*100)-100</f>
        <v>-13.232229463473786</v>
      </c>
      <c r="K5" s="816">
        <f>$K$4*E5%</f>
        <v>0.17511007500000003</v>
      </c>
    </row>
    <row r="6" spans="2:12" ht="15.75" customHeight="1" x14ac:dyDescent="0.25">
      <c r="B6" s="34">
        <f>VLOOKUP(C6,[1]Hoja1!$B$2:$C$260,2,FALSE)</f>
        <v>2906001</v>
      </c>
      <c r="C6" s="30" t="s">
        <v>831</v>
      </c>
      <c r="D6" s="31">
        <v>0.1157067293319</v>
      </c>
      <c r="E6" s="32">
        <v>14.99277348</v>
      </c>
      <c r="F6" s="896">
        <f>VLOOKUP(B6,[2]Hoja1!$C$2:$E$279,3,FALSE)</f>
        <v>1956.71</v>
      </c>
      <c r="G6" s="32">
        <f t="shared" ref="G6:G23" si="1">F6*D6</f>
        <v>226.40451435102204</v>
      </c>
      <c r="H6" s="896">
        <v>2033.73</v>
      </c>
      <c r="I6" s="212">
        <f t="shared" ref="I6:I23" si="2">H6*D6</f>
        <v>235.31624664416501</v>
      </c>
      <c r="J6" s="39">
        <f t="shared" si="0"/>
        <v>-3.7871300516784459</v>
      </c>
      <c r="K6" s="816">
        <f t="shared" ref="K6:K23" si="3">$K$4*E6%</f>
        <v>0.1157067293319</v>
      </c>
    </row>
    <row r="7" spans="2:12" ht="15.75" customHeight="1" x14ac:dyDescent="0.25">
      <c r="B7" s="34">
        <v>0</v>
      </c>
      <c r="C7" s="30" t="s">
        <v>824</v>
      </c>
      <c r="D7" s="31">
        <v>7.7175000000000007E-2</v>
      </c>
      <c r="E7" s="32">
        <v>10</v>
      </c>
      <c r="F7" s="896">
        <v>0</v>
      </c>
      <c r="G7" s="32">
        <f t="shared" si="1"/>
        <v>0</v>
      </c>
      <c r="H7" s="95">
        <v>0</v>
      </c>
      <c r="I7" s="212">
        <f t="shared" si="2"/>
        <v>0</v>
      </c>
      <c r="J7" s="39" t="e">
        <f t="shared" si="0"/>
        <v>#DIV/0!</v>
      </c>
      <c r="K7" s="816">
        <f t="shared" si="3"/>
        <v>7.7175000000000007E-2</v>
      </c>
    </row>
    <row r="8" spans="2:12" ht="15.75" customHeight="1" x14ac:dyDescent="0.25">
      <c r="B8" s="34">
        <f>VLOOKUP(C8,[1]Hoja1!$B$2:$C$260,2,FALSE)</f>
        <v>1131002</v>
      </c>
      <c r="C8" s="30" t="s">
        <v>663</v>
      </c>
      <c r="D8" s="31">
        <v>0.25089592500000002</v>
      </c>
      <c r="E8" s="32">
        <v>32.51</v>
      </c>
      <c r="F8" s="896">
        <f>VLOOKUP(B8,[2]Hoja1!$C$2:$E$279,3,FALSE)</f>
        <v>0</v>
      </c>
      <c r="G8" s="32">
        <f t="shared" si="1"/>
        <v>0</v>
      </c>
      <c r="H8" s="184">
        <v>0</v>
      </c>
      <c r="I8" s="212">
        <f t="shared" si="2"/>
        <v>0</v>
      </c>
      <c r="J8" s="39" t="e">
        <f t="shared" si="0"/>
        <v>#DIV/0!</v>
      </c>
      <c r="K8" s="816">
        <f t="shared" si="3"/>
        <v>0.25089592500000002</v>
      </c>
    </row>
    <row r="9" spans="2:12" ht="15.75" customHeight="1" x14ac:dyDescent="0.25">
      <c r="B9" s="34">
        <f>VLOOKUP(C9,[1]Hoja1!$B$2:$C$260,2,FALSE)</f>
        <v>1250009</v>
      </c>
      <c r="C9" s="30" t="s">
        <v>1279</v>
      </c>
      <c r="D9" s="31">
        <v>8.0994710254500015E-4</v>
      </c>
      <c r="E9" s="32">
        <v>0.104949414</v>
      </c>
      <c r="F9" s="896">
        <f>VLOOKUP(B9,[2]Hoja1!$C$2:$E$279,3,FALSE)</f>
        <v>83551.55</v>
      </c>
      <c r="G9" s="32">
        <f t="shared" si="1"/>
        <v>67.672335835643707</v>
      </c>
      <c r="H9" s="237">
        <v>71910.02</v>
      </c>
      <c r="I9" s="212">
        <f t="shared" si="2"/>
        <v>58.243312342953018</v>
      </c>
      <c r="J9" s="39">
        <f t="shared" si="0"/>
        <v>16.18902344902699</v>
      </c>
      <c r="K9" s="816">
        <f t="shared" si="3"/>
        <v>8.0994710254500015E-4</v>
      </c>
    </row>
    <row r="10" spans="2:12" ht="15.75" customHeight="1" x14ac:dyDescent="0.25">
      <c r="B10" s="34">
        <f>VLOOKUP(C10,[1]Hoja1!$B$2:$C$260,2,FALSE)</f>
        <v>1210005</v>
      </c>
      <c r="C10" s="30" t="s">
        <v>1155</v>
      </c>
      <c r="D10" s="31">
        <v>1.10692771067025E-2</v>
      </c>
      <c r="E10" s="32">
        <v>1.4343086629999999</v>
      </c>
      <c r="F10" s="896">
        <f>VLOOKUP(B10,[2]Hoja1!$C$2:$E$279,3,FALSE)</f>
        <v>1356</v>
      </c>
      <c r="G10" s="32">
        <f t="shared" si="1"/>
        <v>15.00993975668859</v>
      </c>
      <c r="H10" s="880">
        <v>1360</v>
      </c>
      <c r="I10" s="212">
        <f t="shared" si="2"/>
        <v>15.0542168651154</v>
      </c>
      <c r="J10" s="39">
        <f t="shared" si="0"/>
        <v>-0.29411764705882604</v>
      </c>
      <c r="K10" s="816">
        <f t="shared" si="3"/>
        <v>1.10692771067025E-2</v>
      </c>
    </row>
    <row r="11" spans="2:12" ht="15.75" customHeight="1" x14ac:dyDescent="0.25">
      <c r="B11" s="34">
        <f>VLOOKUP(C11,[1]Hoja1!$B$2:$C$260,2,FALSE)</f>
        <v>1210004</v>
      </c>
      <c r="C11" s="30" t="s">
        <v>1131</v>
      </c>
      <c r="D11" s="31">
        <v>1.2348000000000001E-3</v>
      </c>
      <c r="E11" s="32">
        <v>0.16</v>
      </c>
      <c r="F11" s="896">
        <f>VLOOKUP(B11,[2]Hoja1!$C$2:$E$279,3,FALSE)</f>
        <v>3841</v>
      </c>
      <c r="G11" s="32">
        <f t="shared" si="1"/>
        <v>4.7428668000000007</v>
      </c>
      <c r="H11" s="95">
        <v>3508.01</v>
      </c>
      <c r="I11" s="212">
        <f t="shared" si="2"/>
        <v>4.3316907480000006</v>
      </c>
      <c r="J11" s="39">
        <f t="shared" si="0"/>
        <v>9.4922762477871885</v>
      </c>
      <c r="K11" s="816">
        <f t="shared" si="3"/>
        <v>1.2348000000000001E-3</v>
      </c>
    </row>
    <row r="12" spans="2:12" ht="15.75" customHeight="1" x14ac:dyDescent="0.25">
      <c r="B12" s="34">
        <f>VLOOKUP(C12,[1]Hoja1!$B$2:$C$260,2,FALSE)</f>
        <v>121007</v>
      </c>
      <c r="C12" s="30" t="s">
        <v>821</v>
      </c>
      <c r="D12" s="31">
        <v>1.542756388005E-3</v>
      </c>
      <c r="E12" s="32">
        <v>0.19990364599999999</v>
      </c>
      <c r="F12" s="896">
        <f>VLOOKUP(B12,[2]Hoja1!$C$2:$E$279,3,FALSE)</f>
        <v>16905</v>
      </c>
      <c r="G12" s="32">
        <f t="shared" si="1"/>
        <v>26.080296739224526</v>
      </c>
      <c r="H12" s="880">
        <v>16100</v>
      </c>
      <c r="I12" s="212">
        <f t="shared" si="2"/>
        <v>24.838377846880501</v>
      </c>
      <c r="J12" s="39">
        <f t="shared" si="0"/>
        <v>5</v>
      </c>
      <c r="K12" s="816">
        <f t="shared" si="3"/>
        <v>1.542756388005E-3</v>
      </c>
    </row>
    <row r="13" spans="2:12" ht="15.75" customHeight="1" x14ac:dyDescent="0.25">
      <c r="B13" s="34">
        <f>VLOOKUP(C13,[1]Hoja1!$B$2:$C$260,2,FALSE)</f>
        <v>1220013</v>
      </c>
      <c r="C13" s="30" t="s">
        <v>1178</v>
      </c>
      <c r="D13" s="31">
        <v>3.8568909777300002E-3</v>
      </c>
      <c r="E13" s="32">
        <v>0.499759116</v>
      </c>
      <c r="F13" s="896">
        <f>VLOOKUP(B13,[2]Hoja1!$C$2:$E$279,3,FALSE)</f>
        <v>36849.1</v>
      </c>
      <c r="G13" s="32">
        <f t="shared" si="1"/>
        <v>142.12296132747053</v>
      </c>
      <c r="H13" s="866">
        <v>35100.01</v>
      </c>
      <c r="I13" s="212">
        <f t="shared" si="2"/>
        <v>135.37691188723278</v>
      </c>
      <c r="J13" s="39">
        <f t="shared" si="0"/>
        <v>4.9831609734584106</v>
      </c>
      <c r="K13" s="816">
        <f t="shared" si="3"/>
        <v>3.8568909777300002E-3</v>
      </c>
    </row>
    <row r="14" spans="2:12" ht="15.75" customHeight="1" x14ac:dyDescent="0.25">
      <c r="B14" s="34">
        <f>VLOOKUP(C14,[1]Hoja1!$B$2:$C$260,2,FALSE)</f>
        <v>1220009</v>
      </c>
      <c r="C14" s="30" t="s">
        <v>1133</v>
      </c>
      <c r="D14" s="31">
        <v>4.6282691794500002E-4</v>
      </c>
      <c r="E14" s="32">
        <v>5.9971094000000003E-2</v>
      </c>
      <c r="F14" s="896">
        <f>VLOOKUP(B14,[2]Hoja1!$C$2:$E$279,3,FALSE)</f>
        <v>21312.16</v>
      </c>
      <c r="G14" s="32">
        <f t="shared" si="1"/>
        <v>9.8638413275507109</v>
      </c>
      <c r="H14" s="95">
        <v>20299</v>
      </c>
      <c r="I14" s="212">
        <f t="shared" si="2"/>
        <v>9.3949236073655555</v>
      </c>
      <c r="J14" s="39">
        <f t="shared" si="0"/>
        <v>4.9911818316173253</v>
      </c>
      <c r="K14" s="816">
        <f t="shared" si="3"/>
        <v>4.6282691794500002E-4</v>
      </c>
      <c r="L14" s="153"/>
    </row>
    <row r="15" spans="2:12" ht="15.75" customHeight="1" x14ac:dyDescent="0.25">
      <c r="B15" s="34">
        <f>VLOOKUP(C15,[1]Hoja1!$B$2:$C$260,2,FALSE)</f>
        <v>1220005</v>
      </c>
      <c r="C15" s="30" t="s">
        <v>1135</v>
      </c>
      <c r="D15" s="31">
        <v>6.1710255983250003E-4</v>
      </c>
      <c r="E15" s="32">
        <v>7.9961458999999999E-2</v>
      </c>
      <c r="F15" s="896">
        <f>VLOOKUP(B15,[2]Hoja1!$C$2:$E$279,3,FALSE)</f>
        <v>17429.990000000002</v>
      </c>
      <c r="G15" s="32">
        <f t="shared" si="1"/>
        <v>10.756091446854878</v>
      </c>
      <c r="H15" s="880">
        <v>17430</v>
      </c>
      <c r="I15" s="212">
        <f t="shared" si="2"/>
        <v>10.756097617880476</v>
      </c>
      <c r="J15" s="39">
        <f t="shared" si="0"/>
        <v>-5.7372346518036466E-5</v>
      </c>
      <c r="K15" s="816">
        <f t="shared" si="3"/>
        <v>6.1710255983250003E-4</v>
      </c>
    </row>
    <row r="16" spans="2:12" ht="15.75" customHeight="1" x14ac:dyDescent="0.25">
      <c r="B16" s="34">
        <f>VLOOKUP(C16,[1]Hoja1!$B$2:$C$260,2,FALSE)</f>
        <v>1220006</v>
      </c>
      <c r="C16" s="30" t="s">
        <v>1172</v>
      </c>
      <c r="D16" s="31">
        <v>4.6282691794500002E-4</v>
      </c>
      <c r="E16" s="32">
        <v>5.9971094000000003E-2</v>
      </c>
      <c r="F16" s="896">
        <f>VLOOKUP(B16,[2]Hoja1!$C$2:$E$279,3,FALSE)</f>
        <v>73448</v>
      </c>
      <c r="G16" s="32">
        <f t="shared" si="1"/>
        <v>33.993711469224358</v>
      </c>
      <c r="H16" s="72">
        <v>73448</v>
      </c>
      <c r="I16" s="212">
        <f t="shared" si="2"/>
        <v>33.993711469224358</v>
      </c>
      <c r="J16" s="39">
        <f t="shared" si="0"/>
        <v>0</v>
      </c>
      <c r="K16" s="816">
        <f t="shared" si="3"/>
        <v>4.6282691794500002E-4</v>
      </c>
    </row>
    <row r="17" spans="2:11" ht="15.75" customHeight="1" x14ac:dyDescent="0.25">
      <c r="B17" s="34">
        <f>VLOOKUP(C17,[1]Hoja1!$B$2:$C$260,2,FALSE)</f>
        <v>1210003</v>
      </c>
      <c r="C17" s="30" t="s">
        <v>1143</v>
      </c>
      <c r="D17" s="31">
        <v>3.8568910085999997E-4</v>
      </c>
      <c r="E17" s="32">
        <v>4.9975911999999997E-2</v>
      </c>
      <c r="F17" s="896">
        <f>VLOOKUP(B17,[2]Hoja1!$C$2:$E$279,3,FALSE)</f>
        <v>16235.45</v>
      </c>
      <c r="G17" s="32">
        <f t="shared" si="1"/>
        <v>6.2618361125574866</v>
      </c>
      <c r="H17" s="914">
        <v>12852.58</v>
      </c>
      <c r="I17" s="212">
        <f t="shared" si="2"/>
        <v>4.9571000239312184</v>
      </c>
      <c r="J17" s="39">
        <f t="shared" si="0"/>
        <v>26.320551982559152</v>
      </c>
      <c r="K17" s="816">
        <f t="shared" si="3"/>
        <v>3.8568910085999997E-4</v>
      </c>
    </row>
    <row r="18" spans="2:11" ht="15.75" customHeight="1" x14ac:dyDescent="0.25">
      <c r="B18" s="34">
        <f>VLOOKUP(C18,[1]Hoja1!$B$2:$C$260,2,FALSE)</f>
        <v>1260005</v>
      </c>
      <c r="C18" s="30" t="s">
        <v>811</v>
      </c>
      <c r="D18" s="31">
        <v>7.7137819554600005E-3</v>
      </c>
      <c r="E18" s="32">
        <v>0.99951823200000001</v>
      </c>
      <c r="F18" s="896">
        <f>VLOOKUP(B18,[2]Hoja1!$C$2:$E$279,3,FALSE)</f>
        <v>26429</v>
      </c>
      <c r="G18" s="32">
        <f t="shared" si="1"/>
        <v>203.86754330085236</v>
      </c>
      <c r="H18" s="25">
        <v>25850</v>
      </c>
      <c r="I18" s="212">
        <f t="shared" si="2"/>
        <v>199.40126354864103</v>
      </c>
      <c r="J18" s="39">
        <f t="shared" si="0"/>
        <v>2.2398452611218715</v>
      </c>
      <c r="K18" s="816">
        <f t="shared" si="3"/>
        <v>7.7137819554600005E-3</v>
      </c>
    </row>
    <row r="19" spans="2:11" ht="15.75" customHeight="1" x14ac:dyDescent="0.25">
      <c r="B19" s="34">
        <v>1260024</v>
      </c>
      <c r="C19" s="30" t="s">
        <v>1290</v>
      </c>
      <c r="D19" s="31">
        <v>5.1296649982200005E-3</v>
      </c>
      <c r="E19" s="32">
        <v>0.66467962400000002</v>
      </c>
      <c r="F19" s="896">
        <f>VLOOKUP(B19,[2]Hoja1!$C$2:$E$279,3,FALSE)</f>
        <v>12625.84</v>
      </c>
      <c r="G19" s="32">
        <f t="shared" si="1"/>
        <v>64.766329521126011</v>
      </c>
      <c r="H19" s="25">
        <v>18900</v>
      </c>
      <c r="I19" s="212">
        <f t="shared" si="2"/>
        <v>96.95066846635801</v>
      </c>
      <c r="J19" s="39">
        <f t="shared" si="0"/>
        <v>-33.196613756613758</v>
      </c>
      <c r="K19" s="816">
        <f t="shared" si="3"/>
        <v>5.1296649982200005E-3</v>
      </c>
    </row>
    <row r="20" spans="2:11" ht="15.75" customHeight="1" x14ac:dyDescent="0.25">
      <c r="B20" s="34">
        <f>VLOOKUP(C20,[1]Hoja1!$B$2:$C$260,2,FALSE)</f>
        <v>1260010</v>
      </c>
      <c r="C20" s="30" t="s">
        <v>1043</v>
      </c>
      <c r="D20" s="31">
        <v>4.3197178956750008E-2</v>
      </c>
      <c r="E20" s="32">
        <v>5.5973021000000003</v>
      </c>
      <c r="F20" s="896">
        <f>VLOOKUP(B20,[2]Hoja1!$C$2:$E$279,3,FALSE)</f>
        <v>6959.71</v>
      </c>
      <c r="G20" s="32">
        <f t="shared" si="1"/>
        <v>300.63983835708262</v>
      </c>
      <c r="H20" s="106">
        <v>8234.27</v>
      </c>
      <c r="I20" s="212">
        <f t="shared" si="2"/>
        <v>355.69723476819792</v>
      </c>
      <c r="J20" s="39">
        <f t="shared" si="0"/>
        <v>-15.478724890002397</v>
      </c>
      <c r="K20" s="816">
        <f t="shared" si="3"/>
        <v>4.3197178956750008E-2</v>
      </c>
    </row>
    <row r="21" spans="2:11" ht="15.75" customHeight="1" x14ac:dyDescent="0.25">
      <c r="B21" s="34">
        <f>VLOOKUP(C21,[1]Hoja1!$B$2:$C$260,2,FALSE)</f>
        <v>1260015</v>
      </c>
      <c r="C21" s="30" t="s">
        <v>785</v>
      </c>
      <c r="D21" s="31">
        <v>6.7495592125710005E-2</v>
      </c>
      <c r="E21" s="32">
        <v>8.7457845320000001</v>
      </c>
      <c r="F21" s="896">
        <f>VLOOKUP(B21,[2]Hoja1!$C$2:$E$279,3,FALSE)</f>
        <v>3450.01</v>
      </c>
      <c r="G21" s="32">
        <f t="shared" si="1"/>
        <v>232.8604677896208</v>
      </c>
      <c r="H21" s="106">
        <v>3400.01</v>
      </c>
      <c r="I21" s="212">
        <f t="shared" si="2"/>
        <v>229.4856881833353</v>
      </c>
      <c r="J21" s="39">
        <f t="shared" si="0"/>
        <v>1.4705839100473241</v>
      </c>
      <c r="K21" s="816">
        <f t="shared" si="3"/>
        <v>6.7495592125710005E-2</v>
      </c>
    </row>
    <row r="22" spans="2:11" ht="15.75" customHeight="1" x14ac:dyDescent="0.25">
      <c r="B22" s="34">
        <f>VLOOKUP(C22,[1]Hoja1!$B$2:$C$260,2,FALSE)</f>
        <v>1121009</v>
      </c>
      <c r="C22" s="30" t="s">
        <v>1272</v>
      </c>
      <c r="D22" s="31">
        <v>8.0994710563200012E-3</v>
      </c>
      <c r="E22" s="32">
        <v>1.0494941440000001</v>
      </c>
      <c r="F22" s="896">
        <f>VLOOKUP(B22,[2]Hoja1!$C$2:$E$279,3,FALSE)</f>
        <v>8741.6200000000008</v>
      </c>
      <c r="G22" s="32">
        <f t="shared" si="1"/>
        <v>70.802498175348049</v>
      </c>
      <c r="H22" s="96">
        <v>5801.26</v>
      </c>
      <c r="I22" s="212">
        <f t="shared" si="2"/>
        <v>46.987137460186972</v>
      </c>
      <c r="J22" s="39">
        <f t="shared" si="0"/>
        <v>50.684851221975919</v>
      </c>
      <c r="K22" s="816">
        <f t="shared" si="3"/>
        <v>8.0994710563200012E-3</v>
      </c>
    </row>
    <row r="23" spans="2:11" ht="15.75" customHeight="1" x14ac:dyDescent="0.25">
      <c r="B23" s="34">
        <f>VLOOKUP(C23,[1]Hoja1!$B$2:$C$260,2,FALSE)</f>
        <v>1260012</v>
      </c>
      <c r="C23" s="30" t="s">
        <v>1148</v>
      </c>
      <c r="D23" s="31">
        <v>8.1766089042750007E-4</v>
      </c>
      <c r="E23" s="924">
        <v>0.105948933</v>
      </c>
      <c r="F23" s="896">
        <f>VLOOKUP(B23,[2]Hoja1!$C$2:$E$279,3,FALSE)</f>
        <v>46081</v>
      </c>
      <c r="G23" s="32">
        <f t="shared" si="1"/>
        <v>37.678631491789631</v>
      </c>
      <c r="H23" s="11">
        <v>46081</v>
      </c>
      <c r="I23" s="212">
        <f t="shared" si="2"/>
        <v>37.678631491789631</v>
      </c>
      <c r="J23" s="39">
        <f t="shared" si="0"/>
        <v>0</v>
      </c>
      <c r="K23" s="816">
        <f t="shared" si="3"/>
        <v>8.1766089042750007E-4</v>
      </c>
    </row>
    <row r="24" spans="2:11" ht="15.75" customHeight="1" x14ac:dyDescent="0.25">
      <c r="B24" s="1846" t="s">
        <v>37</v>
      </c>
      <c r="C24" s="1846"/>
      <c r="D24" s="1425">
        <f>SUM(D5:D23)</f>
        <v>0.77178319638635251</v>
      </c>
      <c r="E24" s="1426">
        <f>SUM(E5:E23)</f>
        <v>100.004301443</v>
      </c>
      <c r="F24" s="1426"/>
      <c r="G24" s="1427">
        <f>SUM(G5:G23)</f>
        <v>2095.1200141990562</v>
      </c>
      <c r="H24" s="1428"/>
      <c r="I24" s="1429">
        <f>SUM(I5:I23)</f>
        <v>2237.9040288752572</v>
      </c>
      <c r="J24" s="1430">
        <f>((G24/I24)*100)-100</f>
        <v>-6.3802563842723146</v>
      </c>
      <c r="K24" s="1251"/>
    </row>
    <row r="25" spans="2:11" ht="15.75" customHeight="1" x14ac:dyDescent="0.25">
      <c r="B25" s="16"/>
      <c r="C25" s="16"/>
      <c r="D25" s="37"/>
      <c r="E25" s="18"/>
      <c r="F25" s="18"/>
      <c r="G25" s="18"/>
      <c r="I25" s="19"/>
    </row>
    <row r="26" spans="2:11" ht="26.25" customHeight="1" x14ac:dyDescent="0.35">
      <c r="B26" s="1771" t="s">
        <v>50</v>
      </c>
      <c r="C26" s="1772"/>
      <c r="D26" s="38">
        <f>+C29+(C29*C35%)</f>
        <v>771.75</v>
      </c>
      <c r="E26" s="91"/>
      <c r="F26" s="91"/>
      <c r="G26" s="91"/>
      <c r="H26" s="91"/>
      <c r="I26" s="91"/>
    </row>
    <row r="27" spans="2:11" ht="15.75" customHeight="1" x14ac:dyDescent="0.25">
      <c r="B27" s="1265" t="s">
        <v>38</v>
      </c>
      <c r="C27" s="21" t="s">
        <v>69</v>
      </c>
    </row>
    <row r="28" spans="2:11" ht="15.75" customHeight="1" x14ac:dyDescent="0.25">
      <c r="B28" s="1265" t="s">
        <v>39</v>
      </c>
      <c r="C28" s="21" t="s">
        <v>273</v>
      </c>
    </row>
    <row r="29" spans="2:11" ht="15.75" customHeight="1" x14ac:dyDescent="0.25">
      <c r="B29" s="1265" t="s">
        <v>40</v>
      </c>
      <c r="C29" s="21">
        <v>750</v>
      </c>
    </row>
    <row r="30" spans="2:11" ht="15.75" customHeight="1" x14ac:dyDescent="0.25">
      <c r="B30" s="1265" t="s">
        <v>41</v>
      </c>
      <c r="C30" s="21">
        <v>0</v>
      </c>
    </row>
    <row r="31" spans="2:11" ht="15.75" customHeight="1" x14ac:dyDescent="0.25">
      <c r="B31" s="1265" t="s">
        <v>42</v>
      </c>
      <c r="C31" s="21">
        <v>0.5</v>
      </c>
    </row>
    <row r="32" spans="2:11" ht="15.75" customHeight="1" x14ac:dyDescent="0.25">
      <c r="B32" s="1265" t="s">
        <v>43</v>
      </c>
      <c r="C32" s="21">
        <v>0.5</v>
      </c>
    </row>
    <row r="33" spans="2:11" ht="15.75" customHeight="1" x14ac:dyDescent="0.25">
      <c r="B33" s="1265" t="s">
        <v>44</v>
      </c>
      <c r="C33" s="21">
        <v>0.5</v>
      </c>
    </row>
    <row r="34" spans="2:11" ht="15.75" customHeight="1" x14ac:dyDescent="0.25">
      <c r="B34" s="1265" t="s">
        <v>45</v>
      </c>
      <c r="C34" s="21">
        <v>1.4</v>
      </c>
      <c r="D34" s="38" t="s">
        <v>85</v>
      </c>
    </row>
    <row r="35" spans="2:11" ht="15.75" customHeight="1" x14ac:dyDescent="0.25">
      <c r="B35" s="1265" t="s">
        <v>46</v>
      </c>
      <c r="C35" s="21">
        <f>C34+C33+C32+C31</f>
        <v>2.9</v>
      </c>
    </row>
    <row r="36" spans="2:11" ht="14.25" customHeight="1" x14ac:dyDescent="0.25"/>
    <row r="37" spans="2:11" ht="23.25" customHeight="1" x14ac:dyDescent="0.35">
      <c r="B37" s="1761" t="s">
        <v>47</v>
      </c>
      <c r="C37" s="1762"/>
      <c r="D37" s="1762"/>
      <c r="E37" s="1762"/>
      <c r="F37" s="1762"/>
      <c r="G37" s="1762"/>
      <c r="H37" s="1762"/>
      <c r="I37" s="1762"/>
    </row>
    <row r="38" spans="2:11" s="120" customFormat="1" ht="20.25" customHeight="1" x14ac:dyDescent="0.25">
      <c r="B38" s="1266" t="s">
        <v>0</v>
      </c>
      <c r="C38" s="1266" t="s">
        <v>1</v>
      </c>
      <c r="D38" s="1267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243" t="s">
        <v>3</v>
      </c>
      <c r="J38" s="146">
        <v>3588</v>
      </c>
    </row>
    <row r="39" spans="2:11" ht="15.75" customHeight="1" x14ac:dyDescent="0.25">
      <c r="B39" s="4">
        <f>VLOOKUP(C39,[1]Hoja1!$B$2:$C$260,2,FALSE)</f>
        <v>1380004</v>
      </c>
      <c r="C39" s="4" t="s">
        <v>1179</v>
      </c>
      <c r="D39" s="24">
        <v>2</v>
      </c>
      <c r="E39" s="24">
        <f>VLOOKUP(B39,[2]Hoja1!$C$2:$E$279,3,FALSE)</f>
        <v>22.59</v>
      </c>
      <c r="F39" s="24">
        <f>E39*D39</f>
        <v>45.18</v>
      </c>
      <c r="G39" s="24">
        <v>22.59</v>
      </c>
      <c r="H39" s="5">
        <f>G39*D39</f>
        <v>45.18</v>
      </c>
      <c r="I39" s="643">
        <f>((E39/G39)*100)-100</f>
        <v>0</v>
      </c>
      <c r="J39" s="38">
        <f>J38*D39</f>
        <v>7176</v>
      </c>
    </row>
    <row r="40" spans="2:11" ht="15.75" customHeight="1" x14ac:dyDescent="0.25">
      <c r="B40" s="4">
        <f>VLOOKUP(C40,[1]Hoja1!$B$2:$C$260,2,FALSE)</f>
        <v>1370021</v>
      </c>
      <c r="C40" s="4" t="s">
        <v>1138</v>
      </c>
      <c r="D40" s="24">
        <v>0.48</v>
      </c>
      <c r="E40" s="24">
        <f>VLOOKUP(B40,[4]Hoja1!$C$2:$E$312,3,FALSE)</f>
        <v>528.77</v>
      </c>
      <c r="F40" s="24">
        <f>E40*D40</f>
        <v>253.80959999999999</v>
      </c>
      <c r="G40" s="24">
        <v>555.72</v>
      </c>
      <c r="H40" s="5">
        <f>G40*D40</f>
        <v>266.74560000000002</v>
      </c>
      <c r="I40" s="643">
        <f>((E40/G40)*100)-100</f>
        <v>-4.8495645288994496</v>
      </c>
      <c r="J40" s="38">
        <f>J38*D40</f>
        <v>1722.24</v>
      </c>
    </row>
    <row r="41" spans="2:11" ht="15.75" customHeight="1" x14ac:dyDescent="0.25">
      <c r="B41" s="4"/>
      <c r="D41" s="115"/>
      <c r="E41" s="24"/>
      <c r="F41" s="24"/>
      <c r="G41" s="115">
        <v>52.5</v>
      </c>
      <c r="H41" s="5">
        <f>G41*D41</f>
        <v>0</v>
      </c>
      <c r="I41" s="886"/>
    </row>
    <row r="42" spans="2:11" ht="15.75" customHeight="1" x14ac:dyDescent="0.25">
      <c r="B42" s="1256"/>
      <c r="C42" s="1256" t="s">
        <v>37</v>
      </c>
      <c r="D42" s="1257"/>
      <c r="E42" s="1268"/>
      <c r="F42" s="1257">
        <f>SUM(F39:F41)</f>
        <v>298.9896</v>
      </c>
      <c r="G42" s="1257"/>
      <c r="H42" s="1257">
        <f>SUM(H39:H41)</f>
        <v>311.92560000000003</v>
      </c>
      <c r="I42" s="1268">
        <f>((F42/H42)*100)-100</f>
        <v>-4.1471427802014347</v>
      </c>
    </row>
    <row r="44" spans="2:11" ht="15.75" customHeight="1" x14ac:dyDescent="0.25">
      <c r="H44" s="1" t="str">
        <f>+'CIF Y PV'!$G$1</f>
        <v>MAYO</v>
      </c>
      <c r="J44" s="1"/>
    </row>
    <row r="45" spans="2:11" ht="15.75" customHeight="1" x14ac:dyDescent="0.25">
      <c r="B45" s="1750" t="s">
        <v>161</v>
      </c>
      <c r="C45" s="1750"/>
      <c r="E45" s="881"/>
      <c r="F45" s="881"/>
      <c r="G45" s="881"/>
      <c r="H45" s="881">
        <f>+F42+G24</f>
        <v>2394.1096141990561</v>
      </c>
      <c r="I45" s="28"/>
      <c r="J45" s="881"/>
      <c r="K45" s="28"/>
    </row>
    <row r="46" spans="2:11" ht="15.75" customHeight="1" x14ac:dyDescent="0.25">
      <c r="B46" s="1758" t="s">
        <v>48</v>
      </c>
      <c r="C46" s="1759"/>
      <c r="E46" s="881"/>
      <c r="F46" s="881"/>
      <c r="G46" s="881"/>
      <c r="H46" s="881">
        <f>+('CIF Y PV'!C3/1000)*750</f>
        <v>1417.5</v>
      </c>
      <c r="J46" s="881"/>
    </row>
    <row r="47" spans="2:11" ht="15.75" customHeight="1" x14ac:dyDescent="0.25">
      <c r="B47" s="1758" t="s">
        <v>333</v>
      </c>
      <c r="C47" s="1759"/>
      <c r="E47" s="881"/>
      <c r="F47" s="881"/>
      <c r="G47" s="881"/>
      <c r="H47" s="881">
        <f>+H45+H46</f>
        <v>3811.6096141990561</v>
      </c>
      <c r="J47" s="881"/>
    </row>
    <row r="48" spans="2:11" ht="15.75" customHeight="1" x14ac:dyDescent="0.25">
      <c r="B48" s="1750" t="s">
        <v>49</v>
      </c>
      <c r="C48" s="1750"/>
      <c r="E48" s="881"/>
      <c r="F48" s="881"/>
      <c r="G48" s="881"/>
      <c r="H48" s="881">
        <f>'CIF Y PV'!C54</f>
        <v>8673.7731000000003</v>
      </c>
      <c r="J48" s="881"/>
      <c r="K48" s="609"/>
    </row>
    <row r="49" spans="2:11" ht="15.75" customHeight="1" x14ac:dyDescent="0.25">
      <c r="B49" s="1750" t="s">
        <v>805</v>
      </c>
      <c r="C49" s="1750"/>
      <c r="E49" s="881"/>
      <c r="F49" s="881"/>
      <c r="G49" s="881"/>
      <c r="H49" s="928">
        <f>+(H48-H47)/H48</f>
        <v>0.56055922027761407</v>
      </c>
      <c r="I49" s="27"/>
      <c r="J49" s="1"/>
      <c r="K49" s="27">
        <f>1-K48</f>
        <v>1</v>
      </c>
    </row>
  </sheetData>
  <autoFilter ref="A4:K4" xr:uid="{64BF09D1-BF2D-4858-BBBE-38FAB7C57CDF}">
    <sortState xmlns:xlrd2="http://schemas.microsoft.com/office/spreadsheetml/2017/richdata2" ref="A5:K24">
      <sortCondition descending="1" ref="E4"/>
    </sortState>
  </autoFilter>
  <mergeCells count="9">
    <mergeCell ref="B2:J2"/>
    <mergeCell ref="B24:C24"/>
    <mergeCell ref="B46:C46"/>
    <mergeCell ref="B49:C49"/>
    <mergeCell ref="B47:C47"/>
    <mergeCell ref="B48:C48"/>
    <mergeCell ref="B45:C45"/>
    <mergeCell ref="B37:I37"/>
    <mergeCell ref="B26:C26"/>
  </mergeCells>
  <pageMargins left="0.7" right="0.7" top="0.75" bottom="0.75" header="0.3" footer="0.3"/>
  <pageSetup scale="41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C6C0-3B54-4A32-8FFE-3EB0D005D013}">
  <sheetPr codeName="Hoja56"/>
  <dimension ref="B2:L47"/>
  <sheetViews>
    <sheetView view="pageBreakPreview" topLeftCell="A26" zoomScale="90" zoomScaleNormal="100" zoomScaleSheetLayoutView="90" workbookViewId="0">
      <selection activeCell="H47" sqref="H47"/>
    </sheetView>
  </sheetViews>
  <sheetFormatPr baseColWidth="10" defaultColWidth="11.5703125" defaultRowHeight="13.5" x14ac:dyDescent="0.25"/>
  <cols>
    <col min="1" max="1" width="15.7109375" style="120" customWidth="1"/>
    <col min="2" max="2" width="24.140625" style="120" bestFit="1" customWidth="1"/>
    <col min="3" max="3" width="63.85546875" style="120" customWidth="1"/>
    <col min="4" max="4" width="11.5703125" style="146"/>
    <col min="5" max="5" width="13.140625" style="120" bestFit="1" customWidth="1"/>
    <col min="6" max="6" width="13.140625" style="120" customWidth="1"/>
    <col min="7" max="7" width="11.85546875" style="120" customWidth="1"/>
    <col min="8" max="8" width="11.7109375" style="120" bestFit="1" customWidth="1"/>
    <col min="9" max="9" width="13.7109375" style="120" bestFit="1" customWidth="1"/>
    <col min="10" max="10" width="12" style="120" bestFit="1" customWidth="1"/>
    <col min="11" max="16384" width="11.5703125" style="120"/>
  </cols>
  <sheetData>
    <row r="2" spans="2:12" ht="25.5" x14ac:dyDescent="0.25">
      <c r="B2" s="1744" t="s">
        <v>272</v>
      </c>
      <c r="C2" s="1744"/>
      <c r="D2" s="1744"/>
      <c r="E2" s="1744"/>
      <c r="F2" s="1744"/>
      <c r="G2" s="1744"/>
      <c r="H2" s="1744"/>
      <c r="I2" s="1744"/>
      <c r="J2" s="1744"/>
    </row>
    <row r="4" spans="2:12" s="3" customFormat="1" ht="25.5" x14ac:dyDescent="0.25">
      <c r="B4" s="1326" t="s">
        <v>0</v>
      </c>
      <c r="C4" s="1326" t="s">
        <v>1</v>
      </c>
      <c r="D4" s="1326" t="s">
        <v>2</v>
      </c>
      <c r="E4" s="1326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21" t="s">
        <v>3</v>
      </c>
      <c r="K4" s="1431">
        <f>+D26/1000</f>
        <v>0.23175000000000001</v>
      </c>
    </row>
    <row r="5" spans="2:12" s="1" customFormat="1" ht="16.5" x14ac:dyDescent="0.3">
      <c r="B5" s="1022">
        <f>VLOOKUP(C5,[1]Hoja1!$B$2:$C$260,2,FALSE)</f>
        <v>1112001</v>
      </c>
      <c r="C5" s="553" t="s">
        <v>797</v>
      </c>
      <c r="D5" s="1714">
        <v>5.2584075000000008E-2</v>
      </c>
      <c r="E5" s="561">
        <v>22.69</v>
      </c>
      <c r="F5" s="1715">
        <f>VLOOKUP(B5,[2]Hoja1!$C$2:$E$279,3,FALSE)</f>
        <v>3663.96</v>
      </c>
      <c r="G5" s="561">
        <f>F5*D5</f>
        <v>192.66594743700003</v>
      </c>
      <c r="H5" s="982">
        <v>4222.72</v>
      </c>
      <c r="I5" s="574">
        <f>D5*H5</f>
        <v>222.04782518400003</v>
      </c>
      <c r="J5" s="562">
        <f t="shared" ref="J5:J23" si="0">((F5/H5)*100)-100</f>
        <v>-13.232229463473786</v>
      </c>
      <c r="K5" s="525">
        <f t="shared" ref="K5:K23" si="1">$K$4*E5%</f>
        <v>5.2584075000000008E-2</v>
      </c>
    </row>
    <row r="6" spans="2:12" s="1" customFormat="1" ht="16.5" x14ac:dyDescent="0.3">
      <c r="B6" s="1022">
        <f>VLOOKUP(C6,[1]Hoja1!$B$2:$C$260,2,FALSE)</f>
        <v>2906001</v>
      </c>
      <c r="C6" s="553" t="s">
        <v>831</v>
      </c>
      <c r="D6" s="1714">
        <v>3.4745752539899998E-2</v>
      </c>
      <c r="E6" s="561">
        <v>14.99277348</v>
      </c>
      <c r="F6" s="1715">
        <f>VLOOKUP(B6,[2]Hoja1!$C$2:$E$279,3,FALSE)</f>
        <v>1956.71</v>
      </c>
      <c r="G6" s="561">
        <f t="shared" ref="G6:G23" si="2">F6*D6</f>
        <v>67.987361452347727</v>
      </c>
      <c r="H6" s="982">
        <v>2033.73</v>
      </c>
      <c r="I6" s="574">
        <f t="shared" ref="I6:I23" si="3">D6*H6</f>
        <v>70.663479312970821</v>
      </c>
      <c r="J6" s="562">
        <f t="shared" si="0"/>
        <v>-3.7871300516784459</v>
      </c>
      <c r="K6" s="525">
        <f t="shared" si="1"/>
        <v>3.4745752539899998E-2</v>
      </c>
    </row>
    <row r="7" spans="2:12" s="1" customFormat="1" ht="16.5" x14ac:dyDescent="0.3">
      <c r="B7" s="1022">
        <v>0</v>
      </c>
      <c r="C7" s="553" t="s">
        <v>824</v>
      </c>
      <c r="D7" s="1714">
        <v>2.3175000000000001E-2</v>
      </c>
      <c r="E7" s="561">
        <v>10</v>
      </c>
      <c r="F7" s="1715">
        <v>0</v>
      </c>
      <c r="G7" s="561">
        <f t="shared" si="2"/>
        <v>0</v>
      </c>
      <c r="H7" s="88">
        <v>0</v>
      </c>
      <c r="I7" s="574">
        <f t="shared" si="3"/>
        <v>0</v>
      </c>
      <c r="J7" s="562" t="e">
        <f t="shared" si="0"/>
        <v>#DIV/0!</v>
      </c>
      <c r="K7" s="525">
        <f t="shared" si="1"/>
        <v>2.3175000000000001E-2</v>
      </c>
    </row>
    <row r="8" spans="2:12" s="1" customFormat="1" ht="16.5" x14ac:dyDescent="0.3">
      <c r="B8" s="1022">
        <f>VLOOKUP(C8,[1]Hoja1!$B$2:$C$260,2,FALSE)</f>
        <v>1131002</v>
      </c>
      <c r="C8" s="553" t="s">
        <v>663</v>
      </c>
      <c r="D8" s="1714">
        <v>7.5341925000000004E-2</v>
      </c>
      <c r="E8" s="561">
        <v>32.51</v>
      </c>
      <c r="F8" s="1715">
        <f>VLOOKUP(B8,[2]Hoja1!$C$2:$E$279,3,FALSE)</f>
        <v>0</v>
      </c>
      <c r="G8" s="561">
        <f t="shared" si="2"/>
        <v>0</v>
      </c>
      <c r="H8" s="184">
        <v>0</v>
      </c>
      <c r="I8" s="574">
        <f t="shared" si="3"/>
        <v>0</v>
      </c>
      <c r="J8" s="562" t="e">
        <f t="shared" si="0"/>
        <v>#DIV/0!</v>
      </c>
      <c r="K8" s="525">
        <f t="shared" si="1"/>
        <v>7.5341925000000004E-2</v>
      </c>
    </row>
    <row r="9" spans="2:12" s="1" customFormat="1" ht="16.5" x14ac:dyDescent="0.3">
      <c r="B9" s="1022">
        <f>VLOOKUP(C9,[1]Hoja1!$B$2:$C$260,2,FALSE)</f>
        <v>1250009</v>
      </c>
      <c r="C9" s="1716" t="s">
        <v>1279</v>
      </c>
      <c r="D9" s="1714">
        <v>2.4322026694500003E-4</v>
      </c>
      <c r="E9" s="561">
        <v>0.104949414</v>
      </c>
      <c r="F9" s="1715">
        <f>VLOOKUP(B9,[2]Hoja1!$C$2:$E$279,3,FALSE)</f>
        <v>83551.55</v>
      </c>
      <c r="G9" s="561">
        <f t="shared" si="2"/>
        <v>20.321430294668517</v>
      </c>
      <c r="H9" s="984">
        <v>71910.02</v>
      </c>
      <c r="I9" s="574">
        <f t="shared" si="3"/>
        <v>17.489974260420293</v>
      </c>
      <c r="J9" s="562">
        <f t="shared" si="0"/>
        <v>16.18902344902699</v>
      </c>
      <c r="K9" s="525">
        <f t="shared" si="1"/>
        <v>2.4322026694500003E-4</v>
      </c>
    </row>
    <row r="10" spans="2:12" s="1" customFormat="1" ht="16.5" x14ac:dyDescent="0.3">
      <c r="B10" s="1022">
        <f>VLOOKUP(C10,[1]Hoja1!$B$2:$C$260,2,FALSE)</f>
        <v>1210005</v>
      </c>
      <c r="C10" s="553" t="s">
        <v>1155</v>
      </c>
      <c r="D10" s="1714">
        <v>3.3240103265025E-3</v>
      </c>
      <c r="E10" s="561">
        <v>1.4343086629999999</v>
      </c>
      <c r="F10" s="1715">
        <f>VLOOKUP(B10,[2]Hoja1!$C$2:$E$279,3,FALSE)</f>
        <v>1356</v>
      </c>
      <c r="G10" s="561">
        <f t="shared" si="2"/>
        <v>4.5073580027373898</v>
      </c>
      <c r="H10" s="964">
        <v>1360</v>
      </c>
      <c r="I10" s="574">
        <f t="shared" si="3"/>
        <v>4.5206540440434004</v>
      </c>
      <c r="J10" s="562">
        <f t="shared" si="0"/>
        <v>-0.29411764705882604</v>
      </c>
      <c r="K10" s="525">
        <f t="shared" si="1"/>
        <v>3.3240103265025E-3</v>
      </c>
    </row>
    <row r="11" spans="2:12" s="1" customFormat="1" ht="16.5" x14ac:dyDescent="0.3">
      <c r="B11" s="1022">
        <f>VLOOKUP(C11,[1]Hoja1!$B$2:$C$260,2,FALSE)</f>
        <v>1210004</v>
      </c>
      <c r="C11" s="553" t="s">
        <v>1131</v>
      </c>
      <c r="D11" s="1714">
        <v>3.7080000000000001E-4</v>
      </c>
      <c r="E11" s="561">
        <v>0.16</v>
      </c>
      <c r="F11" s="1715">
        <f>VLOOKUP(B11,[2]Hoja1!$C$2:$E$279,3,FALSE)</f>
        <v>3841</v>
      </c>
      <c r="G11" s="561">
        <f t="shared" si="2"/>
        <v>1.4242428</v>
      </c>
      <c r="H11" s="88">
        <v>3508.01</v>
      </c>
      <c r="I11" s="574">
        <f t="shared" si="3"/>
        <v>1.300770108</v>
      </c>
      <c r="J11" s="562">
        <f t="shared" si="0"/>
        <v>9.4922762477871885</v>
      </c>
      <c r="K11" s="525">
        <f t="shared" si="1"/>
        <v>3.7080000000000001E-4</v>
      </c>
    </row>
    <row r="12" spans="2:12" s="1" customFormat="1" ht="16.5" x14ac:dyDescent="0.3">
      <c r="B12" s="1022">
        <f>VLOOKUP(C12,[1]Hoja1!$B$2:$C$260,2,FALSE)</f>
        <v>121007</v>
      </c>
      <c r="C12" s="553" t="s">
        <v>821</v>
      </c>
      <c r="D12" s="1714">
        <v>4.63276699605E-4</v>
      </c>
      <c r="E12" s="561">
        <v>0.19990364599999999</v>
      </c>
      <c r="F12" s="1715">
        <f>VLOOKUP(B12,[2]Hoja1!$C$2:$E$279,3,FALSE)</f>
        <v>16905</v>
      </c>
      <c r="G12" s="561">
        <f t="shared" si="2"/>
        <v>7.831692606822525</v>
      </c>
      <c r="H12" s="964">
        <v>16100</v>
      </c>
      <c r="I12" s="574">
        <f t="shared" si="3"/>
        <v>7.4587548636405003</v>
      </c>
      <c r="J12" s="562">
        <f t="shared" si="0"/>
        <v>5</v>
      </c>
      <c r="K12" s="525">
        <f t="shared" si="1"/>
        <v>4.63276699605E-4</v>
      </c>
    </row>
    <row r="13" spans="2:12" s="1" customFormat="1" ht="16.5" x14ac:dyDescent="0.3">
      <c r="B13" s="1022">
        <f>VLOOKUP(C13,[1]Hoja1!$B$2:$C$260,2,FALSE)</f>
        <v>1220013</v>
      </c>
      <c r="C13" s="553" t="s">
        <v>1178</v>
      </c>
      <c r="D13" s="1714">
        <v>1.1581917513300002E-3</v>
      </c>
      <c r="E13" s="561">
        <v>0.499759116</v>
      </c>
      <c r="F13" s="1715">
        <f>VLOOKUP(B13,[2]Hoja1!$C$2:$E$279,3,FALSE)</f>
        <v>36849.1</v>
      </c>
      <c r="G13" s="561">
        <f t="shared" si="2"/>
        <v>42.678323663934307</v>
      </c>
      <c r="H13" s="866">
        <v>35100.01</v>
      </c>
      <c r="I13" s="574">
        <f t="shared" si="3"/>
        <v>40.65254205360052</v>
      </c>
      <c r="J13" s="562">
        <f t="shared" si="0"/>
        <v>4.9831609734584106</v>
      </c>
      <c r="K13" s="525">
        <f t="shared" si="1"/>
        <v>1.1581917513300002E-3</v>
      </c>
    </row>
    <row r="14" spans="2:12" s="1" customFormat="1" ht="16.5" x14ac:dyDescent="0.3">
      <c r="B14" s="1022">
        <f>VLOOKUP(C14,[1]Hoja1!$B$2:$C$260,2,FALSE)</f>
        <v>1220009</v>
      </c>
      <c r="C14" s="553" t="s">
        <v>1133</v>
      </c>
      <c r="D14" s="1714">
        <v>1.38983010345E-4</v>
      </c>
      <c r="E14" s="561">
        <v>5.9971094000000003E-2</v>
      </c>
      <c r="F14" s="1715">
        <f>VLOOKUP(B14,[2]Hoja1!$C$2:$E$279,3,FALSE)</f>
        <v>21312.16</v>
      </c>
      <c r="G14" s="561">
        <f t="shared" si="2"/>
        <v>2.9620281537542952</v>
      </c>
      <c r="H14" s="88">
        <v>20299</v>
      </c>
      <c r="I14" s="574">
        <f t="shared" si="3"/>
        <v>2.8212161269931548</v>
      </c>
      <c r="J14" s="562">
        <f t="shared" si="0"/>
        <v>4.9911818316173253</v>
      </c>
      <c r="K14" s="525">
        <f t="shared" si="1"/>
        <v>1.38983010345E-4</v>
      </c>
      <c r="L14" s="153">
        <f>K14*3</f>
        <v>4.1694903103499999E-4</v>
      </c>
    </row>
    <row r="15" spans="2:12" s="1" customFormat="1" ht="16.5" x14ac:dyDescent="0.3">
      <c r="B15" s="1022">
        <f>VLOOKUP(C15,[1]Hoja1!$B$2:$C$260,2,FALSE)</f>
        <v>1220005</v>
      </c>
      <c r="C15" s="553" t="s">
        <v>1135</v>
      </c>
      <c r="D15" s="1714">
        <v>1.8531068123249999E-4</v>
      </c>
      <c r="E15" s="561">
        <v>7.9961458999999999E-2</v>
      </c>
      <c r="F15" s="1715">
        <f>VLOOKUP(B15,[2]Hoja1!$C$2:$E$279,3,FALSE)</f>
        <v>17429.990000000002</v>
      </c>
      <c r="G15" s="561">
        <f t="shared" si="2"/>
        <v>3.2299633207756626</v>
      </c>
      <c r="H15" s="964">
        <v>17430</v>
      </c>
      <c r="I15" s="574">
        <f t="shared" si="3"/>
        <v>3.2299651738824746</v>
      </c>
      <c r="J15" s="562">
        <f t="shared" si="0"/>
        <v>-5.7372346518036466E-5</v>
      </c>
      <c r="K15" s="525">
        <f t="shared" si="1"/>
        <v>1.8531068123249999E-4</v>
      </c>
    </row>
    <row r="16" spans="2:12" s="1" customFormat="1" ht="16.5" x14ac:dyDescent="0.3">
      <c r="B16" s="1022">
        <f>VLOOKUP(C16,[1]Hoja1!$B$2:$C$260,2,FALSE)</f>
        <v>1220006</v>
      </c>
      <c r="C16" s="553" t="s">
        <v>1172</v>
      </c>
      <c r="D16" s="1714">
        <v>1.38983010345E-4</v>
      </c>
      <c r="E16" s="561">
        <v>5.9971094000000003E-2</v>
      </c>
      <c r="F16" s="1715">
        <f>VLOOKUP(B16,[2]Hoja1!$C$2:$E$279,3,FALSE)</f>
        <v>73448</v>
      </c>
      <c r="G16" s="561">
        <f t="shared" si="2"/>
        <v>10.208024143819559</v>
      </c>
      <c r="H16" s="72">
        <v>73448</v>
      </c>
      <c r="I16" s="574">
        <f t="shared" si="3"/>
        <v>10.208024143819559</v>
      </c>
      <c r="J16" s="562">
        <f t="shared" si="0"/>
        <v>0</v>
      </c>
      <c r="K16" s="525">
        <f t="shared" si="1"/>
        <v>1.38983010345E-4</v>
      </c>
    </row>
    <row r="17" spans="2:11" s="1" customFormat="1" ht="16.5" x14ac:dyDescent="0.3">
      <c r="B17" s="1022">
        <f>VLOOKUP(C17,[1]Hoja1!$B$2:$C$260,2,FALSE)</f>
        <v>1210003</v>
      </c>
      <c r="C17" s="553" t="s">
        <v>1143</v>
      </c>
      <c r="D17" s="1714">
        <v>1.1581917606E-4</v>
      </c>
      <c r="E17" s="561">
        <v>4.9975911999999997E-2</v>
      </c>
      <c r="F17" s="1715">
        <f>VLOOKUP(B17,[2]Hoja1!$C$2:$E$279,3,FALSE)</f>
        <v>16235.45</v>
      </c>
      <c r="G17" s="561">
        <f t="shared" si="2"/>
        <v>1.8803764419633271</v>
      </c>
      <c r="H17" s="965">
        <v>12852.58</v>
      </c>
      <c r="I17" s="574">
        <f t="shared" si="3"/>
        <v>1.4885752258452349</v>
      </c>
      <c r="J17" s="562">
        <f t="shared" si="0"/>
        <v>26.320551982559152</v>
      </c>
      <c r="K17" s="525">
        <f t="shared" si="1"/>
        <v>1.1581917606E-4</v>
      </c>
    </row>
    <row r="18" spans="2:11" s="1" customFormat="1" ht="16.5" x14ac:dyDescent="0.3">
      <c r="B18" s="1022">
        <f>VLOOKUP(C18,[1]Hoja1!$B$2:$C$260,2,FALSE)</f>
        <v>1260005</v>
      </c>
      <c r="C18" s="553" t="s">
        <v>811</v>
      </c>
      <c r="D18" s="1714">
        <v>2.3163835026600004E-3</v>
      </c>
      <c r="E18" s="561">
        <v>0.99951823200000001</v>
      </c>
      <c r="F18" s="1715">
        <f>VLOOKUP(B18,[2]Hoja1!$C$2:$E$279,3,FALSE)</f>
        <v>26429</v>
      </c>
      <c r="G18" s="561">
        <f t="shared" si="2"/>
        <v>61.219699591801152</v>
      </c>
      <c r="H18" s="533">
        <v>25850</v>
      </c>
      <c r="I18" s="574">
        <f t="shared" si="3"/>
        <v>59.878513543761009</v>
      </c>
      <c r="J18" s="562">
        <f t="shared" si="0"/>
        <v>2.2398452611218715</v>
      </c>
      <c r="K18" s="525">
        <f t="shared" si="1"/>
        <v>2.3163835026600004E-3</v>
      </c>
    </row>
    <row r="19" spans="2:11" s="1" customFormat="1" ht="16.5" x14ac:dyDescent="0.3">
      <c r="B19" s="1022">
        <v>1260024</v>
      </c>
      <c r="C19" s="553" t="s">
        <v>1290</v>
      </c>
      <c r="D19" s="1714">
        <v>1.54039502862E-3</v>
      </c>
      <c r="E19" s="561">
        <v>0.66467962400000002</v>
      </c>
      <c r="F19" s="1715">
        <f>VLOOKUP(B19,[2]Hoja1!$C$2:$E$279,3,FALSE)</f>
        <v>12625.84</v>
      </c>
      <c r="G19" s="561">
        <f t="shared" si="2"/>
        <v>19.448781168151541</v>
      </c>
      <c r="H19" s="533">
        <v>18900</v>
      </c>
      <c r="I19" s="574">
        <f t="shared" si="3"/>
        <v>29.113466040917999</v>
      </c>
      <c r="J19" s="562">
        <f t="shared" si="0"/>
        <v>-33.196613756613758</v>
      </c>
      <c r="K19" s="525">
        <f t="shared" si="1"/>
        <v>1.54039502862E-3</v>
      </c>
    </row>
    <row r="20" spans="2:11" s="1" customFormat="1" ht="16.5" x14ac:dyDescent="0.3">
      <c r="B20" s="1022">
        <f>VLOOKUP(C20,[1]Hoja1!$B$2:$C$260,2,FALSE)</f>
        <v>1260010</v>
      </c>
      <c r="C20" s="553" t="s">
        <v>1043</v>
      </c>
      <c r="D20" s="1714">
        <v>1.2971747616750002E-2</v>
      </c>
      <c r="E20" s="561">
        <v>5.5973021000000003</v>
      </c>
      <c r="F20" s="1715">
        <f>VLOOKUP(B20,[2]Hoja1!$C$2:$E$279,3,FALSE)</f>
        <v>6959.71</v>
      </c>
      <c r="G20" s="561">
        <f t="shared" si="2"/>
        <v>90.279601605771163</v>
      </c>
      <c r="H20" s="70">
        <v>8234.27</v>
      </c>
      <c r="I20" s="574">
        <f t="shared" si="3"/>
        <v>106.81287224817605</v>
      </c>
      <c r="J20" s="562">
        <f t="shared" si="0"/>
        <v>-15.478724890002397</v>
      </c>
      <c r="K20" s="525">
        <f t="shared" si="1"/>
        <v>1.2971747616750002E-2</v>
      </c>
    </row>
    <row r="21" spans="2:11" s="1" customFormat="1" ht="16.5" x14ac:dyDescent="0.3">
      <c r="B21" s="1022">
        <f>VLOOKUP(C21,[1]Hoja1!$B$2:$C$260,2,FALSE)</f>
        <v>1260015</v>
      </c>
      <c r="C21" s="553" t="s">
        <v>785</v>
      </c>
      <c r="D21" s="1714">
        <v>2.0268355652910002E-2</v>
      </c>
      <c r="E21" s="561">
        <v>8.7457845320000001</v>
      </c>
      <c r="F21" s="1715">
        <f>VLOOKUP(B21,[2]Hoja1!$C$2:$E$279,3,FALSE)</f>
        <v>3450.01</v>
      </c>
      <c r="G21" s="561">
        <f t="shared" si="2"/>
        <v>69.926029686096044</v>
      </c>
      <c r="H21" s="70">
        <v>3400.01</v>
      </c>
      <c r="I21" s="574">
        <f t="shared" si="3"/>
        <v>68.912611903450539</v>
      </c>
      <c r="J21" s="562">
        <f t="shared" si="0"/>
        <v>1.4705839100473241</v>
      </c>
      <c r="K21" s="525">
        <f t="shared" si="1"/>
        <v>2.0268355652910002E-2</v>
      </c>
    </row>
    <row r="22" spans="2:11" s="1" customFormat="1" ht="16.5" x14ac:dyDescent="0.3">
      <c r="B22" s="1022">
        <f>VLOOKUP(C22,[1]Hoja1!$B$2:$C$260,2,FALSE)</f>
        <v>1121009</v>
      </c>
      <c r="C22" s="553" t="s">
        <v>1272</v>
      </c>
      <c r="D22" s="1714">
        <v>2.4322026787200004E-3</v>
      </c>
      <c r="E22" s="561">
        <v>1.0494941440000001</v>
      </c>
      <c r="F22" s="1715">
        <f>VLOOKUP(B22,[2]Hoja1!$C$2:$E$279,3,FALSE)</f>
        <v>8741.6200000000008</v>
      </c>
      <c r="G22" s="561">
        <f t="shared" si="2"/>
        <v>21.261391580352331</v>
      </c>
      <c r="H22" s="73">
        <v>5801.26</v>
      </c>
      <c r="I22" s="574">
        <f t="shared" si="3"/>
        <v>14.10984011195119</v>
      </c>
      <c r="J22" s="562">
        <f t="shared" si="0"/>
        <v>50.684851221975919</v>
      </c>
      <c r="K22" s="525">
        <f t="shared" si="1"/>
        <v>2.4322026787200004E-3</v>
      </c>
    </row>
    <row r="23" spans="2:11" s="1" customFormat="1" ht="16.5" x14ac:dyDescent="0.3">
      <c r="B23" s="1022">
        <f>VLOOKUP(C23,[1]Hoja1!$B$2:$C$260,2,FALSE)</f>
        <v>1260012</v>
      </c>
      <c r="C23" s="553" t="s">
        <v>1148</v>
      </c>
      <c r="D23" s="1714">
        <v>2.4553665222750001E-4</v>
      </c>
      <c r="E23" s="1046">
        <v>0.105948933</v>
      </c>
      <c r="F23" s="1715">
        <f>VLOOKUP(B23,[2]Hoja1!$C$2:$E$279,3,FALSE)</f>
        <v>46081</v>
      </c>
      <c r="G23" s="561">
        <f t="shared" si="2"/>
        <v>11.314574471295428</v>
      </c>
      <c r="H23" s="985">
        <v>46081</v>
      </c>
      <c r="I23" s="574">
        <f t="shared" si="3"/>
        <v>11.314574471295428</v>
      </c>
      <c r="J23" s="562">
        <f t="shared" si="0"/>
        <v>0</v>
      </c>
      <c r="K23" s="525">
        <f t="shared" si="1"/>
        <v>2.4553665222750001E-4</v>
      </c>
    </row>
    <row r="24" spans="2:11" s="1" customFormat="1" x14ac:dyDescent="0.25">
      <c r="B24" s="1846" t="s">
        <v>37</v>
      </c>
      <c r="C24" s="1846"/>
      <c r="D24" s="1425">
        <f>SUM(D5:D23)</f>
        <v>0.23175996859415254</v>
      </c>
      <c r="E24" s="1426">
        <f>SUM(E5:E23)</f>
        <v>100.004301443</v>
      </c>
      <c r="F24" s="1426"/>
      <c r="G24" s="1427">
        <f>SUM(G5:G23)</f>
        <v>629.14682642129083</v>
      </c>
      <c r="H24" s="1428"/>
      <c r="I24" s="1429">
        <f>SUM(I5:I23)</f>
        <v>672.02365881676803</v>
      </c>
      <c r="J24" s="1430">
        <f>((G24/I24)*100)-100</f>
        <v>-6.3802563842723146</v>
      </c>
      <c r="K24" s="1251"/>
    </row>
    <row r="25" spans="2:11" s="139" customFormat="1" x14ac:dyDescent="0.25">
      <c r="B25" s="809"/>
      <c r="C25" s="810"/>
      <c r="D25" s="811"/>
      <c r="E25" s="812"/>
      <c r="F25" s="812"/>
      <c r="G25" s="814"/>
      <c r="I25" s="815"/>
      <c r="J25" s="813"/>
      <c r="K25" s="258"/>
    </row>
    <row r="26" spans="2:11" ht="21" customHeight="1" x14ac:dyDescent="0.25">
      <c r="B26" s="1740" t="s">
        <v>50</v>
      </c>
      <c r="C26" s="1741"/>
      <c r="D26" s="38">
        <f>+C29+(C29*C35%)</f>
        <v>231.75</v>
      </c>
      <c r="E26" s="244"/>
      <c r="F26" s="244"/>
      <c r="G26" s="244"/>
      <c r="H26" s="244"/>
      <c r="I26" s="244"/>
    </row>
    <row r="27" spans="2:11" x14ac:dyDescent="0.25">
      <c r="B27" s="1285" t="s">
        <v>38</v>
      </c>
      <c r="C27" s="163" t="s">
        <v>69</v>
      </c>
    </row>
    <row r="28" spans="2:11" x14ac:dyDescent="0.25">
      <c r="B28" s="1285" t="s">
        <v>39</v>
      </c>
      <c r="C28" s="163" t="s">
        <v>273</v>
      </c>
    </row>
    <row r="29" spans="2:11" x14ac:dyDescent="0.25">
      <c r="B29" s="1285" t="s">
        <v>40</v>
      </c>
      <c r="C29" s="163">
        <v>225</v>
      </c>
    </row>
    <row r="30" spans="2:11" x14ac:dyDescent="0.25">
      <c r="B30" s="1285" t="s">
        <v>41</v>
      </c>
      <c r="C30" s="163">
        <v>0</v>
      </c>
    </row>
    <row r="31" spans="2:11" x14ac:dyDescent="0.25">
      <c r="B31" s="1285" t="s">
        <v>42</v>
      </c>
      <c r="C31" s="163">
        <v>0.5</v>
      </c>
    </row>
    <row r="32" spans="2:11" x14ac:dyDescent="0.25">
      <c r="B32" s="1285" t="s">
        <v>43</v>
      </c>
      <c r="C32" s="163">
        <v>0.5</v>
      </c>
    </row>
    <row r="33" spans="2:10" x14ac:dyDescent="0.25">
      <c r="B33" s="1285" t="s">
        <v>44</v>
      </c>
      <c r="C33" s="163">
        <v>1</v>
      </c>
    </row>
    <row r="34" spans="2:10" x14ac:dyDescent="0.25">
      <c r="B34" s="1285" t="s">
        <v>45</v>
      </c>
      <c r="C34" s="163">
        <v>1</v>
      </c>
      <c r="D34" s="146" t="s">
        <v>85</v>
      </c>
    </row>
    <row r="35" spans="2:10" x14ac:dyDescent="0.25">
      <c r="B35" s="1285" t="s">
        <v>46</v>
      </c>
      <c r="C35" s="163">
        <f>C34+C33+C32+C31</f>
        <v>3</v>
      </c>
    </row>
    <row r="37" spans="2:10" ht="25.5" x14ac:dyDescent="0.25">
      <c r="B37" s="1767" t="s">
        <v>47</v>
      </c>
      <c r="C37" s="1768"/>
      <c r="D37" s="1768"/>
      <c r="E37" s="1768"/>
      <c r="F37" s="1768"/>
      <c r="G37" s="1768"/>
      <c r="H37" s="1768"/>
      <c r="I37" s="1768"/>
    </row>
    <row r="38" spans="2:10" ht="25.5" x14ac:dyDescent="0.25">
      <c r="B38" s="1266" t="s">
        <v>0</v>
      </c>
      <c r="C38" s="1266" t="s">
        <v>1</v>
      </c>
      <c r="D38" s="1267" t="s">
        <v>2</v>
      </c>
      <c r="E38" s="1243" t="str">
        <f>+'CIF Y PV'!$F$4</f>
        <v xml:space="preserve">JUN-COP/UMB </v>
      </c>
      <c r="F38" s="1243" t="str">
        <f>+'CIF Y PV'!$G$4</f>
        <v>JUN-COP/APP</v>
      </c>
      <c r="G38" s="1243" t="str">
        <f>+'CIF Y PV'!$H$4</f>
        <v xml:space="preserve">MAY-COP/UMB </v>
      </c>
      <c r="H38" s="1243" t="str">
        <f>+'CIF Y PV'!$I$4</f>
        <v>MAY-COP/APP</v>
      </c>
      <c r="I38" s="1243" t="s">
        <v>3</v>
      </c>
      <c r="J38" s="146">
        <v>15199</v>
      </c>
    </row>
    <row r="39" spans="2:10" x14ac:dyDescent="0.25">
      <c r="B39" s="165">
        <f>VLOOKUP(C39,[1]Hoja1!$B$2:$C$260,2,FALSE)</f>
        <v>1380004</v>
      </c>
      <c r="C39" s="165" t="s">
        <v>1179</v>
      </c>
      <c r="D39" s="167">
        <v>2</v>
      </c>
      <c r="E39" s="24">
        <f>VLOOKUP(B39,[2]Hoja1!$C$2:$E$279,3,FALSE)</f>
        <v>22.59</v>
      </c>
      <c r="F39" s="167">
        <f>E39*D39</f>
        <v>45.18</v>
      </c>
      <c r="G39" s="24">
        <v>22.59</v>
      </c>
      <c r="H39" s="245">
        <f>G39*D39</f>
        <v>45.18</v>
      </c>
      <c r="I39" s="270">
        <f>((E39/G39)*100)-100</f>
        <v>0</v>
      </c>
      <c r="J39" s="146">
        <f>$J$38*D39</f>
        <v>30398</v>
      </c>
    </row>
    <row r="40" spans="2:10" x14ac:dyDescent="0.25">
      <c r="B40" s="165">
        <f>VLOOKUP(C40,[1]Hoja1!$B$2:$C$260,2,FALSE)</f>
        <v>1370012</v>
      </c>
      <c r="C40" s="165" t="s">
        <v>1180</v>
      </c>
      <c r="D40" s="167">
        <v>0.23</v>
      </c>
      <c r="E40" s="24">
        <f>VLOOKUP(B40,[2]Hoja1!$C$2:$E$279,3,FALSE)</f>
        <v>505.84</v>
      </c>
      <c r="F40" s="167">
        <f>E40*D40</f>
        <v>116.3432</v>
      </c>
      <c r="G40" s="167">
        <v>537.72</v>
      </c>
      <c r="H40" s="245">
        <f>G40*D40</f>
        <v>123.67560000000002</v>
      </c>
      <c r="I40" s="270">
        <f>((E40/G40)*100)-100</f>
        <v>-5.9287361452056899</v>
      </c>
      <c r="J40" s="146">
        <f>J38*D40</f>
        <v>3495.77</v>
      </c>
    </row>
    <row r="41" spans="2:10" x14ac:dyDescent="0.25">
      <c r="B41" s="1266"/>
      <c r="C41" s="1266" t="s">
        <v>37</v>
      </c>
      <c r="D41" s="1267"/>
      <c r="E41" s="1267"/>
      <c r="F41" s="1267">
        <f>SUM(F39:F40)</f>
        <v>161.5232</v>
      </c>
      <c r="G41" s="1267"/>
      <c r="H41" s="1267">
        <f>SUM(H39:H40)</f>
        <v>168.85560000000001</v>
      </c>
      <c r="I41" s="875">
        <f>((F41/H41)*100)-100</f>
        <v>-4.342408543157589</v>
      </c>
    </row>
    <row r="43" spans="2:10" x14ac:dyDescent="0.25">
      <c r="H43" s="1" t="str">
        <f>+'CIF Y PV'!$G$1</f>
        <v>MAYO</v>
      </c>
    </row>
    <row r="44" spans="2:10" x14ac:dyDescent="0.25">
      <c r="B44" s="1735" t="s">
        <v>304</v>
      </c>
      <c r="C44" s="1735"/>
      <c r="E44" s="884"/>
      <c r="F44" s="884"/>
      <c r="G44" s="884"/>
      <c r="H44" s="884">
        <f>+F41+G24</f>
        <v>790.6700264212908</v>
      </c>
      <c r="I44" s="262"/>
      <c r="J44" s="884"/>
    </row>
    <row r="45" spans="2:10" x14ac:dyDescent="0.25">
      <c r="B45" s="1736" t="s">
        <v>48</v>
      </c>
      <c r="C45" s="1737"/>
      <c r="E45" s="884"/>
      <c r="F45" s="884"/>
      <c r="G45" s="884"/>
      <c r="H45" s="884">
        <f>+('CIF Y PV'!C3/1000)*225</f>
        <v>425.25</v>
      </c>
      <c r="I45" s="218"/>
      <c r="J45" s="884"/>
    </row>
    <row r="46" spans="2:10" x14ac:dyDescent="0.25">
      <c r="B46" s="1736" t="s">
        <v>73</v>
      </c>
      <c r="C46" s="1737"/>
      <c r="E46" s="884"/>
      <c r="F46" s="884"/>
      <c r="G46" s="884"/>
      <c r="H46" s="884">
        <f>+H44+H45</f>
        <v>1215.9200264212909</v>
      </c>
      <c r="I46" s="218"/>
      <c r="J46" s="884"/>
    </row>
    <row r="47" spans="2:10" x14ac:dyDescent="0.25">
      <c r="I47" s="168"/>
    </row>
  </sheetData>
  <mergeCells count="7">
    <mergeCell ref="B46:C46"/>
    <mergeCell ref="B44:C44"/>
    <mergeCell ref="B24:C24"/>
    <mergeCell ref="B2:J2"/>
    <mergeCell ref="B26:C26"/>
    <mergeCell ref="B37:I37"/>
    <mergeCell ref="B45:C45"/>
  </mergeCells>
  <pageMargins left="0.7" right="0.7" top="0.75" bottom="0.75" header="0.3" footer="0.3"/>
  <pageSetup scale="40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34C9-3B74-457F-A82A-7B2B0C55715B}">
  <sheetPr codeName="Hoja57"/>
  <dimension ref="A3:K62"/>
  <sheetViews>
    <sheetView view="pageBreakPreview" topLeftCell="A51" zoomScaleNormal="100" zoomScaleSheetLayoutView="100" workbookViewId="0">
      <selection activeCell="C13" sqref="C13"/>
    </sheetView>
  </sheetViews>
  <sheetFormatPr baseColWidth="10" defaultColWidth="11.5703125" defaultRowHeight="16.5" x14ac:dyDescent="0.3"/>
  <cols>
    <col min="1" max="1" width="13.28515625" style="527" customWidth="1"/>
    <col min="2" max="2" width="12.7109375" style="527" customWidth="1"/>
    <col min="3" max="3" width="58.28515625" style="527" customWidth="1"/>
    <col min="4" max="4" width="13.7109375" style="693" bestFit="1" customWidth="1"/>
    <col min="5" max="5" width="13.140625" style="527" bestFit="1" customWidth="1"/>
    <col min="6" max="6" width="13" style="527" customWidth="1"/>
    <col min="7" max="7" width="12.42578125" style="527" customWidth="1"/>
    <col min="8" max="8" width="13.42578125" style="693" customWidth="1"/>
    <col min="9" max="9" width="12.42578125" style="527" customWidth="1"/>
    <col min="10" max="16384" width="11.5703125" style="527"/>
  </cols>
  <sheetData>
    <row r="3" spans="2:11" x14ac:dyDescent="0.3">
      <c r="B3" s="1847" t="s">
        <v>335</v>
      </c>
      <c r="C3" s="1847"/>
      <c r="D3" s="1847"/>
      <c r="E3" s="1847"/>
      <c r="F3" s="1847"/>
      <c r="G3" s="1847"/>
      <c r="H3" s="1847"/>
      <c r="I3" s="1847"/>
    </row>
    <row r="5" spans="2:11" s="979" customFormat="1" ht="28.5" x14ac:dyDescent="0.25">
      <c r="B5" s="1364" t="s">
        <v>0</v>
      </c>
      <c r="C5" s="1364" t="s">
        <v>1</v>
      </c>
      <c r="D5" s="1364" t="s">
        <v>2</v>
      </c>
      <c r="E5" s="1364" t="s">
        <v>3</v>
      </c>
      <c r="F5" s="1335" t="str">
        <f>+'CIF Y PV'!$F$2</f>
        <v xml:space="preserve">JUN-COP/Kg </v>
      </c>
      <c r="G5" s="1335" t="str">
        <f>+'CIF Y PV'!$G$2</f>
        <v>JUN-COP/APP</v>
      </c>
      <c r="H5" s="1335" t="str">
        <f>+'CIF Y PV'!$H$2</f>
        <v xml:space="preserve">MAY-COP/Kg </v>
      </c>
      <c r="I5" s="1335" t="str">
        <f>+'CIF Y PV'!$I$2</f>
        <v>MAY-COP/APP</v>
      </c>
      <c r="J5" s="1357" t="s">
        <v>3</v>
      </c>
      <c r="K5" s="1432">
        <f>+D32/1000</f>
        <v>0.252</v>
      </c>
    </row>
    <row r="6" spans="2:11" x14ac:dyDescent="0.3">
      <c r="B6" s="980">
        <v>1112001</v>
      </c>
      <c r="C6" s="553" t="s">
        <v>797</v>
      </c>
      <c r="D6" s="981">
        <v>6.2949599999999994E-2</v>
      </c>
      <c r="E6" s="568">
        <v>24.98</v>
      </c>
      <c r="F6" s="982">
        <f>VLOOKUP(B6,[2]Hoja1!$C$2:$E$279,3,FALSE)</f>
        <v>3663.96</v>
      </c>
      <c r="G6" s="568">
        <f>F6*D6</f>
        <v>230.64481641599997</v>
      </c>
      <c r="H6" s="982">
        <v>4222.72</v>
      </c>
      <c r="I6" s="571">
        <f>H6*D6</f>
        <v>265.81853491200002</v>
      </c>
      <c r="J6" s="568">
        <f>((F6/H6)*100)-100</f>
        <v>-13.232229463473786</v>
      </c>
      <c r="K6" s="526">
        <f>$K$5*E6%</f>
        <v>6.2949599999999994E-2</v>
      </c>
    </row>
    <row r="7" spans="2:11" x14ac:dyDescent="0.3">
      <c r="B7" s="980">
        <v>1122001</v>
      </c>
      <c r="C7" s="553" t="s">
        <v>1030</v>
      </c>
      <c r="D7" s="554">
        <v>2.1016800000000002E-2</v>
      </c>
      <c r="E7" s="561">
        <v>8.34</v>
      </c>
      <c r="F7" s="982">
        <f>VLOOKUP(B7,[2]Hoja1!$C$2:$E$279,3,FALSE)</f>
        <v>11506.13</v>
      </c>
      <c r="G7" s="568">
        <f t="shared" ref="G7:G29" si="0">F7*D7</f>
        <v>241.822032984</v>
      </c>
      <c r="H7" s="585">
        <v>14000</v>
      </c>
      <c r="I7" s="571">
        <f t="shared" ref="I7:I29" si="1">H7*D7</f>
        <v>294.23520000000002</v>
      </c>
      <c r="J7" s="561">
        <f t="shared" ref="J7:J29" si="2">((F7/H7)*100)-100</f>
        <v>-17.813357142857143</v>
      </c>
      <c r="K7" s="526">
        <f>$K$5*E7%</f>
        <v>2.1016800000000002E-2</v>
      </c>
    </row>
    <row r="8" spans="2:11" x14ac:dyDescent="0.3">
      <c r="B8" s="980">
        <v>1111002</v>
      </c>
      <c r="C8" s="553" t="s">
        <v>1170</v>
      </c>
      <c r="D8" s="554">
        <v>1.21464E-2</v>
      </c>
      <c r="E8" s="561">
        <v>4.82</v>
      </c>
      <c r="F8" s="982">
        <f>VLOOKUP(B8,[2]Hoja1!$C$2:$E$279,3,FALSE)</f>
        <v>2800</v>
      </c>
      <c r="G8" s="568">
        <f t="shared" si="0"/>
        <v>34.009920000000001</v>
      </c>
      <c r="H8" s="983">
        <v>2803.03</v>
      </c>
      <c r="I8" s="571">
        <f t="shared" si="1"/>
        <v>34.046723591999999</v>
      </c>
      <c r="J8" s="561">
        <f t="shared" si="2"/>
        <v>-0.10809730898350267</v>
      </c>
      <c r="K8" s="526">
        <f t="shared" ref="K8:K29" si="3">$K$5*E8%</f>
        <v>1.21464E-2</v>
      </c>
    </row>
    <row r="9" spans="2:11" x14ac:dyDescent="0.3">
      <c r="B9" s="980">
        <v>1121009</v>
      </c>
      <c r="C9" s="553" t="s">
        <v>1272</v>
      </c>
      <c r="D9" s="554">
        <v>7.5599999999999999E-3</v>
      </c>
      <c r="E9" s="561">
        <v>3</v>
      </c>
      <c r="F9" s="982">
        <f>VLOOKUP(B9,[2]Hoja1!$C$2:$E$279,3,FALSE)</f>
        <v>8741.6200000000008</v>
      </c>
      <c r="G9" s="568">
        <f t="shared" si="0"/>
        <v>66.086647200000002</v>
      </c>
      <c r="H9" s="982">
        <v>8754.2800000000007</v>
      </c>
      <c r="I9" s="571">
        <f t="shared" si="1"/>
        <v>66.182356800000008</v>
      </c>
      <c r="J9" s="561">
        <f t="shared" si="2"/>
        <v>-0.14461497690273006</v>
      </c>
      <c r="K9" s="526">
        <f t="shared" si="3"/>
        <v>7.5599999999999999E-3</v>
      </c>
    </row>
    <row r="10" spans="2:11" x14ac:dyDescent="0.3">
      <c r="B10" s="980">
        <v>2906001</v>
      </c>
      <c r="C10" s="553" t="s">
        <v>831</v>
      </c>
      <c r="D10" s="554">
        <v>2.5300799999999998E-2</v>
      </c>
      <c r="E10" s="561">
        <v>10.039999999999999</v>
      </c>
      <c r="F10" s="982">
        <f>VLOOKUP(B10,[2]Hoja1!$C$2:$E$279,3,FALSE)</f>
        <v>1956.71</v>
      </c>
      <c r="G10" s="568">
        <f t="shared" si="0"/>
        <v>49.506328367999998</v>
      </c>
      <c r="H10" s="982">
        <v>2033.73</v>
      </c>
      <c r="I10" s="571">
        <f t="shared" si="1"/>
        <v>51.454995984</v>
      </c>
      <c r="J10" s="561">
        <f t="shared" si="2"/>
        <v>-3.7871300516784459</v>
      </c>
      <c r="K10" s="526">
        <f>$K$5*E10%</f>
        <v>2.5300799999999998E-2</v>
      </c>
    </row>
    <row r="11" spans="2:11" x14ac:dyDescent="0.3">
      <c r="B11" s="980">
        <v>1131002</v>
      </c>
      <c r="C11" s="553" t="s">
        <v>663</v>
      </c>
      <c r="D11" s="554">
        <v>8.0362799999999998E-2</v>
      </c>
      <c r="E11" s="561">
        <v>31.89</v>
      </c>
      <c r="F11" s="982">
        <f>VLOOKUP(B11,[2]Hoja1!$C$2:$E$279,3,FALSE)</f>
        <v>0</v>
      </c>
      <c r="G11" s="568">
        <f t="shared" si="0"/>
        <v>0</v>
      </c>
      <c r="H11" s="984">
        <v>0</v>
      </c>
      <c r="I11" s="571">
        <f t="shared" si="1"/>
        <v>0</v>
      </c>
      <c r="J11" s="561" t="e">
        <f t="shared" si="2"/>
        <v>#DIV/0!</v>
      </c>
      <c r="K11" s="526">
        <f t="shared" si="3"/>
        <v>8.0362799999999998E-2</v>
      </c>
    </row>
    <row r="12" spans="2:11" x14ac:dyDescent="0.3">
      <c r="B12" s="980">
        <v>1250009</v>
      </c>
      <c r="C12" s="1626" t="s">
        <v>1279</v>
      </c>
      <c r="D12" s="1212">
        <v>3.3768000000000003E-4</v>
      </c>
      <c r="E12" s="1540">
        <v>0.13400000000000001</v>
      </c>
      <c r="F12" s="982">
        <f>VLOOKUP(B12,[2]Hoja1!$C$2:$E$279,3,FALSE)</f>
        <v>83551.55</v>
      </c>
      <c r="G12" s="568">
        <f t="shared" si="0"/>
        <v>28.213687404000005</v>
      </c>
      <c r="H12" s="984">
        <v>72500</v>
      </c>
      <c r="I12" s="571">
        <f t="shared" si="1"/>
        <v>24.481800000000003</v>
      </c>
      <c r="J12" s="561">
        <f t="shared" si="2"/>
        <v>15.243517241379308</v>
      </c>
      <c r="K12" s="1211">
        <f t="shared" si="3"/>
        <v>3.3768000000000003E-4</v>
      </c>
    </row>
    <row r="13" spans="2:11" x14ac:dyDescent="0.3">
      <c r="B13" s="980">
        <v>1260012</v>
      </c>
      <c r="C13" s="1544" t="s">
        <v>1148</v>
      </c>
      <c r="D13" s="1212">
        <v>7.5600000000000005E-4</v>
      </c>
      <c r="E13" s="561">
        <v>0.3</v>
      </c>
      <c r="F13" s="982">
        <f>VLOOKUP(B13,[2]Hoja1!$C$2:$E$279,3,FALSE)</f>
        <v>46081</v>
      </c>
      <c r="G13" s="568">
        <f t="shared" si="0"/>
        <v>34.837236000000004</v>
      </c>
      <c r="H13" s="1091">
        <v>46081</v>
      </c>
      <c r="I13" s="571"/>
      <c r="J13" s="561"/>
      <c r="K13" s="1211">
        <f t="shared" si="3"/>
        <v>7.5600000000000005E-4</v>
      </c>
    </row>
    <row r="14" spans="2:11" x14ac:dyDescent="0.3">
      <c r="B14" s="980">
        <v>1210005</v>
      </c>
      <c r="C14" s="553" t="s">
        <v>1155</v>
      </c>
      <c r="D14" s="554">
        <v>3.1248000000000001E-3</v>
      </c>
      <c r="E14" s="561">
        <v>1.24</v>
      </c>
      <c r="F14" s="982">
        <f>VLOOKUP(B14,[2]Hoja1!$C$2:$E$279,3,FALSE)</f>
        <v>1356</v>
      </c>
      <c r="G14" s="568">
        <f t="shared" si="0"/>
        <v>4.2372288000000005</v>
      </c>
      <c r="H14" s="964">
        <v>1360</v>
      </c>
      <c r="I14" s="571">
        <f t="shared" si="1"/>
        <v>4.2497280000000002</v>
      </c>
      <c r="J14" s="561">
        <f t="shared" si="2"/>
        <v>-0.29411764705882604</v>
      </c>
      <c r="K14" s="1210">
        <f t="shared" si="3"/>
        <v>3.1248000000000001E-3</v>
      </c>
    </row>
    <row r="15" spans="2:11" x14ac:dyDescent="0.3">
      <c r="B15" s="980">
        <v>1210004</v>
      </c>
      <c r="C15" s="553" t="s">
        <v>1131</v>
      </c>
      <c r="D15" s="554">
        <v>2.1420000000000003E-4</v>
      </c>
      <c r="E15" s="1540">
        <v>8.5000000000000006E-2</v>
      </c>
      <c r="F15" s="982">
        <f>VLOOKUP(B15,[2]Hoja1!$C$2:$E$279,3,FALSE)</f>
        <v>3841</v>
      </c>
      <c r="G15" s="568">
        <f t="shared" si="0"/>
        <v>0.82274220000000009</v>
      </c>
      <c r="H15" s="88">
        <v>3508.01</v>
      </c>
      <c r="I15" s="571">
        <f t="shared" si="1"/>
        <v>0.75141574200000016</v>
      </c>
      <c r="J15" s="561">
        <f t="shared" si="2"/>
        <v>9.4922762477871885</v>
      </c>
      <c r="K15" s="1210">
        <f t="shared" si="3"/>
        <v>2.1420000000000003E-4</v>
      </c>
    </row>
    <row r="16" spans="2:11" x14ac:dyDescent="0.3">
      <c r="B16" s="980">
        <v>121007</v>
      </c>
      <c r="C16" s="553" t="s">
        <v>821</v>
      </c>
      <c r="D16" s="554">
        <v>7.5600000000000005E-4</v>
      </c>
      <c r="E16" s="561">
        <v>0.3</v>
      </c>
      <c r="F16" s="982">
        <f>VLOOKUP(B16,[2]Hoja1!$C$2:$E$279,3,FALSE)</f>
        <v>16905</v>
      </c>
      <c r="G16" s="568">
        <f t="shared" si="0"/>
        <v>12.780180000000001</v>
      </c>
      <c r="H16" s="964">
        <v>16100</v>
      </c>
      <c r="I16" s="571">
        <f t="shared" si="1"/>
        <v>12.171600000000002</v>
      </c>
      <c r="J16" s="561">
        <f t="shared" si="2"/>
        <v>5</v>
      </c>
      <c r="K16" s="1210">
        <f t="shared" si="3"/>
        <v>7.5600000000000005E-4</v>
      </c>
    </row>
    <row r="17" spans="2:11" x14ac:dyDescent="0.3">
      <c r="B17" s="980">
        <v>1210008</v>
      </c>
      <c r="C17" s="553" t="s">
        <v>1240</v>
      </c>
      <c r="D17" s="1212">
        <v>2.52E-4</v>
      </c>
      <c r="E17" s="561">
        <v>0.1</v>
      </c>
      <c r="F17" s="982">
        <f>VLOOKUP(B17,[2]Hoja1!$C$2:$E$279,3,FALSE)</f>
        <v>14700</v>
      </c>
      <c r="G17" s="568">
        <f t="shared" si="0"/>
        <v>3.7044000000000001</v>
      </c>
      <c r="H17" s="1557">
        <v>14700</v>
      </c>
      <c r="I17" s="571"/>
      <c r="J17" s="561"/>
      <c r="K17" s="1211">
        <f t="shared" si="3"/>
        <v>2.52E-4</v>
      </c>
    </row>
    <row r="18" spans="2:11" x14ac:dyDescent="0.3">
      <c r="B18" s="980">
        <v>1240007</v>
      </c>
      <c r="C18" s="553" t="s">
        <v>1352</v>
      </c>
      <c r="D18" s="554">
        <v>1.008E-3</v>
      </c>
      <c r="E18" s="561">
        <v>0.5</v>
      </c>
      <c r="F18" s="982">
        <f>VLOOKUP(B18,[2]Hoja1!$C$2:$E$279,3,FALSE)</f>
        <v>25921.42</v>
      </c>
      <c r="G18" s="568">
        <f t="shared" si="0"/>
        <v>26.128791359999997</v>
      </c>
      <c r="H18" s="866">
        <v>70840.75</v>
      </c>
      <c r="I18" s="571">
        <f t="shared" si="1"/>
        <v>71.407476000000003</v>
      </c>
      <c r="J18" s="561">
        <f t="shared" si="2"/>
        <v>-63.408885422585165</v>
      </c>
      <c r="K18" s="1210">
        <f t="shared" si="3"/>
        <v>1.2600000000000001E-3</v>
      </c>
    </row>
    <row r="19" spans="2:11" x14ac:dyDescent="0.3">
      <c r="B19" s="980">
        <v>1230017</v>
      </c>
      <c r="C19" s="553" t="s">
        <v>1181</v>
      </c>
      <c r="D19" s="554">
        <v>6.3000000000000003E-4</v>
      </c>
      <c r="E19" s="561">
        <v>0.25</v>
      </c>
      <c r="F19" s="982">
        <f>VLOOKUP(B19,[2]Hoja1!$C$2:$E$279,3,FALSE)</f>
        <v>62534.84</v>
      </c>
      <c r="G19" s="568">
        <f t="shared" si="0"/>
        <v>39.396949200000002</v>
      </c>
      <c r="H19" s="964">
        <v>59600</v>
      </c>
      <c r="I19" s="571">
        <f t="shared" si="1"/>
        <v>37.548000000000002</v>
      </c>
      <c r="J19" s="561">
        <f t="shared" si="2"/>
        <v>4.9242281879194678</v>
      </c>
      <c r="K19" s="1210">
        <f t="shared" si="3"/>
        <v>6.3000000000000003E-4</v>
      </c>
    </row>
    <row r="20" spans="2:11" x14ac:dyDescent="0.3">
      <c r="B20" s="980">
        <v>1220005</v>
      </c>
      <c r="C20" s="553" t="s">
        <v>1135</v>
      </c>
      <c r="D20" s="1212">
        <v>3.2759999999999999E-4</v>
      </c>
      <c r="E20" s="561">
        <v>0.13</v>
      </c>
      <c r="F20" s="982">
        <f>VLOOKUP(B20,[2]Hoja1!$C$2:$E$279,3,FALSE)</f>
        <v>17429.990000000002</v>
      </c>
      <c r="G20" s="568">
        <f t="shared" si="0"/>
        <v>5.7100647240000004</v>
      </c>
      <c r="H20" s="964">
        <v>17430</v>
      </c>
      <c r="I20" s="571">
        <f t="shared" si="1"/>
        <v>5.7100679999999997</v>
      </c>
      <c r="J20" s="561">
        <f t="shared" si="2"/>
        <v>-5.7372346518036466E-5</v>
      </c>
      <c r="K20" s="1210">
        <f t="shared" si="3"/>
        <v>3.2759999999999999E-4</v>
      </c>
    </row>
    <row r="21" spans="2:11" x14ac:dyDescent="0.3">
      <c r="B21" s="980">
        <v>1220006</v>
      </c>
      <c r="C21" s="553" t="s">
        <v>1172</v>
      </c>
      <c r="D21" s="1212">
        <v>3.2759999999999999E-4</v>
      </c>
      <c r="E21" s="561">
        <v>0.13</v>
      </c>
      <c r="F21" s="982">
        <f>VLOOKUP(B21,[2]Hoja1!$C$2:$E$279,3,FALSE)</f>
        <v>73448</v>
      </c>
      <c r="G21" s="568">
        <f t="shared" si="0"/>
        <v>24.061564799999999</v>
      </c>
      <c r="H21" s="72">
        <v>73448</v>
      </c>
      <c r="I21" s="571">
        <f t="shared" si="1"/>
        <v>24.061564799999999</v>
      </c>
      <c r="J21" s="561">
        <f t="shared" si="2"/>
        <v>0</v>
      </c>
      <c r="K21" s="1210">
        <f t="shared" si="3"/>
        <v>3.2759999999999999E-4</v>
      </c>
    </row>
    <row r="22" spans="2:11" x14ac:dyDescent="0.3">
      <c r="B22" s="980">
        <v>1260014</v>
      </c>
      <c r="C22" s="553" t="s">
        <v>825</v>
      </c>
      <c r="D22" s="554">
        <v>2.5200000000000001E-3</v>
      </c>
      <c r="E22" s="561">
        <v>1</v>
      </c>
      <c r="F22" s="982">
        <f>VLOOKUP(B22,[2]Hoja1!$C$2:$E$279,3,FALSE)</f>
        <v>28083.42</v>
      </c>
      <c r="G22" s="568">
        <f t="shared" si="0"/>
        <v>70.770218400000005</v>
      </c>
      <c r="H22" s="526">
        <v>40834.379999999997</v>
      </c>
      <c r="I22" s="571">
        <f t="shared" si="1"/>
        <v>102.90263759999999</v>
      </c>
      <c r="J22" s="561">
        <f t="shared" si="2"/>
        <v>-31.226040410066219</v>
      </c>
      <c r="K22" s="1210">
        <f t="shared" si="3"/>
        <v>2.5200000000000001E-3</v>
      </c>
    </row>
    <row r="23" spans="2:11" x14ac:dyDescent="0.3">
      <c r="B23" s="980">
        <v>1210003</v>
      </c>
      <c r="C23" s="553" t="s">
        <v>1143</v>
      </c>
      <c r="D23" s="554">
        <v>1.26E-4</v>
      </c>
      <c r="E23" s="561">
        <v>0.05</v>
      </c>
      <c r="F23" s="982">
        <f>VLOOKUP(B23,[2]Hoja1!$C$2:$E$279,3,FALSE)</f>
        <v>16235.45</v>
      </c>
      <c r="G23" s="568">
        <f t="shared" si="0"/>
        <v>2.0456666999999999</v>
      </c>
      <c r="H23" s="965">
        <v>12852.58</v>
      </c>
      <c r="I23" s="571">
        <f t="shared" si="1"/>
        <v>1.6194250800000001</v>
      </c>
      <c r="J23" s="561">
        <f t="shared" si="2"/>
        <v>26.320551982559152</v>
      </c>
      <c r="K23" s="1210">
        <f t="shared" si="3"/>
        <v>1.26E-4</v>
      </c>
    </row>
    <row r="24" spans="2:11" x14ac:dyDescent="0.3">
      <c r="B24" s="980">
        <v>1260009</v>
      </c>
      <c r="C24" s="553" t="s">
        <v>1027</v>
      </c>
      <c r="D24" s="554">
        <v>7.5599999999999999E-3</v>
      </c>
      <c r="E24" s="561">
        <v>3</v>
      </c>
      <c r="F24" s="982">
        <f>VLOOKUP(B24,[2]Hoja1!$C$2:$E$279,3,FALSE)</f>
        <v>7033.69</v>
      </c>
      <c r="G24" s="568">
        <f t="shared" si="0"/>
        <v>53.174696399999995</v>
      </c>
      <c r="H24" s="965">
        <v>9565.2099999999991</v>
      </c>
      <c r="I24" s="571">
        <f t="shared" si="1"/>
        <v>72.312987599999985</v>
      </c>
      <c r="J24" s="561">
        <f t="shared" si="2"/>
        <v>-26.465911360022403</v>
      </c>
      <c r="K24" s="526">
        <f t="shared" si="3"/>
        <v>7.5599999999999999E-3</v>
      </c>
    </row>
    <row r="25" spans="2:11" x14ac:dyDescent="0.3">
      <c r="B25" s="980">
        <v>1260010</v>
      </c>
      <c r="C25" s="553" t="s">
        <v>1043</v>
      </c>
      <c r="D25" s="554">
        <v>7.0055999999999998E-3</v>
      </c>
      <c r="E25" s="561">
        <v>2.78</v>
      </c>
      <c r="F25" s="982">
        <f>VLOOKUP(B25,[2]Hoja1!$C$2:$E$279,3,FALSE)</f>
        <v>6959.71</v>
      </c>
      <c r="G25" s="568">
        <f t="shared" si="0"/>
        <v>48.756944376</v>
      </c>
      <c r="H25" s="964">
        <v>8234.27</v>
      </c>
      <c r="I25" s="571">
        <f t="shared" si="1"/>
        <v>57.686001912000002</v>
      </c>
      <c r="J25" s="561">
        <f t="shared" si="2"/>
        <v>-15.478724890002397</v>
      </c>
      <c r="K25" s="526">
        <f t="shared" si="3"/>
        <v>7.0055999999999998E-3</v>
      </c>
    </row>
    <row r="26" spans="2:11" x14ac:dyDescent="0.3">
      <c r="B26" s="980">
        <v>1260011</v>
      </c>
      <c r="C26" s="553" t="s">
        <v>739</v>
      </c>
      <c r="D26" s="554">
        <v>6.3251999999999996E-3</v>
      </c>
      <c r="E26" s="561">
        <v>2.5099999999999998</v>
      </c>
      <c r="F26" s="982">
        <f>VLOOKUP(B26,[2]Hoja1!$C$2:$E$279,3,FALSE)</f>
        <v>4450.01</v>
      </c>
      <c r="G26" s="568">
        <f t="shared" si="0"/>
        <v>28.147203252000001</v>
      </c>
      <c r="H26" s="1557">
        <v>5752.34</v>
      </c>
      <c r="I26" s="571"/>
      <c r="J26" s="561"/>
      <c r="K26" s="526">
        <f t="shared" si="3"/>
        <v>6.3251999999999996E-3</v>
      </c>
    </row>
    <row r="27" spans="2:11" x14ac:dyDescent="0.3">
      <c r="B27" s="980">
        <v>1260017</v>
      </c>
      <c r="C27" s="553" t="s">
        <v>832</v>
      </c>
      <c r="D27" s="554">
        <v>6.3251999999999996E-3</v>
      </c>
      <c r="E27" s="561">
        <v>2.5099999999999998</v>
      </c>
      <c r="F27" s="982">
        <f>VLOOKUP(B27,[2]Hoja1!$C$2:$E$279,3,FALSE)</f>
        <v>4500</v>
      </c>
      <c r="G27" s="568">
        <f t="shared" si="0"/>
        <v>28.463399999999996</v>
      </c>
      <c r="H27" s="88">
        <v>4500</v>
      </c>
      <c r="I27" s="571">
        <f t="shared" si="1"/>
        <v>28.463399999999996</v>
      </c>
      <c r="J27" s="561">
        <f t="shared" si="2"/>
        <v>0</v>
      </c>
      <c r="K27" s="526">
        <f t="shared" si="3"/>
        <v>6.3251999999999996E-3</v>
      </c>
    </row>
    <row r="28" spans="2:11" x14ac:dyDescent="0.3">
      <c r="B28" s="980">
        <v>1260005</v>
      </c>
      <c r="C28" s="553" t="s">
        <v>811</v>
      </c>
      <c r="D28" s="554">
        <v>3.7044000000000001E-3</v>
      </c>
      <c r="E28" s="561">
        <v>1.47</v>
      </c>
      <c r="F28" s="982">
        <f>VLOOKUP(B28,[2]Hoja1!$C$2:$E$279,3,FALSE)</f>
        <v>26429</v>
      </c>
      <c r="G28" s="568">
        <f t="shared" si="0"/>
        <v>97.903587599999994</v>
      </c>
      <c r="H28" s="533">
        <v>25850</v>
      </c>
      <c r="I28" s="571">
        <f t="shared" si="1"/>
        <v>95.758740000000003</v>
      </c>
      <c r="J28" s="561">
        <f t="shared" si="2"/>
        <v>2.2398452611218715</v>
      </c>
      <c r="K28" s="1210">
        <f t="shared" si="3"/>
        <v>3.7044000000000001E-3</v>
      </c>
    </row>
    <row r="29" spans="2:11" x14ac:dyDescent="0.3">
      <c r="B29" s="980">
        <v>1260022</v>
      </c>
      <c r="C29" s="553" t="s">
        <v>974</v>
      </c>
      <c r="D29" s="986">
        <v>1.2600000000000001E-3</v>
      </c>
      <c r="E29" s="561">
        <v>0.5</v>
      </c>
      <c r="F29" s="982">
        <f>VLOOKUP(B29,[2]Hoja1!$C$2:$E$279,3,FALSE)</f>
        <v>22988.01</v>
      </c>
      <c r="G29" s="568">
        <f t="shared" si="0"/>
        <v>28.964892599999999</v>
      </c>
      <c r="H29" s="88">
        <v>27066.49</v>
      </c>
      <c r="I29" s="571">
        <f t="shared" si="1"/>
        <v>34.103777400000006</v>
      </c>
      <c r="J29" s="561">
        <f t="shared" si="2"/>
        <v>-15.068374214757824</v>
      </c>
      <c r="K29" s="1210">
        <f t="shared" si="3"/>
        <v>1.2600000000000001E-3</v>
      </c>
    </row>
    <row r="30" spans="2:11" x14ac:dyDescent="0.3">
      <c r="B30" s="1848" t="s">
        <v>37</v>
      </c>
      <c r="C30" s="1848"/>
      <c r="D30" s="1433">
        <f>SUM(D6:D29)</f>
        <v>0.25189668000000004</v>
      </c>
      <c r="E30" s="1590">
        <f>SUM(E6:E29)</f>
        <v>100.05899999999997</v>
      </c>
      <c r="F30" s="1435"/>
      <c r="G30" s="1434">
        <f>SUM(G6:G29)</f>
        <v>1160.1891987839999</v>
      </c>
      <c r="H30" s="1436"/>
      <c r="I30" s="1434">
        <f>SUM(I6:I29)</f>
        <v>1284.9664334219999</v>
      </c>
      <c r="J30" s="1437">
        <f>((G30/I30)*100)-100</f>
        <v>-9.7105442906944432</v>
      </c>
      <c r="K30" s="1438"/>
    </row>
    <row r="31" spans="2:11" x14ac:dyDescent="0.3">
      <c r="B31" s="991"/>
      <c r="C31" s="991"/>
      <c r="D31" s="992"/>
      <c r="E31" s="993"/>
      <c r="F31" s="993"/>
      <c r="G31" s="993"/>
      <c r="I31" s="994"/>
    </row>
    <row r="32" spans="2:11" x14ac:dyDescent="0.3">
      <c r="B32" s="1849" t="s">
        <v>50</v>
      </c>
      <c r="C32" s="1850"/>
      <c r="D32" s="693">
        <f>+C35+(C35*C41%)</f>
        <v>252</v>
      </c>
      <c r="E32" s="995"/>
      <c r="F32" s="995"/>
      <c r="G32" s="995"/>
      <c r="H32" s="995"/>
      <c r="I32" s="995"/>
    </row>
    <row r="33" spans="2:10" x14ac:dyDescent="0.3">
      <c r="B33" s="1390" t="s">
        <v>38</v>
      </c>
      <c r="C33" s="997" t="s">
        <v>82</v>
      </c>
    </row>
    <row r="34" spans="2:10" x14ac:dyDescent="0.3">
      <c r="B34" s="1390" t="s">
        <v>39</v>
      </c>
      <c r="C34" s="997" t="s">
        <v>280</v>
      </c>
    </row>
    <row r="35" spans="2:10" x14ac:dyDescent="0.3">
      <c r="B35" s="1390" t="s">
        <v>40</v>
      </c>
      <c r="C35" s="997">
        <v>225</v>
      </c>
    </row>
    <row r="36" spans="2:10" x14ac:dyDescent="0.3">
      <c r="B36" s="1390" t="s">
        <v>41</v>
      </c>
      <c r="C36" s="997">
        <v>0</v>
      </c>
    </row>
    <row r="37" spans="2:10" x14ac:dyDescent="0.3">
      <c r="B37" s="1390" t="s">
        <v>42</v>
      </c>
      <c r="C37" s="997">
        <v>0.5</v>
      </c>
    </row>
    <row r="38" spans="2:10" x14ac:dyDescent="0.3">
      <c r="B38" s="1390" t="s">
        <v>43</v>
      </c>
      <c r="C38" s="997">
        <v>0.5</v>
      </c>
    </row>
    <row r="39" spans="2:10" x14ac:dyDescent="0.3">
      <c r="B39" s="1390" t="s">
        <v>44</v>
      </c>
      <c r="C39" s="997">
        <v>7</v>
      </c>
    </row>
    <row r="40" spans="2:10" x14ac:dyDescent="0.3">
      <c r="B40" s="1390" t="s">
        <v>45</v>
      </c>
      <c r="C40" s="997">
        <v>4</v>
      </c>
    </row>
    <row r="41" spans="2:10" x14ac:dyDescent="0.3">
      <c r="B41" s="1390" t="s">
        <v>46</v>
      </c>
      <c r="C41" s="998">
        <f>C40+C39+C38+C37</f>
        <v>12</v>
      </c>
    </row>
    <row r="43" spans="2:10" x14ac:dyDescent="0.3">
      <c r="B43" s="1851" t="s">
        <v>47</v>
      </c>
      <c r="C43" s="1852"/>
      <c r="D43" s="1852"/>
      <c r="E43" s="1852"/>
      <c r="F43" s="1852"/>
      <c r="G43" s="1852"/>
      <c r="H43" s="1852"/>
      <c r="I43" s="1852"/>
    </row>
    <row r="44" spans="2:10" ht="28.5" x14ac:dyDescent="0.3">
      <c r="B44" s="1391" t="s">
        <v>0</v>
      </c>
      <c r="C44" s="1391" t="s">
        <v>1</v>
      </c>
      <c r="D44" s="1393" t="s">
        <v>2</v>
      </c>
      <c r="E44" s="1335" t="str">
        <f>+'CIF Y PV'!$F$4</f>
        <v xml:space="preserve">JUN-COP/UMB </v>
      </c>
      <c r="F44" s="1335" t="str">
        <f>+'CIF Y PV'!$G$4</f>
        <v>JUN-COP/APP</v>
      </c>
      <c r="G44" s="1335" t="str">
        <f>+'CIF Y PV'!$H$4</f>
        <v xml:space="preserve">MAY-COP/UMB </v>
      </c>
      <c r="H44" s="1335" t="str">
        <f>+'CIF Y PV'!$I$4</f>
        <v>MAY-COP/APP</v>
      </c>
      <c r="I44" s="1335" t="s">
        <v>3</v>
      </c>
      <c r="J44" s="693">
        <v>3975</v>
      </c>
    </row>
    <row r="45" spans="2:10" x14ac:dyDescent="0.3">
      <c r="B45" s="563">
        <v>1370001</v>
      </c>
      <c r="C45" s="563" t="s">
        <v>1062</v>
      </c>
      <c r="D45" s="1001">
        <v>3.5189999999999999E-2</v>
      </c>
      <c r="E45" s="582">
        <f>VLOOKUP(B45,[2]Hoja1!$C$2:$E$279,3,FALSE)</f>
        <v>3858.27</v>
      </c>
      <c r="F45" s="582">
        <f t="shared" ref="F45:F50" si="4">E45*D45</f>
        <v>135.77252129999999</v>
      </c>
      <c r="G45" s="582">
        <v>4385.63</v>
      </c>
      <c r="H45" s="582">
        <f>G45*D45</f>
        <v>154.33031969999999</v>
      </c>
      <c r="I45" s="571">
        <f>((E45/G45)*100)-100</f>
        <v>-12.024726208093256</v>
      </c>
      <c r="J45" s="526">
        <f>$J$44*D45</f>
        <v>139.88024999999999</v>
      </c>
    </row>
    <row r="46" spans="2:10" x14ac:dyDescent="0.3">
      <c r="B46" s="563">
        <v>1380002</v>
      </c>
      <c r="C46" s="563" t="s">
        <v>1051</v>
      </c>
      <c r="D46" s="1001">
        <v>7.0379999999999998E-2</v>
      </c>
      <c r="E46" s="582">
        <f>VLOOKUP(B46,[2]Hoja1!$C$2:$E$279,3,FALSE)</f>
        <v>73.33</v>
      </c>
      <c r="F46" s="582">
        <f t="shared" si="4"/>
        <v>5.1609653999999994</v>
      </c>
      <c r="G46" s="866">
        <v>76.61</v>
      </c>
      <c r="H46" s="582">
        <f>G46*D46</f>
        <v>5.3918118000000002</v>
      </c>
      <c r="I46" s="571">
        <f>((E46/G46)*100)-100</f>
        <v>-4.281425401383629</v>
      </c>
      <c r="J46" s="526">
        <f>J44*D46</f>
        <v>279.76049999999998</v>
      </c>
    </row>
    <row r="47" spans="2:10" x14ac:dyDescent="0.3">
      <c r="B47" s="563">
        <v>1330018</v>
      </c>
      <c r="C47" s="563" t="s">
        <v>1256</v>
      </c>
      <c r="D47" s="1001">
        <v>1</v>
      </c>
      <c r="E47" s="582">
        <f>VLOOKUP(B47,[2]Hoja1!$C$2:$E$279,3,FALSE)</f>
        <v>138.6</v>
      </c>
      <c r="F47" s="582">
        <f t="shared" si="4"/>
        <v>138.6</v>
      </c>
      <c r="G47" s="866">
        <v>144.44999999999999</v>
      </c>
      <c r="H47" s="582"/>
      <c r="I47" s="571"/>
      <c r="J47" s="526"/>
    </row>
    <row r="48" spans="2:10" x14ac:dyDescent="0.3">
      <c r="B48" s="563">
        <v>1310017</v>
      </c>
      <c r="C48" s="980" t="s">
        <v>1224</v>
      </c>
      <c r="D48" s="1001">
        <v>4.7E-2</v>
      </c>
      <c r="E48" s="582">
        <f>VLOOKUP(B48,[2]Hoja1!$C$2:$E$279,3,FALSE)</f>
        <v>698.26</v>
      </c>
      <c r="F48" s="582">
        <f t="shared" si="4"/>
        <v>32.818219999999997</v>
      </c>
      <c r="G48" s="582">
        <v>771.15</v>
      </c>
      <c r="H48" s="582">
        <f>G48*D48</f>
        <v>36.244050000000001</v>
      </c>
      <c r="I48" s="571">
        <f>((E48/G48)*100)-100</f>
        <v>-9.4521169681644324</v>
      </c>
      <c r="J48" s="526">
        <f>J44*D48</f>
        <v>186.82499999999999</v>
      </c>
    </row>
    <row r="49" spans="1:11" x14ac:dyDescent="0.3">
      <c r="B49" s="563">
        <v>1330053</v>
      </c>
      <c r="C49" s="978" t="s">
        <v>897</v>
      </c>
      <c r="D49" s="1001">
        <v>1</v>
      </c>
      <c r="E49" s="582">
        <f>VLOOKUP(B49,[2]Hoja1!$C$2:$E$279,3,FALSE)</f>
        <v>88.13</v>
      </c>
      <c r="F49" s="582">
        <f t="shared" si="4"/>
        <v>88.13</v>
      </c>
      <c r="G49" s="582">
        <v>82.38</v>
      </c>
      <c r="H49" s="582">
        <f>G49*D49</f>
        <v>82.38</v>
      </c>
      <c r="I49" s="571">
        <f>((E49/G49)*100)-100</f>
        <v>6.9798494780286546</v>
      </c>
      <c r="J49" s="526"/>
    </row>
    <row r="50" spans="1:11" x14ac:dyDescent="0.3">
      <c r="B50" s="563">
        <v>1320005</v>
      </c>
      <c r="C50" s="1142" t="s">
        <v>1145</v>
      </c>
      <c r="D50" s="1001">
        <v>4.7E-2</v>
      </c>
      <c r="E50" s="582">
        <f>VLOOKUP(B50,[2]Hoja1!$C$2:$E$279,3,FALSE)</f>
        <v>740.21</v>
      </c>
      <c r="F50" s="582">
        <f t="shared" si="4"/>
        <v>34.789870000000001</v>
      </c>
      <c r="G50" s="582">
        <v>828.94</v>
      </c>
      <c r="H50" s="582">
        <f>G50*D50</f>
        <v>38.960180000000001</v>
      </c>
      <c r="I50" s="571">
        <f>((E50/G50)*100)-100</f>
        <v>-10.704031654884545</v>
      </c>
      <c r="J50" s="526">
        <f>J44*D50</f>
        <v>186.82499999999999</v>
      </c>
    </row>
    <row r="51" spans="1:11" x14ac:dyDescent="0.3">
      <c r="B51" s="563"/>
      <c r="C51" s="1168"/>
      <c r="D51" s="1191"/>
      <c r="E51" s="582"/>
      <c r="F51" s="691"/>
      <c r="G51" s="691"/>
      <c r="H51" s="691"/>
      <c r="I51" s="1192"/>
      <c r="J51" s="526"/>
    </row>
    <row r="52" spans="1:11" x14ac:dyDescent="0.3">
      <c r="B52" s="1391"/>
      <c r="C52" s="1391" t="s">
        <v>37</v>
      </c>
      <c r="D52" s="1393"/>
      <c r="E52" s="1393"/>
      <c r="F52" s="1393">
        <f>+SUM(F45:F51)</f>
        <v>435.27157670000003</v>
      </c>
      <c r="G52" s="1393"/>
      <c r="H52" s="1393">
        <f>SUM(H45:H50)</f>
        <v>317.30636149999998</v>
      </c>
      <c r="I52" s="1439">
        <f>((F52/H52)*100)-100</f>
        <v>37.177072228348663</v>
      </c>
    </row>
    <row r="54" spans="1:11" x14ac:dyDescent="0.3">
      <c r="H54" s="527" t="str">
        <f>+'CIF Y PV'!$G$1</f>
        <v>MAYO</v>
      </c>
      <c r="J54" s="693"/>
      <c r="K54" s="1004"/>
    </row>
    <row r="55" spans="1:11" x14ac:dyDescent="0.3">
      <c r="B55" s="1807" t="s">
        <v>72</v>
      </c>
      <c r="C55" s="1807"/>
      <c r="E55" s="1005"/>
      <c r="F55" s="1005"/>
      <c r="G55" s="1005"/>
      <c r="H55" s="1005">
        <f>+F52+G30</f>
        <v>1595.4607754839999</v>
      </c>
      <c r="I55" s="1006"/>
      <c r="J55" s="1005"/>
      <c r="K55" s="1006"/>
    </row>
    <row r="56" spans="1:11" x14ac:dyDescent="0.3">
      <c r="B56" s="1808" t="s">
        <v>48</v>
      </c>
      <c r="C56" s="1809"/>
      <c r="E56" s="1005"/>
      <c r="F56" s="1005"/>
      <c r="G56" s="1005"/>
      <c r="H56" s="1005">
        <f>+('CIF Y PV'!C3/1000)*225</f>
        <v>425.25</v>
      </c>
      <c r="I56" s="1007"/>
      <c r="J56" s="1005"/>
      <c r="K56" s="1007"/>
    </row>
    <row r="57" spans="1:11" x14ac:dyDescent="0.3">
      <c r="B57" s="1808" t="s">
        <v>74</v>
      </c>
      <c r="C57" s="1809"/>
      <c r="E57" s="1005"/>
      <c r="F57" s="1005"/>
      <c r="G57" s="1005"/>
      <c r="H57" s="1005">
        <f>+H55+H56</f>
        <v>2020.7107754839999</v>
      </c>
      <c r="I57" s="1008"/>
      <c r="J57" s="1005"/>
      <c r="K57" s="1008"/>
    </row>
    <row r="58" spans="1:11" x14ac:dyDescent="0.3">
      <c r="B58" s="1779" t="s">
        <v>49</v>
      </c>
      <c r="C58" s="1779"/>
      <c r="E58" s="972"/>
      <c r="F58" s="972"/>
      <c r="G58" s="972"/>
      <c r="H58" s="972">
        <f>'CIF Y PV'!C40</f>
        <v>4403.9916000000003</v>
      </c>
      <c r="J58" s="972"/>
      <c r="K58" s="1009"/>
    </row>
    <row r="59" spans="1:11" x14ac:dyDescent="0.3">
      <c r="A59" s="1781" t="s">
        <v>1120</v>
      </c>
      <c r="B59" s="1779" t="s">
        <v>805</v>
      </c>
      <c r="C59" s="1779"/>
      <c r="E59" s="972"/>
      <c r="F59" s="972"/>
      <c r="G59" s="972"/>
      <c r="H59" s="976">
        <f>+(H58-H57)/H58</f>
        <v>0.54116379888553834</v>
      </c>
      <c r="I59" s="1010"/>
      <c r="J59" s="693"/>
      <c r="K59" s="1010"/>
    </row>
    <row r="60" spans="1:11" x14ac:dyDescent="0.3">
      <c r="A60" s="1781"/>
    </row>
    <row r="61" spans="1:11" x14ac:dyDescent="0.3">
      <c r="A61" s="1781"/>
    </row>
    <row r="62" spans="1:11" x14ac:dyDescent="0.3">
      <c r="A62" s="1781"/>
    </row>
  </sheetData>
  <mergeCells count="10">
    <mergeCell ref="A59:A62"/>
    <mergeCell ref="B3:I3"/>
    <mergeCell ref="B30:C30"/>
    <mergeCell ref="B32:C32"/>
    <mergeCell ref="B43:I43"/>
    <mergeCell ref="B59:C59"/>
    <mergeCell ref="B58:C58"/>
    <mergeCell ref="B56:C56"/>
    <mergeCell ref="B57:C57"/>
    <mergeCell ref="B55:C55"/>
  </mergeCells>
  <pageMargins left="0.7" right="0.7" top="0.75" bottom="0.75" header="0.3" footer="0.3"/>
  <pageSetup scale="40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8BBD-6098-47B3-8417-1F7BFAAFA221}">
  <sheetPr codeName="Hoja58"/>
  <dimension ref="B2:M49"/>
  <sheetViews>
    <sheetView view="pageBreakPreview" topLeftCell="A29" zoomScale="80" zoomScaleNormal="100" zoomScaleSheetLayoutView="80" workbookViewId="0">
      <selection activeCell="F5" sqref="F5"/>
    </sheetView>
  </sheetViews>
  <sheetFormatPr baseColWidth="10" defaultColWidth="11.5703125" defaultRowHeight="16.5" x14ac:dyDescent="0.25"/>
  <cols>
    <col min="1" max="1" width="26.140625" style="42" customWidth="1"/>
    <col min="2" max="2" width="24.140625" style="42" bestFit="1" customWidth="1"/>
    <col min="3" max="3" width="63.42578125" style="42" customWidth="1"/>
    <col min="4" max="4" width="15.5703125" style="42" customWidth="1"/>
    <col min="5" max="5" width="13.140625" style="42" bestFit="1" customWidth="1"/>
    <col min="6" max="7" width="13.140625" style="42" customWidth="1"/>
    <col min="8" max="8" width="15.140625" style="42" customWidth="1"/>
    <col min="9" max="9" width="12.28515625" style="42" bestFit="1" customWidth="1"/>
    <col min="10" max="11" width="11.5703125" style="42"/>
    <col min="12" max="12" width="13.42578125" style="42" customWidth="1"/>
    <col min="13" max="13" width="13" style="42" bestFit="1" customWidth="1"/>
    <col min="14" max="16384" width="11.5703125" style="42"/>
  </cols>
  <sheetData>
    <row r="2" spans="2:12" ht="30" customHeight="1" x14ac:dyDescent="0.25">
      <c r="B2" s="1853" t="s">
        <v>283</v>
      </c>
      <c r="C2" s="1853"/>
      <c r="D2" s="1853"/>
      <c r="E2" s="1853"/>
      <c r="F2" s="1853"/>
      <c r="G2" s="1853"/>
      <c r="H2" s="1853"/>
      <c r="I2" s="1853"/>
    </row>
    <row r="3" spans="2:12" x14ac:dyDescent="0.25">
      <c r="E3" s="42">
        <v>55.25</v>
      </c>
      <c r="G3" s="1021"/>
    </row>
    <row r="4" spans="2:12" s="979" customFormat="1" ht="28.5" x14ac:dyDescent="0.25">
      <c r="B4" s="1348" t="s">
        <v>0</v>
      </c>
      <c r="C4" s="1348" t="s">
        <v>1</v>
      </c>
      <c r="D4" s="1348" t="s">
        <v>2</v>
      </c>
      <c r="E4" s="1348" t="s">
        <v>3</v>
      </c>
      <c r="F4" s="1335" t="str">
        <f>+'CIF Y PV'!$F$2</f>
        <v xml:space="preserve">JUN-COP/Kg </v>
      </c>
      <c r="G4" s="1335" t="str">
        <f>+'CIF Y PV'!$G$2</f>
        <v>JUN-COP/APP</v>
      </c>
      <c r="H4" s="1335" t="str">
        <f>+'CIF Y PV'!$H$2</f>
        <v xml:space="preserve">MAY-COP/Kg </v>
      </c>
      <c r="I4" s="1335" t="str">
        <f>+'CIF Y PV'!$I$2</f>
        <v>MAY-COP/APP</v>
      </c>
      <c r="J4" s="1357" t="s">
        <v>3</v>
      </c>
      <c r="K4" s="1440">
        <f>+D25/1000</f>
        <v>0.26437500000000003</v>
      </c>
      <c r="L4" s="1441">
        <v>2.0129999999999999</v>
      </c>
    </row>
    <row r="5" spans="2:12" x14ac:dyDescent="0.25">
      <c r="B5" s="1214">
        <v>1112001</v>
      </c>
      <c r="C5" s="542" t="s">
        <v>797</v>
      </c>
      <c r="D5" s="565">
        <v>0.12581606250000002</v>
      </c>
      <c r="E5" s="905">
        <v>47.59</v>
      </c>
      <c r="F5" s="982">
        <f>VLOOKUP(B5,[2]Hoja1!$C$2:$E$279,3,FALSE)</f>
        <v>3663.96</v>
      </c>
      <c r="G5" s="905">
        <f>F5*D5</f>
        <v>460.9850203575001</v>
      </c>
      <c r="H5" s="982">
        <v>4222.72</v>
      </c>
      <c r="I5" s="905">
        <f>H5*D5</f>
        <v>531.28600344000017</v>
      </c>
      <c r="J5" s="905">
        <f>((F5/H5)*100)-100</f>
        <v>-13.232229463473786</v>
      </c>
      <c r="K5" s="282">
        <f>$K$4*E5%</f>
        <v>0.12581606250000002</v>
      </c>
      <c r="L5" s="282"/>
    </row>
    <row r="6" spans="2:12" x14ac:dyDescent="0.25">
      <c r="B6" s="1214">
        <v>2906001</v>
      </c>
      <c r="C6" s="542" t="s">
        <v>831</v>
      </c>
      <c r="D6" s="543">
        <v>2.2279601726093595E-2</v>
      </c>
      <c r="E6" s="905">
        <v>8.4272725205082146</v>
      </c>
      <c r="F6" s="982">
        <f>VLOOKUP(B6,[2]Hoja1!$C$2:$E$279,3,FALSE)</f>
        <v>1956.71</v>
      </c>
      <c r="G6" s="905">
        <f t="shared" ref="G6:G22" si="0">F6*D6</f>
        <v>43.594719493464595</v>
      </c>
      <c r="H6" s="982">
        <v>2033.73</v>
      </c>
      <c r="I6" s="905">
        <f t="shared" ref="I6:I22" si="1">H6*D6</f>
        <v>45.310694418408325</v>
      </c>
      <c r="J6" s="905">
        <f t="shared" ref="J6:J22" si="2">((F6/H6)*100)-100</f>
        <v>-3.7871300516784459</v>
      </c>
      <c r="K6" s="336">
        <f t="shared" ref="K6:K22" si="3">$K$4*E6%</f>
        <v>2.2279601726093595E-2</v>
      </c>
      <c r="L6" s="282"/>
    </row>
    <row r="7" spans="2:12" x14ac:dyDescent="0.25">
      <c r="B7" s="1214">
        <v>1121009</v>
      </c>
      <c r="C7" s="542" t="s">
        <v>1272</v>
      </c>
      <c r="D7" s="543">
        <v>8.5841994885831208E-3</v>
      </c>
      <c r="E7" s="905">
        <v>3.2469785299605181</v>
      </c>
      <c r="F7" s="982">
        <f>VLOOKUP(B7,[2]Hoja1!$C$2:$E$279,3,FALSE)</f>
        <v>8741.6200000000008</v>
      </c>
      <c r="G7" s="905">
        <f t="shared" si="0"/>
        <v>75.039809933387986</v>
      </c>
      <c r="H7" s="982">
        <v>8754.2800000000007</v>
      </c>
      <c r="I7" s="905">
        <f t="shared" si="1"/>
        <v>75.148485898913449</v>
      </c>
      <c r="J7" s="905">
        <f t="shared" si="2"/>
        <v>-0.14461497690273006</v>
      </c>
      <c r="K7" s="336">
        <f t="shared" si="3"/>
        <v>8.5841994885831208E-3</v>
      </c>
      <c r="L7" s="282"/>
    </row>
    <row r="8" spans="2:12" x14ac:dyDescent="0.25">
      <c r="B8" s="1214">
        <v>1131002</v>
      </c>
      <c r="C8" s="542" t="s">
        <v>663</v>
      </c>
      <c r="D8" s="543">
        <v>6.4666125000000005E-2</v>
      </c>
      <c r="E8" s="905">
        <v>24.46</v>
      </c>
      <c r="F8" s="982">
        <f>VLOOKUP(B8,[2]Hoja1!$C$2:$E$279,3,FALSE)</f>
        <v>0</v>
      </c>
      <c r="G8" s="905">
        <f t="shared" si="0"/>
        <v>0</v>
      </c>
      <c r="H8" s="984">
        <v>0</v>
      </c>
      <c r="I8" s="905">
        <f t="shared" si="1"/>
        <v>0</v>
      </c>
      <c r="J8" s="905" t="e">
        <f t="shared" si="2"/>
        <v>#DIV/0!</v>
      </c>
      <c r="K8" s="336">
        <f t="shared" si="3"/>
        <v>6.4666125000000005E-2</v>
      </c>
      <c r="L8" s="282"/>
    </row>
    <row r="9" spans="2:12" x14ac:dyDescent="0.25">
      <c r="B9" s="1214">
        <v>1250009</v>
      </c>
      <c r="C9" s="542" t="s">
        <v>1279</v>
      </c>
      <c r="D9" s="543">
        <v>1.5726777689007245E-4</v>
      </c>
      <c r="E9" s="905">
        <v>5.9486629556528579E-2</v>
      </c>
      <c r="F9" s="982">
        <f>VLOOKUP(B9,[2]Hoja1!$C$2:$E$279,3,FALSE)</f>
        <v>83551.55</v>
      </c>
      <c r="G9" s="905">
        <f t="shared" si="0"/>
        <v>13.139966524219734</v>
      </c>
      <c r="H9" s="984">
        <v>71910.02</v>
      </c>
      <c r="I9" s="905">
        <f t="shared" si="1"/>
        <v>11.309128981520649</v>
      </c>
      <c r="J9" s="905">
        <f t="shared" si="2"/>
        <v>16.18902344902699</v>
      </c>
      <c r="K9" s="336">
        <f t="shared" si="3"/>
        <v>1.5726777689007245E-4</v>
      </c>
      <c r="L9" s="282"/>
    </row>
    <row r="10" spans="2:12" x14ac:dyDescent="0.3">
      <c r="B10" s="1214">
        <v>1250005</v>
      </c>
      <c r="C10" s="542" t="s">
        <v>1152</v>
      </c>
      <c r="D10" s="543">
        <v>2.1011022300279308E-5</v>
      </c>
      <c r="E10" s="905">
        <v>7.9474316029425271E-3</v>
      </c>
      <c r="F10" s="982">
        <f>VLOOKUP(B10,[2]Hoja1!$C$2:$E$279,3,FALSE)</f>
        <v>66921.05</v>
      </c>
      <c r="G10" s="905">
        <f t="shared" si="0"/>
        <v>1.4060796739081067</v>
      </c>
      <c r="H10" s="964">
        <v>62991.09</v>
      </c>
      <c r="I10" s="905">
        <f t="shared" si="1"/>
        <v>1.3235071967089009</v>
      </c>
      <c r="J10" s="905">
        <f t="shared" si="2"/>
        <v>6.2389141067411344</v>
      </c>
      <c r="K10" s="336">
        <f t="shared" si="3"/>
        <v>2.1011022300279308E-5</v>
      </c>
      <c r="L10" s="282"/>
    </row>
    <row r="11" spans="2:12" x14ac:dyDescent="0.3">
      <c r="B11" s="1214">
        <v>1210006</v>
      </c>
      <c r="C11" s="542" t="s">
        <v>1130</v>
      </c>
      <c r="D11" s="543">
        <v>4.600125E-3</v>
      </c>
      <c r="E11" s="905">
        <v>1.74</v>
      </c>
      <c r="F11" s="982">
        <f>VLOOKUP(B11,[2]Hoja1!$C$2:$E$279,3,FALSE)</f>
        <v>8904.4500000000007</v>
      </c>
      <c r="G11" s="905">
        <f t="shared" si="0"/>
        <v>40.961583056250007</v>
      </c>
      <c r="H11" s="964">
        <v>8910.1</v>
      </c>
      <c r="I11" s="905">
        <f t="shared" si="1"/>
        <v>40.987573762500006</v>
      </c>
      <c r="J11" s="905">
        <f t="shared" si="2"/>
        <v>-6.3411185059649711E-2</v>
      </c>
      <c r="K11" s="336">
        <f t="shared" si="3"/>
        <v>4.600125E-3</v>
      </c>
      <c r="L11" s="282"/>
    </row>
    <row r="12" spans="2:12" x14ac:dyDescent="0.25">
      <c r="B12" s="1214">
        <v>1210004</v>
      </c>
      <c r="C12" s="542" t="s">
        <v>1131</v>
      </c>
      <c r="D12" s="543">
        <v>2.1150000000000002E-4</v>
      </c>
      <c r="E12" s="905">
        <v>0.08</v>
      </c>
      <c r="F12" s="982">
        <f>VLOOKUP(B12,[2]Hoja1!$C$2:$E$279,3,FALSE)</f>
        <v>3841</v>
      </c>
      <c r="G12" s="905">
        <f t="shared" si="0"/>
        <v>0.81237150000000002</v>
      </c>
      <c r="H12" s="88">
        <v>3508.01</v>
      </c>
      <c r="I12" s="905">
        <f t="shared" si="1"/>
        <v>0.74194411500000013</v>
      </c>
      <c r="J12" s="905">
        <f t="shared" si="2"/>
        <v>9.4922762477871885</v>
      </c>
      <c r="K12" s="336">
        <f t="shared" si="3"/>
        <v>2.1150000000000002E-4</v>
      </c>
      <c r="L12" s="282"/>
    </row>
    <row r="13" spans="2:12" x14ac:dyDescent="0.3">
      <c r="B13" s="1214">
        <v>121007</v>
      </c>
      <c r="C13" s="542" t="s">
        <v>821</v>
      </c>
      <c r="D13" s="543">
        <v>1.0484518459338164E-3</v>
      </c>
      <c r="E13" s="905">
        <v>0.39657753037685722</v>
      </c>
      <c r="F13" s="982">
        <f>VLOOKUP(B13,[2]Hoja1!$C$2:$E$279,3,FALSE)</f>
        <v>16905</v>
      </c>
      <c r="G13" s="905">
        <f t="shared" si="0"/>
        <v>17.724078455511165</v>
      </c>
      <c r="H13" s="964">
        <v>16100</v>
      </c>
      <c r="I13" s="905">
        <f t="shared" si="1"/>
        <v>16.880074719534445</v>
      </c>
      <c r="J13" s="905">
        <f t="shared" si="2"/>
        <v>5</v>
      </c>
      <c r="K13" s="336">
        <f t="shared" si="3"/>
        <v>1.0484518459338164E-3</v>
      </c>
      <c r="L13" s="282"/>
    </row>
    <row r="14" spans="2:12" x14ac:dyDescent="0.25">
      <c r="B14" s="1214">
        <v>1240002</v>
      </c>
      <c r="C14" s="542" t="s">
        <v>1140</v>
      </c>
      <c r="D14" s="543">
        <v>1.3105648074172704E-3</v>
      </c>
      <c r="E14" s="905">
        <v>0.49572191297107149</v>
      </c>
      <c r="F14" s="982">
        <f>VLOOKUP(B14,[2]Hoja1!$C$2:$E$279,3,FALSE)</f>
        <v>66115.8</v>
      </c>
      <c r="G14" s="905">
        <f t="shared" si="0"/>
        <v>86.649040694238764</v>
      </c>
      <c r="H14" s="866">
        <v>70840.75</v>
      </c>
      <c r="I14" s="905">
        <f t="shared" si="1"/>
        <v>92.841393881044993</v>
      </c>
      <c r="J14" s="905">
        <f t="shared" si="2"/>
        <v>-6.6698192777461998</v>
      </c>
      <c r="K14" s="336">
        <f t="shared" si="3"/>
        <v>1.3105648074172704E-3</v>
      </c>
      <c r="L14" s="282"/>
    </row>
    <row r="15" spans="2:12" x14ac:dyDescent="0.25">
      <c r="B15" s="1214">
        <v>1220015</v>
      </c>
      <c r="C15" s="542" t="s">
        <v>1036</v>
      </c>
      <c r="D15" s="190">
        <v>1.769262490013315E-3</v>
      </c>
      <c r="E15" s="905">
        <v>0.66922458251094652</v>
      </c>
      <c r="F15" s="982">
        <f>VLOOKUP(B15,[2]Hoja1!$C$2:$E$279,3,FALSE)</f>
        <v>30702.27</v>
      </c>
      <c r="G15" s="905">
        <f t="shared" si="0"/>
        <v>54.320374669261106</v>
      </c>
      <c r="H15" s="73">
        <v>29189.39</v>
      </c>
      <c r="I15" s="905">
        <f t="shared" si="1"/>
        <v>51.643692833369755</v>
      </c>
      <c r="J15" s="905">
        <f t="shared" si="2"/>
        <v>5.1829791578378348</v>
      </c>
      <c r="K15" s="336">
        <f t="shared" si="3"/>
        <v>1.769262490013315E-3</v>
      </c>
      <c r="L15" s="282"/>
    </row>
    <row r="16" spans="2:12" x14ac:dyDescent="0.3">
      <c r="B16" s="1214">
        <v>1220014</v>
      </c>
      <c r="C16" s="542" t="s">
        <v>1146</v>
      </c>
      <c r="D16" s="190">
        <v>1.4416212881589974E-3</v>
      </c>
      <c r="E16" s="905">
        <v>0.54529410426817859</v>
      </c>
      <c r="F16" s="982">
        <f>VLOOKUP(B16,[2]Hoja1!$C$2:$E$279,3,FALSE)</f>
        <v>14060</v>
      </c>
      <c r="G16" s="905">
        <f t="shared" si="0"/>
        <v>20.269195311515503</v>
      </c>
      <c r="H16" s="965">
        <v>13300.01</v>
      </c>
      <c r="I16" s="905">
        <f t="shared" si="1"/>
        <v>19.173577548727547</v>
      </c>
      <c r="J16" s="905">
        <f t="shared" si="2"/>
        <v>5.7142062299201086</v>
      </c>
      <c r="K16" s="336">
        <f t="shared" si="3"/>
        <v>1.4416212881589974E-3</v>
      </c>
      <c r="L16" s="282"/>
    </row>
    <row r="17" spans="2:13" x14ac:dyDescent="0.3">
      <c r="B17" s="1214">
        <v>1210003</v>
      </c>
      <c r="C17" s="542" t="s">
        <v>1143</v>
      </c>
      <c r="D17" s="190">
        <v>1.3105648074172705E-4</v>
      </c>
      <c r="E17" s="905">
        <v>4.9572191297107153E-2</v>
      </c>
      <c r="F17" s="982">
        <f>VLOOKUP(B17,[2]Hoja1!$C$2:$E$279,3,FALSE)</f>
        <v>16235.45</v>
      </c>
      <c r="G17" s="905">
        <f t="shared" si="0"/>
        <v>2.1277609402582724</v>
      </c>
      <c r="H17" s="965">
        <v>12852.58</v>
      </c>
      <c r="I17" s="905">
        <f t="shared" si="1"/>
        <v>1.6844139032515062</v>
      </c>
      <c r="J17" s="905">
        <f t="shared" si="2"/>
        <v>26.320551982559152</v>
      </c>
      <c r="K17" s="336">
        <f t="shared" si="3"/>
        <v>1.3105648074172705E-4</v>
      </c>
      <c r="L17" s="282"/>
    </row>
    <row r="18" spans="2:13" x14ac:dyDescent="0.3">
      <c r="B18" s="1214">
        <v>1260024</v>
      </c>
      <c r="C18" s="542" t="s">
        <v>1290</v>
      </c>
      <c r="D18" s="190">
        <v>2.6211296148345407E-3</v>
      </c>
      <c r="E18" s="905">
        <v>0.99144382594214298</v>
      </c>
      <c r="F18" s="982">
        <f>VLOOKUP(B18,[2]Hoja1!$C$2:$E$279,3,FALSE)</f>
        <v>12625.84</v>
      </c>
      <c r="G18" s="905">
        <f t="shared" si="0"/>
        <v>33.093963136162536</v>
      </c>
      <c r="H18" s="533">
        <v>18900</v>
      </c>
      <c r="I18" s="905">
        <f t="shared" si="1"/>
        <v>49.539349720372819</v>
      </c>
      <c r="J18" s="905">
        <f t="shared" si="2"/>
        <v>-33.196613756613758</v>
      </c>
      <c r="K18" s="336">
        <f t="shared" si="3"/>
        <v>2.6211296148345407E-3</v>
      </c>
      <c r="L18" s="282"/>
    </row>
    <row r="19" spans="2:13" x14ac:dyDescent="0.3">
      <c r="B19" s="1214">
        <v>1260005</v>
      </c>
      <c r="C19" s="542" t="s">
        <v>811</v>
      </c>
      <c r="D19" s="190">
        <v>2.6211296148345407E-3</v>
      </c>
      <c r="E19" s="905">
        <v>0.99144382594214298</v>
      </c>
      <c r="F19" s="982">
        <f>VLOOKUP(B19,[2]Hoja1!$C$2:$E$279,3,FALSE)</f>
        <v>26429</v>
      </c>
      <c r="G19" s="905">
        <f t="shared" si="0"/>
        <v>69.273834590462073</v>
      </c>
      <c r="H19" s="533">
        <v>25850</v>
      </c>
      <c r="I19" s="905">
        <f t="shared" si="1"/>
        <v>67.756200543472872</v>
      </c>
      <c r="J19" s="905">
        <f t="shared" si="2"/>
        <v>2.2398452611218715</v>
      </c>
      <c r="K19" s="336">
        <f t="shared" si="3"/>
        <v>2.6211296148345407E-3</v>
      </c>
      <c r="L19" s="282"/>
    </row>
    <row r="20" spans="2:13" x14ac:dyDescent="0.3">
      <c r="B20" s="1214">
        <v>1260010</v>
      </c>
      <c r="C20" s="542" t="s">
        <v>1043</v>
      </c>
      <c r="D20" s="190">
        <v>1.3105648074172705E-2</v>
      </c>
      <c r="E20" s="905">
        <v>4.9572191297107153</v>
      </c>
      <c r="F20" s="982">
        <f>VLOOKUP(B20,[2]Hoja1!$C$2:$E$279,3,FALSE)</f>
        <v>6959.71</v>
      </c>
      <c r="G20" s="905">
        <f t="shared" si="0"/>
        <v>91.211509958300525</v>
      </c>
      <c r="H20" s="965">
        <v>9565.2099999999991</v>
      </c>
      <c r="I20" s="905">
        <f t="shared" si="1"/>
        <v>125.35827601555749</v>
      </c>
      <c r="J20" s="905">
        <f t="shared" si="2"/>
        <v>-27.239339230398485</v>
      </c>
      <c r="K20" s="336">
        <f t="shared" si="3"/>
        <v>1.3105648074172705E-2</v>
      </c>
      <c r="L20" s="282"/>
    </row>
    <row r="21" spans="2:13" x14ac:dyDescent="0.25">
      <c r="B21" s="1214">
        <v>1260017</v>
      </c>
      <c r="C21" s="542" t="s">
        <v>832</v>
      </c>
      <c r="D21" s="190">
        <v>1.3105648074172705E-2</v>
      </c>
      <c r="E21" s="905">
        <v>4.9572191297107153</v>
      </c>
      <c r="F21" s="982">
        <f>VLOOKUP(B21,[2]Hoja1!$C$2:$E$279,3,FALSE)</f>
        <v>4500</v>
      </c>
      <c r="G21" s="905">
        <f t="shared" si="0"/>
        <v>58.975416333777176</v>
      </c>
      <c r="H21" s="982">
        <v>4500</v>
      </c>
      <c r="I21" s="905">
        <f t="shared" si="1"/>
        <v>58.975416333777176</v>
      </c>
      <c r="J21" s="905">
        <f t="shared" si="2"/>
        <v>0</v>
      </c>
      <c r="K21" s="336">
        <f t="shared" si="3"/>
        <v>1.3105648074172705E-2</v>
      </c>
      <c r="L21" s="282"/>
    </row>
    <row r="22" spans="2:13" x14ac:dyDescent="0.3">
      <c r="B22" s="1214">
        <v>1260012</v>
      </c>
      <c r="C22" s="542" t="s">
        <v>1148</v>
      </c>
      <c r="D22" s="1598">
        <v>8.5448825443606026E-4</v>
      </c>
      <c r="E22" s="1599">
        <v>0.32321068725713858</v>
      </c>
      <c r="F22" s="982">
        <f>VLOOKUP(B22,[2]Hoja1!$C$2:$E$279,3,FALSE)</f>
        <v>46081</v>
      </c>
      <c r="G22" s="905">
        <f t="shared" si="0"/>
        <v>39.375673252668093</v>
      </c>
      <c r="H22" s="985">
        <v>46081</v>
      </c>
      <c r="I22" s="905">
        <f t="shared" si="1"/>
        <v>39.375673252668093</v>
      </c>
      <c r="J22" s="905">
        <f t="shared" si="2"/>
        <v>0</v>
      </c>
      <c r="K22" s="336">
        <f t="shared" si="3"/>
        <v>8.5448825443606026E-4</v>
      </c>
      <c r="L22" s="282"/>
    </row>
    <row r="23" spans="2:13" x14ac:dyDescent="0.25">
      <c r="B23" s="1854" t="s">
        <v>37</v>
      </c>
      <c r="C23" s="1854"/>
      <c r="D23" s="1442">
        <f>SUM(D5:D22)</f>
        <v>0.26434489305858277</v>
      </c>
      <c r="E23" s="1443">
        <f>SUM(E5:E22)</f>
        <v>99.988612031615233</v>
      </c>
      <c r="F23" s="1444"/>
      <c r="G23" s="1445">
        <f>SUM(G5:G22)</f>
        <v>1108.9603978808861</v>
      </c>
      <c r="H23" s="1446"/>
      <c r="I23" s="1445">
        <f>SUM(I5:I22)</f>
        <v>1229.3354065648282</v>
      </c>
      <c r="J23" s="1447">
        <f>((G23/I23)*100)-100</f>
        <v>-9.7918768174350248</v>
      </c>
      <c r="L23" s="1036"/>
      <c r="M23" s="67"/>
    </row>
    <row r="24" spans="2:13" x14ac:dyDescent="0.25">
      <c r="B24" s="1014"/>
      <c r="C24" s="1014"/>
      <c r="D24" s="1015"/>
      <c r="E24" s="1016"/>
      <c r="F24" s="1016"/>
      <c r="G24" s="1016"/>
      <c r="I24" s="1017"/>
      <c r="J24" s="971"/>
    </row>
    <row r="25" spans="2:13" x14ac:dyDescent="0.3">
      <c r="B25" s="1855" t="s">
        <v>50</v>
      </c>
      <c r="C25" s="1856"/>
      <c r="D25" s="693">
        <f>+C28+(C28*C34%)</f>
        <v>264.375</v>
      </c>
      <c r="E25" s="966"/>
      <c r="F25" s="966"/>
      <c r="G25" s="966"/>
      <c r="H25" s="966"/>
      <c r="I25" s="966"/>
    </row>
    <row r="26" spans="2:13" x14ac:dyDescent="0.25">
      <c r="B26" s="1345" t="s">
        <v>38</v>
      </c>
      <c r="C26" s="968" t="s">
        <v>167</v>
      </c>
    </row>
    <row r="27" spans="2:13" x14ac:dyDescent="0.25">
      <c r="B27" s="1345" t="s">
        <v>39</v>
      </c>
      <c r="C27" s="968" t="s">
        <v>284</v>
      </c>
    </row>
    <row r="28" spans="2:13" x14ac:dyDescent="0.25">
      <c r="B28" s="1345" t="s">
        <v>40</v>
      </c>
      <c r="C28" s="968">
        <v>225</v>
      </c>
    </row>
    <row r="29" spans="2:13" x14ac:dyDescent="0.25">
      <c r="B29" s="1345" t="s">
        <v>41</v>
      </c>
      <c r="C29" s="968">
        <v>0</v>
      </c>
    </row>
    <row r="30" spans="2:13" x14ac:dyDescent="0.25">
      <c r="B30" s="1345" t="s">
        <v>42</v>
      </c>
      <c r="C30" s="968">
        <v>9</v>
      </c>
      <c r="I30" s="42" t="s">
        <v>85</v>
      </c>
    </row>
    <row r="31" spans="2:13" x14ac:dyDescent="0.25">
      <c r="B31" s="1345" t="s">
        <v>43</v>
      </c>
      <c r="C31" s="968">
        <v>2</v>
      </c>
    </row>
    <row r="32" spans="2:13" x14ac:dyDescent="0.25">
      <c r="B32" s="1345" t="s">
        <v>44</v>
      </c>
      <c r="C32" s="968">
        <v>2</v>
      </c>
    </row>
    <row r="33" spans="2:11" x14ac:dyDescent="0.25">
      <c r="B33" s="1345" t="s">
        <v>45</v>
      </c>
      <c r="C33" s="968">
        <v>4.5</v>
      </c>
    </row>
    <row r="34" spans="2:11" x14ac:dyDescent="0.25">
      <c r="B34" s="1345" t="s">
        <v>46</v>
      </c>
      <c r="C34" s="968">
        <f>C33+C32+C31+C30</f>
        <v>17.5</v>
      </c>
    </row>
    <row r="36" spans="2:11" x14ac:dyDescent="0.25">
      <c r="B36" s="1786" t="s">
        <v>47</v>
      </c>
      <c r="C36" s="1787"/>
      <c r="D36" s="1787"/>
      <c r="E36" s="1787"/>
      <c r="F36" s="1787"/>
      <c r="G36" s="1787"/>
      <c r="H36" s="1787"/>
      <c r="I36" s="1787"/>
    </row>
    <row r="37" spans="2:11" ht="28.5" x14ac:dyDescent="0.25">
      <c r="B37" s="1346" t="s">
        <v>0</v>
      </c>
      <c r="C37" s="1346" t="s">
        <v>1</v>
      </c>
      <c r="D37" s="1346" t="s">
        <v>2</v>
      </c>
      <c r="E37" s="1335" t="str">
        <f>+'CIF Y PV'!$F$4</f>
        <v xml:space="preserve">JUN-COP/UMB </v>
      </c>
      <c r="F37" s="1335" t="str">
        <f>+'CIF Y PV'!$G$4</f>
        <v>JUN-COP/APP</v>
      </c>
      <c r="G37" s="1335" t="str">
        <f>+'CIF Y PV'!$H$4</f>
        <v xml:space="preserve">MAY-COP/UMB </v>
      </c>
      <c r="H37" s="1335" t="str">
        <f>+'CIF Y PV'!$I$4</f>
        <v>MAY-COP/APP</v>
      </c>
      <c r="I37" s="1335" t="s">
        <v>3</v>
      </c>
      <c r="J37" s="345">
        <v>7832</v>
      </c>
    </row>
    <row r="38" spans="2:11" x14ac:dyDescent="0.25">
      <c r="B38" s="576">
        <v>1370004</v>
      </c>
      <c r="C38" s="576" t="s">
        <v>1037</v>
      </c>
      <c r="D38" s="494">
        <v>1.2589999999999999</v>
      </c>
      <c r="E38" s="507">
        <f>VLOOKUP(B38,[2]Hoja1!$C$2:$E$279,3,FALSE)</f>
        <v>164.29</v>
      </c>
      <c r="F38" s="507">
        <f>E38*D38</f>
        <v>206.84110999999999</v>
      </c>
      <c r="G38" s="507">
        <v>181.63</v>
      </c>
      <c r="H38" s="507">
        <f>G38*D38</f>
        <v>228.67216999999997</v>
      </c>
      <c r="I38" s="566">
        <f>((E38/G38)*100)-100</f>
        <v>-9.5468810218576294</v>
      </c>
      <c r="J38" s="345">
        <f>J37*D38</f>
        <v>9860.4879999999994</v>
      </c>
    </row>
    <row r="39" spans="2:11" x14ac:dyDescent="0.3">
      <c r="B39" s="576">
        <v>1310037</v>
      </c>
      <c r="C39" s="576" t="s">
        <v>1063</v>
      </c>
      <c r="D39" s="494">
        <v>4.7E-2</v>
      </c>
      <c r="E39" s="507">
        <f>VLOOKUP(B39,[2]Hoja1!$C$2:$E$279,3,FALSE)</f>
        <v>889</v>
      </c>
      <c r="F39" s="507">
        <f>E39*D39</f>
        <v>41.783000000000001</v>
      </c>
      <c r="G39" s="582">
        <v>889</v>
      </c>
      <c r="H39" s="507">
        <f>G39*D39</f>
        <v>41.783000000000001</v>
      </c>
      <c r="I39" s="566">
        <f>((E39/G39)*100)-100</f>
        <v>0</v>
      </c>
      <c r="J39" s="345">
        <f>J37*D39</f>
        <v>368.10399999999998</v>
      </c>
    </row>
    <row r="40" spans="2:11" x14ac:dyDescent="0.25">
      <c r="B40" s="576">
        <v>1330052</v>
      </c>
      <c r="C40" s="978" t="s">
        <v>898</v>
      </c>
      <c r="D40" s="494">
        <v>1</v>
      </c>
      <c r="E40" s="507">
        <f>VLOOKUP(B40,[2]Hoja1!$C$2:$E$279,3,FALSE)</f>
        <v>88.11</v>
      </c>
      <c r="F40" s="507">
        <f>E40*D40</f>
        <v>88.11</v>
      </c>
      <c r="G40" s="507">
        <v>82.39</v>
      </c>
      <c r="H40" s="507">
        <f>G40*D40</f>
        <v>82.39</v>
      </c>
      <c r="I40" s="566">
        <f>((E40/G40)*100)-100</f>
        <v>6.9425901201602045</v>
      </c>
      <c r="J40" s="345"/>
    </row>
    <row r="41" spans="2:11" x14ac:dyDescent="0.3">
      <c r="B41" s="576">
        <v>1320005</v>
      </c>
      <c r="C41" s="576" t="s">
        <v>1035</v>
      </c>
      <c r="D41" s="494">
        <v>4.7E-2</v>
      </c>
      <c r="E41" s="507">
        <f>VLOOKUP(B41,[2]Hoja1!$C$2:$E$279,3,FALSE)</f>
        <v>740.21</v>
      </c>
      <c r="F41" s="507">
        <f>E41*D41</f>
        <v>34.789870000000001</v>
      </c>
      <c r="G41" s="582">
        <v>828.94</v>
      </c>
      <c r="H41" s="507">
        <f>G41*D41</f>
        <v>38.960180000000001</v>
      </c>
      <c r="I41" s="566">
        <f>((E41/G41)*100)-100</f>
        <v>-10.704031654884545</v>
      </c>
      <c r="J41" s="345">
        <f>J37*D41</f>
        <v>368.10399999999998</v>
      </c>
    </row>
    <row r="42" spans="2:11" x14ac:dyDescent="0.25">
      <c r="B42" s="1346"/>
      <c r="C42" s="1346" t="s">
        <v>37</v>
      </c>
      <c r="D42" s="1448"/>
      <c r="E42" s="1349"/>
      <c r="F42" s="1349">
        <f>SUM(F38:F41)</f>
        <v>371.52397999999999</v>
      </c>
      <c r="G42" s="1349"/>
      <c r="H42" s="1349">
        <f>SUM(H38:H41)</f>
        <v>391.80534999999992</v>
      </c>
      <c r="I42" s="1350">
        <f>((F42/H42)*100)-100</f>
        <v>-5.1763892453229374</v>
      </c>
    </row>
    <row r="44" spans="2:11" x14ac:dyDescent="0.3">
      <c r="H44" s="527" t="str">
        <f>+'CIF Y PV'!$G$1</f>
        <v>MAYO</v>
      </c>
    </row>
    <row r="45" spans="2:11" x14ac:dyDescent="0.25">
      <c r="B45" s="1779" t="s">
        <v>72</v>
      </c>
      <c r="C45" s="1779"/>
      <c r="E45" s="972"/>
      <c r="F45" s="972"/>
      <c r="G45" s="972"/>
      <c r="H45" s="972">
        <f>+F42+G23</f>
        <v>1480.4843778808861</v>
      </c>
      <c r="I45" s="1018"/>
      <c r="J45" s="972"/>
      <c r="K45" s="1018"/>
    </row>
    <row r="46" spans="2:11" x14ac:dyDescent="0.25">
      <c r="B46" s="1777" t="s">
        <v>48</v>
      </c>
      <c r="C46" s="1778"/>
      <c r="E46" s="972"/>
      <c r="F46" s="972"/>
      <c r="G46" s="972"/>
      <c r="H46" s="972">
        <f>+('CIF Y PV'!C3/1000)*225</f>
        <v>425.25</v>
      </c>
      <c r="I46" s="185"/>
      <c r="J46" s="972"/>
      <c r="K46" s="185"/>
    </row>
    <row r="47" spans="2:11" x14ac:dyDescent="0.25">
      <c r="B47" s="1777" t="s">
        <v>73</v>
      </c>
      <c r="C47" s="1778"/>
      <c r="E47" s="972"/>
      <c r="F47" s="972"/>
      <c r="G47" s="972"/>
      <c r="H47" s="972">
        <f>+H45+H46</f>
        <v>1905.7343778808861</v>
      </c>
      <c r="I47" s="185"/>
      <c r="J47" s="972"/>
      <c r="K47" s="185"/>
    </row>
    <row r="48" spans="2:11" x14ac:dyDescent="0.25">
      <c r="B48" s="1779" t="s">
        <v>49</v>
      </c>
      <c r="C48" s="1779"/>
      <c r="E48" s="972"/>
      <c r="F48" s="972"/>
      <c r="G48" s="972"/>
      <c r="H48" s="972">
        <f>'CIF Y PV'!C42</f>
        <v>4850.0640000000003</v>
      </c>
      <c r="J48" s="972"/>
      <c r="K48" s="1019"/>
    </row>
    <row r="49" spans="2:11" x14ac:dyDescent="0.2">
      <c r="B49" s="1779" t="s">
        <v>805</v>
      </c>
      <c r="C49" s="1779"/>
      <c r="E49" s="972"/>
      <c r="F49" s="972"/>
      <c r="G49" s="972"/>
      <c r="H49" s="976">
        <f>+(H48-H47)/H48</f>
        <v>0.60707026177780621</v>
      </c>
      <c r="I49" s="1020"/>
      <c r="K49" s="1020">
        <f>1-K48</f>
        <v>1</v>
      </c>
    </row>
  </sheetData>
  <mergeCells count="9">
    <mergeCell ref="B49:C49"/>
    <mergeCell ref="B46:C46"/>
    <mergeCell ref="B47:C47"/>
    <mergeCell ref="B48:C48"/>
    <mergeCell ref="B2:I2"/>
    <mergeCell ref="B23:C23"/>
    <mergeCell ref="B45:C45"/>
    <mergeCell ref="B25:C25"/>
    <mergeCell ref="B36:I36"/>
  </mergeCells>
  <pageMargins left="0.7" right="0.7" top="0.75" bottom="0.75" header="0.3" footer="0.3"/>
  <pageSetup scale="36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73F4-3144-4394-889A-4748893F36C7}">
  <sheetPr codeName="Hoja63"/>
  <dimension ref="B2:K49"/>
  <sheetViews>
    <sheetView view="pageBreakPreview" topLeftCell="A25" zoomScale="90" zoomScaleNormal="100" zoomScaleSheetLayoutView="90" workbookViewId="0">
      <selection activeCell="C21" sqref="C21"/>
    </sheetView>
  </sheetViews>
  <sheetFormatPr baseColWidth="10" defaultColWidth="11.5703125" defaultRowHeight="13.5" x14ac:dyDescent="0.25"/>
  <cols>
    <col min="1" max="1" width="9.28515625" style="120" customWidth="1"/>
    <col min="2" max="2" width="24.140625" style="120" bestFit="1" customWidth="1"/>
    <col min="3" max="3" width="49.42578125" style="120" customWidth="1"/>
    <col min="4" max="4" width="20" style="120" bestFit="1" customWidth="1"/>
    <col min="5" max="5" width="10.42578125" style="120" customWidth="1"/>
    <col min="6" max="7" width="13.140625" style="120" customWidth="1"/>
    <col min="8" max="8" width="12.28515625" style="120" customWidth="1"/>
    <col min="9" max="9" width="12.28515625" style="120" bestFit="1" customWidth="1"/>
    <col min="10" max="10" width="11.5703125" style="120"/>
    <col min="11" max="11" width="11.5703125" style="170"/>
    <col min="12" max="16384" width="11.5703125" style="120"/>
  </cols>
  <sheetData>
    <row r="2" spans="2:11" ht="30" customHeight="1" x14ac:dyDescent="0.25">
      <c r="B2" s="1738" t="s">
        <v>399</v>
      </c>
      <c r="C2" s="1738"/>
      <c r="D2" s="1738"/>
      <c r="E2" s="1738"/>
      <c r="F2" s="1738"/>
      <c r="G2" s="1738"/>
      <c r="H2" s="1738"/>
      <c r="I2" s="1738"/>
    </row>
    <row r="4" spans="2:11" s="3" customFormat="1" ht="25.5" x14ac:dyDescent="0.25">
      <c r="B4" s="1326" t="s">
        <v>0</v>
      </c>
      <c r="C4" s="1326" t="s">
        <v>1</v>
      </c>
      <c r="D4" s="1326" t="s">
        <v>2</v>
      </c>
      <c r="E4" s="1326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51" t="s">
        <v>3</v>
      </c>
      <c r="K4" s="1449">
        <f>+D25/1000</f>
        <v>0.51885000000000003</v>
      </c>
    </row>
    <row r="5" spans="2:11" ht="16.5" x14ac:dyDescent="0.25">
      <c r="B5" s="1214">
        <v>1112001</v>
      </c>
      <c r="C5" s="231" t="s">
        <v>797</v>
      </c>
      <c r="D5" s="247">
        <v>0.24692071500000004</v>
      </c>
      <c r="E5" s="248">
        <v>47.59</v>
      </c>
      <c r="F5" s="896">
        <f>VLOOKUP(B5,[2]Hoja1!$C$2:$E$279,3,FALSE)</f>
        <v>3663.96</v>
      </c>
      <c r="G5" s="248">
        <f>F5*D5</f>
        <v>904.70762293140012</v>
      </c>
      <c r="H5" s="896">
        <v>4222.72</v>
      </c>
      <c r="I5" s="248">
        <f>H5*D5</f>
        <v>1042.6770416448003</v>
      </c>
      <c r="J5" s="248">
        <f>((F5/H5)*100)-100</f>
        <v>-13.232229463473786</v>
      </c>
      <c r="K5" s="473">
        <f>$K$4*E5%</f>
        <v>0.24692071500000004</v>
      </c>
    </row>
    <row r="6" spans="2:11" ht="16.5" x14ac:dyDescent="0.25">
      <c r="B6" s="1214">
        <v>2906001</v>
      </c>
      <c r="C6" s="231" t="s">
        <v>831</v>
      </c>
      <c r="D6" s="232">
        <v>4.3724903472656874E-2</v>
      </c>
      <c r="E6" s="248">
        <v>8.4272725205082146</v>
      </c>
      <c r="F6" s="896">
        <f>VLOOKUP(B6,[2]Hoja1!$C$2:$E$279,3,FALSE)</f>
        <v>1956.71</v>
      </c>
      <c r="G6" s="248">
        <f t="shared" ref="G6:G22" si="0">F6*D6</f>
        <v>85.556955873982432</v>
      </c>
      <c r="H6" s="896">
        <v>2033.73</v>
      </c>
      <c r="I6" s="248">
        <f t="shared" ref="I6:I22" si="1">H6*D6</f>
        <v>88.924647939446473</v>
      </c>
      <c r="J6" s="248">
        <f t="shared" ref="J6:J22" si="2">((F6/H6)*100)-100</f>
        <v>-3.7871300516784459</v>
      </c>
      <c r="K6" s="473">
        <f t="shared" ref="K6:K22" si="3">$K$4*E6%</f>
        <v>4.3724903472656874E-2</v>
      </c>
    </row>
    <row r="7" spans="2:11" ht="16.5" x14ac:dyDescent="0.25">
      <c r="B7" s="1214">
        <v>1121009</v>
      </c>
      <c r="C7" s="231" t="s">
        <v>1272</v>
      </c>
      <c r="D7" s="232">
        <v>1.6846948102700151E-2</v>
      </c>
      <c r="E7" s="248">
        <v>3.2469785299605181</v>
      </c>
      <c r="F7" s="896">
        <f>VLOOKUP(B7,[2]Hoja1!$C$2:$E$279,3,FALSE)</f>
        <v>8741.6200000000008</v>
      </c>
      <c r="G7" s="248">
        <f t="shared" si="0"/>
        <v>147.2696184735257</v>
      </c>
      <c r="H7" s="896">
        <v>8754.2800000000007</v>
      </c>
      <c r="I7" s="248">
        <f t="shared" si="1"/>
        <v>147.48290083650588</v>
      </c>
      <c r="J7" s="248">
        <f t="shared" si="2"/>
        <v>-0.14461497690273006</v>
      </c>
      <c r="K7" s="473">
        <f t="shared" si="3"/>
        <v>1.6846948102700151E-2</v>
      </c>
    </row>
    <row r="8" spans="2:11" ht="16.5" x14ac:dyDescent="0.25">
      <c r="B8" s="1214">
        <v>1131002</v>
      </c>
      <c r="C8" s="231" t="s">
        <v>663</v>
      </c>
      <c r="D8" s="232">
        <v>0.12691071000000001</v>
      </c>
      <c r="E8" s="248">
        <v>24.46</v>
      </c>
      <c r="F8" s="896">
        <f>VLOOKUP(B8,[2]Hoja1!$C$2:$E$279,3,FALSE)</f>
        <v>0</v>
      </c>
      <c r="G8" s="248">
        <f t="shared" si="0"/>
        <v>0</v>
      </c>
      <c r="H8" s="237">
        <v>0</v>
      </c>
      <c r="I8" s="248">
        <f t="shared" si="1"/>
        <v>0</v>
      </c>
      <c r="J8" s="248" t="e">
        <f t="shared" si="2"/>
        <v>#DIV/0!</v>
      </c>
      <c r="K8" s="473">
        <f t="shared" si="3"/>
        <v>0.12691071000000001</v>
      </c>
    </row>
    <row r="9" spans="2:11" ht="16.5" x14ac:dyDescent="0.25">
      <c r="B9" s="1214">
        <v>1250009</v>
      </c>
      <c r="C9" s="1626" t="s">
        <v>1279</v>
      </c>
      <c r="D9" s="232">
        <v>3.0864637745404853E-4</v>
      </c>
      <c r="E9" s="248">
        <v>5.9486629556528579E-2</v>
      </c>
      <c r="F9" s="896">
        <f>VLOOKUP(B9,[2]Hoja1!$C$2:$E$279,3,FALSE)</f>
        <v>83551.55</v>
      </c>
      <c r="G9" s="248">
        <f t="shared" si="0"/>
        <v>25.78788323817081</v>
      </c>
      <c r="H9" s="237">
        <v>71910.02</v>
      </c>
      <c r="I9" s="248">
        <f t="shared" si="1"/>
        <v>22.194767175648181</v>
      </c>
      <c r="J9" s="248">
        <f t="shared" si="2"/>
        <v>16.18902344902699</v>
      </c>
      <c r="K9" s="473">
        <f t="shared" si="3"/>
        <v>3.0864637745404853E-4</v>
      </c>
    </row>
    <row r="10" spans="2:11" ht="16.5" x14ac:dyDescent="0.25">
      <c r="B10" s="1214">
        <v>1250005</v>
      </c>
      <c r="C10" s="231" t="s">
        <v>1152</v>
      </c>
      <c r="D10" s="232">
        <v>4.1235248871867309E-5</v>
      </c>
      <c r="E10" s="248">
        <v>7.9474316029425271E-3</v>
      </c>
      <c r="F10" s="896">
        <f>VLOOKUP(B10,[2]Hoja1!$C$2:$E$279,3,FALSE)</f>
        <v>66921.05</v>
      </c>
      <c r="G10" s="248">
        <f t="shared" si="0"/>
        <v>2.7595061515166757</v>
      </c>
      <c r="H10" s="880">
        <v>62991.09</v>
      </c>
      <c r="I10" s="248">
        <f t="shared" si="1"/>
        <v>2.597453272860192</v>
      </c>
      <c r="J10" s="248">
        <f t="shared" si="2"/>
        <v>6.2389141067411344</v>
      </c>
      <c r="K10" s="473">
        <f t="shared" si="3"/>
        <v>4.1235248871867309E-5</v>
      </c>
    </row>
    <row r="11" spans="2:11" ht="16.5" x14ac:dyDescent="0.25">
      <c r="B11" s="1214">
        <v>1210006</v>
      </c>
      <c r="C11" s="231" t="s">
        <v>1130</v>
      </c>
      <c r="D11" s="232">
        <v>9.0279899999999996E-3</v>
      </c>
      <c r="E11" s="248">
        <v>1.74</v>
      </c>
      <c r="F11" s="896">
        <f>VLOOKUP(B11,[2]Hoja1!$C$2:$E$279,3,FALSE)</f>
        <v>8904.4500000000007</v>
      </c>
      <c r="G11" s="248">
        <f t="shared" si="0"/>
        <v>80.38928555550001</v>
      </c>
      <c r="H11" s="880">
        <v>8910.1</v>
      </c>
      <c r="I11" s="248">
        <f t="shared" si="1"/>
        <v>80.440293698999994</v>
      </c>
      <c r="J11" s="248">
        <f t="shared" si="2"/>
        <v>-6.3411185059649711E-2</v>
      </c>
      <c r="K11" s="473">
        <f t="shared" si="3"/>
        <v>9.0279899999999996E-3</v>
      </c>
    </row>
    <row r="12" spans="2:11" ht="16.5" x14ac:dyDescent="0.25">
      <c r="B12" s="1214">
        <v>1210004</v>
      </c>
      <c r="C12" s="231" t="s">
        <v>1131</v>
      </c>
      <c r="D12" s="232">
        <v>4.1508000000000007E-4</v>
      </c>
      <c r="E12" s="248">
        <v>0.08</v>
      </c>
      <c r="F12" s="896">
        <f>VLOOKUP(B12,[2]Hoja1!$C$2:$E$279,3,FALSE)</f>
        <v>3841</v>
      </c>
      <c r="G12" s="248">
        <f t="shared" si="0"/>
        <v>1.5943222800000003</v>
      </c>
      <c r="H12" s="95">
        <v>3508.01</v>
      </c>
      <c r="I12" s="248">
        <f t="shared" si="1"/>
        <v>1.4561047908000004</v>
      </c>
      <c r="J12" s="248">
        <f t="shared" si="2"/>
        <v>9.4922762477871885</v>
      </c>
      <c r="K12" s="473">
        <f t="shared" si="3"/>
        <v>4.1508000000000007E-4</v>
      </c>
    </row>
    <row r="13" spans="2:11" ht="16.5" x14ac:dyDescent="0.25">
      <c r="B13" s="1214">
        <v>121007</v>
      </c>
      <c r="C13" s="231" t="s">
        <v>821</v>
      </c>
      <c r="D13" s="232">
        <v>2.057642516360324E-3</v>
      </c>
      <c r="E13" s="248">
        <v>0.39657753037685722</v>
      </c>
      <c r="F13" s="896">
        <f>VLOOKUP(B13,[2]Hoja1!$C$2:$E$279,3,FALSE)</f>
        <v>16905</v>
      </c>
      <c r="G13" s="248">
        <f t="shared" si="0"/>
        <v>34.784446739071278</v>
      </c>
      <c r="H13" s="880">
        <v>16100</v>
      </c>
      <c r="I13" s="248">
        <f t="shared" si="1"/>
        <v>33.128044513401214</v>
      </c>
      <c r="J13" s="248">
        <f t="shared" si="2"/>
        <v>5</v>
      </c>
      <c r="K13" s="473">
        <f t="shared" si="3"/>
        <v>2.057642516360324E-3</v>
      </c>
    </row>
    <row r="14" spans="2:11" ht="16.5" x14ac:dyDescent="0.25">
      <c r="B14" s="1214">
        <v>1240002</v>
      </c>
      <c r="C14" s="231" t="s">
        <v>1140</v>
      </c>
      <c r="D14" s="232">
        <v>2.5720531454504047E-3</v>
      </c>
      <c r="E14" s="248">
        <v>0.49572191297107149</v>
      </c>
      <c r="F14" s="896">
        <f>VLOOKUP(B14,[2]Hoja1!$C$2:$E$279,3,FALSE)</f>
        <v>66115.8</v>
      </c>
      <c r="G14" s="248">
        <f t="shared" si="0"/>
        <v>170.05335135396987</v>
      </c>
      <c r="H14" s="866">
        <v>70840.75</v>
      </c>
      <c r="I14" s="248">
        <f t="shared" si="1"/>
        <v>182.20617386356577</v>
      </c>
      <c r="J14" s="248">
        <f t="shared" si="2"/>
        <v>-6.6698192777461998</v>
      </c>
      <c r="K14" s="473">
        <f t="shared" si="3"/>
        <v>2.5720531454504047E-3</v>
      </c>
    </row>
    <row r="15" spans="2:11" ht="16.5" x14ac:dyDescent="0.25">
      <c r="B15" s="1214">
        <v>1220015</v>
      </c>
      <c r="C15" s="231" t="s">
        <v>1036</v>
      </c>
      <c r="D15" s="143">
        <v>3.4722717463580464E-3</v>
      </c>
      <c r="E15" s="248">
        <v>0.66922458251094652</v>
      </c>
      <c r="F15" s="896">
        <f>VLOOKUP(B15,[2]Hoja1!$C$2:$E$279,3,FALSE)</f>
        <v>30702.27</v>
      </c>
      <c r="G15" s="248">
        <f t="shared" si="0"/>
        <v>106.60662467005626</v>
      </c>
      <c r="H15" s="96">
        <v>29189.39</v>
      </c>
      <c r="I15" s="248">
        <f t="shared" si="1"/>
        <v>101.35349419042609</v>
      </c>
      <c r="J15" s="248">
        <f t="shared" si="2"/>
        <v>5.1829791578378348</v>
      </c>
      <c r="K15" s="473">
        <f t="shared" si="3"/>
        <v>3.4722717463580464E-3</v>
      </c>
    </row>
    <row r="16" spans="2:11" ht="16.5" x14ac:dyDescent="0.25">
      <c r="B16" s="1214">
        <v>1220014</v>
      </c>
      <c r="C16" s="231" t="s">
        <v>1146</v>
      </c>
      <c r="D16" s="143">
        <v>2.8292584599954448E-3</v>
      </c>
      <c r="E16" s="248">
        <v>0.54529410426817859</v>
      </c>
      <c r="F16" s="896">
        <f>VLOOKUP(B16,[2]Hoja1!$C$2:$E$279,3,FALSE)</f>
        <v>14060</v>
      </c>
      <c r="G16" s="248">
        <f t="shared" si="0"/>
        <v>39.779373947535952</v>
      </c>
      <c r="H16" s="914">
        <v>13300.01</v>
      </c>
      <c r="I16" s="248">
        <f t="shared" si="1"/>
        <v>37.629165810524015</v>
      </c>
      <c r="J16" s="248">
        <f t="shared" si="2"/>
        <v>5.7142062299201086</v>
      </c>
      <c r="K16" s="473">
        <f t="shared" si="3"/>
        <v>2.8292584599954448E-3</v>
      </c>
    </row>
    <row r="17" spans="2:11" ht="16.5" x14ac:dyDescent="0.25">
      <c r="B17" s="1214">
        <v>1210003</v>
      </c>
      <c r="C17" s="231" t="s">
        <v>1143</v>
      </c>
      <c r="D17" s="143">
        <v>2.572053145450405E-4</v>
      </c>
      <c r="E17" s="248">
        <v>4.9572191297107153E-2</v>
      </c>
      <c r="F17" s="896">
        <f>VLOOKUP(B17,[2]Hoja1!$C$2:$E$279,3,FALSE)</f>
        <v>16235.45</v>
      </c>
      <c r="G17" s="248">
        <f t="shared" si="0"/>
        <v>4.1758440240302779</v>
      </c>
      <c r="H17" s="914">
        <v>12852.58</v>
      </c>
      <c r="I17" s="248">
        <f t="shared" si="1"/>
        <v>3.3057518816152967</v>
      </c>
      <c r="J17" s="248">
        <f t="shared" si="2"/>
        <v>26.320551982559152</v>
      </c>
      <c r="K17" s="473">
        <f t="shared" si="3"/>
        <v>2.572053145450405E-4</v>
      </c>
    </row>
    <row r="18" spans="2:11" ht="16.5" x14ac:dyDescent="0.25">
      <c r="B18" s="1214">
        <v>1260024</v>
      </c>
      <c r="C18" s="231" t="s">
        <v>1290</v>
      </c>
      <c r="D18" s="143">
        <v>5.1441062909008094E-3</v>
      </c>
      <c r="E18" s="248">
        <v>0.99144382594214298</v>
      </c>
      <c r="F18" s="896">
        <f>VLOOKUP(B18,[2]Hoja1!$C$2:$E$279,3,FALSE)</f>
        <v>12625.84</v>
      </c>
      <c r="G18" s="248">
        <f t="shared" si="0"/>
        <v>64.948662971907069</v>
      </c>
      <c r="H18" s="25">
        <v>18900</v>
      </c>
      <c r="I18" s="248">
        <f t="shared" si="1"/>
        <v>97.22360889802529</v>
      </c>
      <c r="J18" s="248">
        <f t="shared" si="2"/>
        <v>-33.196613756613758</v>
      </c>
      <c r="K18" s="473">
        <f t="shared" si="3"/>
        <v>5.1441062909008094E-3</v>
      </c>
    </row>
    <row r="19" spans="2:11" ht="16.5" x14ac:dyDescent="0.25">
      <c r="B19" s="1214">
        <v>1260005</v>
      </c>
      <c r="C19" s="231" t="s">
        <v>811</v>
      </c>
      <c r="D19" s="143">
        <v>5.1441062909008094E-3</v>
      </c>
      <c r="E19" s="248">
        <v>0.99144382594214298</v>
      </c>
      <c r="F19" s="896">
        <f>VLOOKUP(B19,[2]Hoja1!$C$2:$E$279,3,FALSE)</f>
        <v>26429</v>
      </c>
      <c r="G19" s="248">
        <f t="shared" si="0"/>
        <v>135.95358516221748</v>
      </c>
      <c r="H19" s="25">
        <v>25850</v>
      </c>
      <c r="I19" s="248">
        <f t="shared" si="1"/>
        <v>132.97514761978593</v>
      </c>
      <c r="J19" s="248">
        <f t="shared" si="2"/>
        <v>2.2398452611218715</v>
      </c>
      <c r="K19" s="473">
        <f t="shared" si="3"/>
        <v>5.1441062909008094E-3</v>
      </c>
    </row>
    <row r="20" spans="2:11" ht="16.5" x14ac:dyDescent="0.25">
      <c r="B20" s="1214">
        <v>1260010</v>
      </c>
      <c r="C20" s="231" t="s">
        <v>1043</v>
      </c>
      <c r="D20" s="143">
        <v>2.5720531454504047E-2</v>
      </c>
      <c r="E20" s="248">
        <v>4.9572191297107153</v>
      </c>
      <c r="F20" s="896">
        <f>VLOOKUP(B20,[2]Hoja1!$C$2:$E$279,3,FALSE)</f>
        <v>6959.71</v>
      </c>
      <c r="G20" s="248">
        <f t="shared" si="0"/>
        <v>179.00743996922637</v>
      </c>
      <c r="H20" s="914">
        <v>9565.2099999999991</v>
      </c>
      <c r="I20" s="248">
        <f t="shared" si="1"/>
        <v>246.02228467393664</v>
      </c>
      <c r="J20" s="248">
        <f t="shared" si="2"/>
        <v>-27.239339230398485</v>
      </c>
      <c r="K20" s="473">
        <f t="shared" si="3"/>
        <v>2.5720531454504047E-2</v>
      </c>
    </row>
    <row r="21" spans="2:11" ht="16.5" x14ac:dyDescent="0.25">
      <c r="B21" s="1214">
        <v>1260017</v>
      </c>
      <c r="C21" s="231" t="s">
        <v>832</v>
      </c>
      <c r="D21" s="143">
        <v>2.5720531454504047E-2</v>
      </c>
      <c r="E21" s="248">
        <v>4.9572191297107153</v>
      </c>
      <c r="F21" s="896">
        <f>VLOOKUP(B21,[2]Hoja1!$C$2:$E$279,3,FALSE)</f>
        <v>4500</v>
      </c>
      <c r="G21" s="248">
        <f t="shared" si="0"/>
        <v>115.74239154526821</v>
      </c>
      <c r="H21" s="896">
        <v>4500</v>
      </c>
      <c r="I21" s="248">
        <f t="shared" si="1"/>
        <v>115.74239154526821</v>
      </c>
      <c r="J21" s="248">
        <f t="shared" si="2"/>
        <v>0</v>
      </c>
      <c r="K21" s="473">
        <f t="shared" si="3"/>
        <v>2.5720531454504047E-2</v>
      </c>
    </row>
    <row r="22" spans="2:11" ht="16.5" x14ac:dyDescent="0.25">
      <c r="B22" s="1214">
        <v>1260012</v>
      </c>
      <c r="C22" s="231" t="s">
        <v>1148</v>
      </c>
      <c r="D22" s="236">
        <v>1.6769786508336638E-3</v>
      </c>
      <c r="E22" s="236">
        <v>0.32321068725713858</v>
      </c>
      <c r="F22" s="896">
        <f>VLOOKUP(B22,[2]Hoja1!$C$2:$E$279,3,FALSE)</f>
        <v>46081</v>
      </c>
      <c r="G22" s="248">
        <f t="shared" si="0"/>
        <v>77.276853209066061</v>
      </c>
      <c r="H22" s="11">
        <v>46081</v>
      </c>
      <c r="I22" s="248">
        <f t="shared" si="1"/>
        <v>77.276853209066061</v>
      </c>
      <c r="J22" s="248">
        <f t="shared" si="2"/>
        <v>0</v>
      </c>
      <c r="K22" s="473">
        <f t="shared" si="3"/>
        <v>1.6769786508336638E-3</v>
      </c>
    </row>
    <row r="23" spans="2:11" x14ac:dyDescent="0.25">
      <c r="B23" s="1739" t="s">
        <v>37</v>
      </c>
      <c r="C23" s="1739"/>
      <c r="D23" s="1293">
        <f>SUM(D5:D22)</f>
        <v>0.51879091352603557</v>
      </c>
      <c r="E23" s="1294">
        <f>SUM(E5:E22)</f>
        <v>99.988612031615233</v>
      </c>
      <c r="F23" s="1295"/>
      <c r="G23" s="1296">
        <f>SUM(G5:G22)</f>
        <v>2176.3937680964441</v>
      </c>
      <c r="H23" s="1450"/>
      <c r="I23" s="1296">
        <f>SUM(I5:I22)</f>
        <v>2412.6361255646752</v>
      </c>
      <c r="J23" s="1451">
        <f>((G23/I23)*100)-100</f>
        <v>-9.7918768174350816</v>
      </c>
      <c r="K23" s="1307"/>
    </row>
    <row r="24" spans="2:11" x14ac:dyDescent="0.25">
      <c r="B24" s="240"/>
      <c r="C24" s="240"/>
      <c r="D24" s="254"/>
      <c r="E24" s="242"/>
      <c r="F24" s="242"/>
      <c r="G24" s="242"/>
      <c r="I24" s="243"/>
    </row>
    <row r="25" spans="2:11" ht="25.5" x14ac:dyDescent="0.25">
      <c r="B25" s="1740" t="s">
        <v>50</v>
      </c>
      <c r="C25" s="1741"/>
      <c r="D25" s="38">
        <f>+C28+(C28*C34%)</f>
        <v>518.85</v>
      </c>
      <c r="E25" s="195"/>
      <c r="F25" s="195"/>
      <c r="G25" s="195"/>
      <c r="H25" s="195"/>
      <c r="I25" s="195"/>
    </row>
    <row r="26" spans="2:11" x14ac:dyDescent="0.25">
      <c r="B26" s="1285" t="s">
        <v>38</v>
      </c>
      <c r="C26" s="163" t="s">
        <v>167</v>
      </c>
    </row>
    <row r="27" spans="2:11" x14ac:dyDescent="0.25">
      <c r="B27" s="1285" t="s">
        <v>39</v>
      </c>
      <c r="C27" s="163" t="s">
        <v>284</v>
      </c>
    </row>
    <row r="28" spans="2:11" x14ac:dyDescent="0.25">
      <c r="B28" s="1285" t="s">
        <v>40</v>
      </c>
      <c r="C28" s="163">
        <v>450</v>
      </c>
      <c r="G28" s="120" t="s">
        <v>85</v>
      </c>
    </row>
    <row r="29" spans="2:11" x14ac:dyDescent="0.25">
      <c r="B29" s="1285" t="s">
        <v>41</v>
      </c>
      <c r="C29" s="163">
        <v>0</v>
      </c>
    </row>
    <row r="30" spans="2:11" x14ac:dyDescent="0.25">
      <c r="B30" s="1285" t="s">
        <v>42</v>
      </c>
      <c r="C30" s="163">
        <v>9</v>
      </c>
      <c r="I30" s="120" t="s">
        <v>85</v>
      </c>
    </row>
    <row r="31" spans="2:11" x14ac:dyDescent="0.25">
      <c r="B31" s="1285" t="s">
        <v>43</v>
      </c>
      <c r="C31" s="163">
        <v>2</v>
      </c>
    </row>
    <row r="32" spans="2:11" x14ac:dyDescent="0.25">
      <c r="B32" s="1285" t="s">
        <v>44</v>
      </c>
      <c r="C32" s="163">
        <v>2</v>
      </c>
    </row>
    <row r="33" spans="2:11" x14ac:dyDescent="0.25">
      <c r="B33" s="1285" t="s">
        <v>45</v>
      </c>
      <c r="C33" s="163">
        <v>2.2999999999999998</v>
      </c>
    </row>
    <row r="34" spans="2:11" x14ac:dyDescent="0.25">
      <c r="B34" s="1285" t="s">
        <v>46</v>
      </c>
      <c r="C34" s="163">
        <f>C33+C32+C31+C30</f>
        <v>15.3</v>
      </c>
    </row>
    <row r="36" spans="2:11" ht="25.5" x14ac:dyDescent="0.25">
      <c r="B36" s="1767" t="s">
        <v>47</v>
      </c>
      <c r="C36" s="1768"/>
      <c r="D36" s="1768"/>
      <c r="E36" s="1768"/>
      <c r="F36" s="1768"/>
      <c r="G36" s="1768"/>
      <c r="H36" s="1768"/>
      <c r="I36" s="1768"/>
    </row>
    <row r="37" spans="2:11" ht="25.5" x14ac:dyDescent="0.25">
      <c r="B37" s="1266" t="s">
        <v>0</v>
      </c>
      <c r="C37" s="1266" t="s">
        <v>1</v>
      </c>
      <c r="D37" s="1266" t="s">
        <v>2</v>
      </c>
      <c r="E37" s="1243" t="str">
        <f>+'CIF Y PV'!$F$4</f>
        <v xml:space="preserve">JUN-COP/UMB </v>
      </c>
      <c r="F37" s="1243" t="str">
        <f>+'CIF Y PV'!$G$4</f>
        <v>JUN-COP/APP</v>
      </c>
      <c r="G37" s="1243" t="str">
        <f>+'CIF Y PV'!$H$4</f>
        <v xml:space="preserve">MAY-COP/UMB </v>
      </c>
      <c r="H37" s="1243" t="str">
        <f>+'CIF Y PV'!$I$4</f>
        <v>MAY-COP/APP</v>
      </c>
      <c r="I37" s="1243" t="s">
        <v>3</v>
      </c>
      <c r="J37" s="146">
        <v>3916</v>
      </c>
    </row>
    <row r="38" spans="2:11" x14ac:dyDescent="0.25">
      <c r="B38" s="120">
        <v>1370004</v>
      </c>
      <c r="C38" s="165" t="s">
        <v>1149</v>
      </c>
      <c r="D38" s="166">
        <v>2.52</v>
      </c>
      <c r="E38" s="167">
        <f>VLOOKUP(B38,[2]Hoja1!$C$2:$E$279,3,FALSE)</f>
        <v>164.29</v>
      </c>
      <c r="F38" s="167">
        <f>E38*D38</f>
        <v>414.01079999999996</v>
      </c>
      <c r="G38" s="167">
        <v>181.63</v>
      </c>
      <c r="H38" s="245">
        <f>G38*D38</f>
        <v>457.70760000000001</v>
      </c>
      <c r="I38" s="270">
        <f>((E38/G38)*100)-100</f>
        <v>-9.5468810218576294</v>
      </c>
      <c r="J38" s="146">
        <f>J37*D38</f>
        <v>9868.32</v>
      </c>
    </row>
    <row r="39" spans="2:11" x14ac:dyDescent="0.25">
      <c r="B39" s="120">
        <v>1330075</v>
      </c>
      <c r="C39" s="165" t="s">
        <v>1111</v>
      </c>
      <c r="D39" s="166">
        <v>1</v>
      </c>
      <c r="E39" s="167">
        <f>VLOOKUP(B39,[2]Hoja1!$C$2:$E$279,3,FALSE)</f>
        <v>88.11</v>
      </c>
      <c r="F39" s="167">
        <f>E39*D39</f>
        <v>88.11</v>
      </c>
      <c r="G39" s="167">
        <v>82.39</v>
      </c>
      <c r="H39" s="245">
        <f>G39*D39</f>
        <v>82.39</v>
      </c>
      <c r="I39" s="270">
        <f>((E39/G39)*100)-100</f>
        <v>6.9425901201602045</v>
      </c>
      <c r="J39" s="146">
        <f>J37*D39</f>
        <v>3916</v>
      </c>
    </row>
    <row r="40" spans="2:11" x14ac:dyDescent="0.25">
      <c r="B40" s="120">
        <v>1320004</v>
      </c>
      <c r="C40" s="226" t="s">
        <v>1141</v>
      </c>
      <c r="D40" s="166">
        <v>7.4999999999999997E-2</v>
      </c>
      <c r="E40" s="167">
        <f>VLOOKUP(B40,[2]Hoja1!$C$2:$E$279,3,FALSE)</f>
        <v>1481.51</v>
      </c>
      <c r="F40" s="167">
        <f>E40*D40</f>
        <v>111.11324999999999</v>
      </c>
      <c r="G40" s="167">
        <v>1575.9</v>
      </c>
      <c r="H40" s="245">
        <f>G40*D40</f>
        <v>118.1925</v>
      </c>
      <c r="I40" s="270">
        <f>((E40/G40)*100)-100</f>
        <v>-5.9895932483025547</v>
      </c>
      <c r="J40" s="146">
        <f>J37*D40</f>
        <v>293.7</v>
      </c>
      <c r="K40" s="170" t="s">
        <v>85</v>
      </c>
    </row>
    <row r="41" spans="2:11" x14ac:dyDescent="0.25">
      <c r="B41" s="120">
        <v>1310058</v>
      </c>
      <c r="C41" s="246" t="s">
        <v>1110</v>
      </c>
      <c r="D41" s="166">
        <v>7.4999999999999997E-2</v>
      </c>
      <c r="E41" s="167">
        <f>VLOOKUP(B41,[2]Hoja1!$C$2:$E$279,3,FALSE)</f>
        <v>889</v>
      </c>
      <c r="F41" s="167">
        <f>E41*D41</f>
        <v>66.674999999999997</v>
      </c>
      <c r="G41" s="167">
        <v>889</v>
      </c>
      <c r="H41" s="245">
        <f>G41*D41</f>
        <v>66.674999999999997</v>
      </c>
      <c r="I41" s="270">
        <f>((E41/G41)*100)-100</f>
        <v>0</v>
      </c>
      <c r="J41" s="146">
        <f>J37*D41</f>
        <v>293.7</v>
      </c>
    </row>
    <row r="42" spans="2:11" x14ac:dyDescent="0.25">
      <c r="B42" s="1266"/>
      <c r="C42" s="1266" t="s">
        <v>37</v>
      </c>
      <c r="D42" s="1452"/>
      <c r="E42" s="1267"/>
      <c r="F42" s="1267">
        <f>SUM(F38:F41)</f>
        <v>679.90904999999998</v>
      </c>
      <c r="G42" s="1267"/>
      <c r="H42" s="1267">
        <f>SUM(H38:H41)</f>
        <v>724.96510000000001</v>
      </c>
      <c r="I42" s="1287">
        <f>((F42/H42)*100)-100</f>
        <v>-6.2149267599226619</v>
      </c>
    </row>
    <row r="43" spans="2:11" x14ac:dyDescent="0.25">
      <c r="I43" s="775"/>
    </row>
    <row r="44" spans="2:11" x14ac:dyDescent="0.25">
      <c r="H44" s="1" t="str">
        <f>+'CIF Y PV'!$G$1</f>
        <v>MAYO</v>
      </c>
      <c r="K44" s="120"/>
    </row>
    <row r="45" spans="2:11" x14ac:dyDescent="0.25">
      <c r="B45" s="1735" t="s">
        <v>400</v>
      </c>
      <c r="C45" s="1735"/>
      <c r="E45" s="884"/>
      <c r="F45" s="884"/>
      <c r="G45" s="884"/>
      <c r="H45" s="884">
        <f>+G23+F42</f>
        <v>2856.3028180964438</v>
      </c>
      <c r="I45" s="262"/>
      <c r="J45" s="884"/>
      <c r="K45" s="262"/>
    </row>
    <row r="46" spans="2:11" x14ac:dyDescent="0.25">
      <c r="B46" s="1736" t="s">
        <v>48</v>
      </c>
      <c r="C46" s="1737"/>
      <c r="E46" s="884"/>
      <c r="F46" s="884"/>
      <c r="G46" s="884"/>
      <c r="H46" s="884">
        <f>+('CIF Y PV'!C3/1000)*450</f>
        <v>850.5</v>
      </c>
      <c r="I46" s="218"/>
      <c r="J46" s="884"/>
      <c r="K46" s="218"/>
    </row>
    <row r="47" spans="2:11" x14ac:dyDescent="0.25">
      <c r="B47" s="1736" t="s">
        <v>389</v>
      </c>
      <c r="C47" s="1737"/>
      <c r="E47" s="884"/>
      <c r="F47" s="884"/>
      <c r="G47" s="884"/>
      <c r="H47" s="884">
        <f>+H45+H46</f>
        <v>3706.8028180964438</v>
      </c>
      <c r="I47" s="218"/>
      <c r="J47" s="884"/>
      <c r="K47" s="218"/>
    </row>
    <row r="48" spans="2:11" x14ac:dyDescent="0.25">
      <c r="B48" s="1735" t="s">
        <v>49</v>
      </c>
      <c r="C48" s="1735"/>
      <c r="E48" s="884"/>
      <c r="F48" s="884"/>
      <c r="G48" s="884"/>
      <c r="H48" s="884">
        <f>'CIF Y PV'!C43</f>
        <v>8366.3604000000014</v>
      </c>
      <c r="J48" s="884"/>
      <c r="K48" s="654"/>
    </row>
    <row r="49" spans="2:11" x14ac:dyDescent="0.2">
      <c r="B49" s="1735" t="s">
        <v>805</v>
      </c>
      <c r="C49" s="1735"/>
      <c r="E49" s="884"/>
      <c r="F49" s="884"/>
      <c r="G49" s="884"/>
      <c r="H49" s="928">
        <f>+(H48-H47)/H48</f>
        <v>0.55693961999336739</v>
      </c>
      <c r="I49" s="168"/>
      <c r="K49" s="168"/>
    </row>
  </sheetData>
  <mergeCells count="9">
    <mergeCell ref="B49:C49"/>
    <mergeCell ref="B46:C46"/>
    <mergeCell ref="B47:C47"/>
    <mergeCell ref="B48:C48"/>
    <mergeCell ref="B2:I2"/>
    <mergeCell ref="B23:C23"/>
    <mergeCell ref="B25:C25"/>
    <mergeCell ref="B36:I36"/>
    <mergeCell ref="B45:C45"/>
  </mergeCells>
  <pageMargins left="0.7" right="0.7" top="0.75" bottom="0.75" header="0.3" footer="0.3"/>
  <pageSetup scale="3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30E3-EE01-4240-A126-56689106A7F5}">
  <sheetPr codeName="Hoja20"/>
  <dimension ref="B2:M48"/>
  <sheetViews>
    <sheetView view="pageBreakPreview" topLeftCell="A30" zoomScale="90" zoomScaleNormal="100" zoomScaleSheetLayoutView="90" workbookViewId="0">
      <selection activeCell="F22" sqref="F22"/>
    </sheetView>
  </sheetViews>
  <sheetFormatPr baseColWidth="10" defaultColWidth="11.5703125" defaultRowHeight="16.5" x14ac:dyDescent="0.3"/>
  <cols>
    <col min="1" max="1" width="15.42578125" style="527" customWidth="1"/>
    <col min="2" max="2" width="22.5703125" style="527" customWidth="1"/>
    <col min="3" max="3" width="58.28515625" style="527" customWidth="1"/>
    <col min="4" max="4" width="11.5703125" style="693" customWidth="1"/>
    <col min="5" max="6" width="13.140625" style="527" customWidth="1"/>
    <col min="7" max="7" width="13.7109375" style="527" customWidth="1"/>
    <col min="8" max="8" width="11.7109375" style="527" customWidth="1"/>
    <col min="9" max="9" width="12.85546875" style="527" customWidth="1"/>
    <col min="10" max="10" width="12.28515625" style="693" customWidth="1"/>
    <col min="11" max="11" width="12.28515625" style="697" customWidth="1"/>
    <col min="12" max="12" width="13.42578125" style="527" customWidth="1"/>
    <col min="13" max="13" width="16.28515625" style="527" bestFit="1" customWidth="1"/>
    <col min="14" max="16384" width="11.5703125" style="527"/>
  </cols>
  <sheetData>
    <row r="2" spans="2:13" x14ac:dyDescent="0.3">
      <c r="B2" s="1847" t="s">
        <v>342</v>
      </c>
      <c r="C2" s="1847"/>
      <c r="D2" s="1847"/>
      <c r="E2" s="1847"/>
      <c r="F2" s="1847"/>
      <c r="G2" s="1847"/>
      <c r="H2" s="1847"/>
      <c r="I2" s="1847"/>
      <c r="K2" s="527"/>
    </row>
    <row r="3" spans="2:13" ht="10.5" customHeight="1" x14ac:dyDescent="0.3">
      <c r="B3" s="1847"/>
      <c r="C3" s="1847"/>
      <c r="D3" s="1847"/>
      <c r="E3" s="1847"/>
      <c r="F3" s="1847"/>
      <c r="G3" s="1847"/>
      <c r="H3" s="1847"/>
      <c r="I3" s="1847"/>
      <c r="K3" s="527"/>
    </row>
    <row r="4" spans="2:13" s="979" customFormat="1" ht="28.5" x14ac:dyDescent="0.25">
      <c r="B4" s="1348" t="s">
        <v>0</v>
      </c>
      <c r="C4" s="1348" t="s">
        <v>1</v>
      </c>
      <c r="D4" s="1453" t="s">
        <v>2</v>
      </c>
      <c r="E4" s="1348" t="s">
        <v>3</v>
      </c>
      <c r="F4" s="1335" t="str">
        <f>+'[5]CIF Y PV'!$F$2</f>
        <v xml:space="preserve">DIC-COP/Kg </v>
      </c>
      <c r="G4" s="1335" t="str">
        <f>+'[5]CIF Y PV'!$G$2</f>
        <v>DIC-COP/APP</v>
      </c>
      <c r="H4" s="1335" t="str">
        <f>+'[5]CIF Y PV'!$H$2</f>
        <v xml:space="preserve">NOV-COP/Kg </v>
      </c>
      <c r="I4" s="1335" t="str">
        <f>+'[5]CIF Y PV'!$I$2</f>
        <v>NOV-COP/APP</v>
      </c>
      <c r="J4" s="1336" t="s">
        <v>3</v>
      </c>
      <c r="K4" s="1454">
        <f>+D25/1000</f>
        <v>0.52</v>
      </c>
      <c r="L4" s="1432">
        <v>2008.421</v>
      </c>
      <c r="M4" s="1432"/>
    </row>
    <row r="5" spans="2:13" x14ac:dyDescent="0.3">
      <c r="B5" s="1479">
        <v>1112001</v>
      </c>
      <c r="C5" s="553" t="s">
        <v>797</v>
      </c>
      <c r="D5" s="554">
        <v>0.1183</v>
      </c>
      <c r="E5" s="562">
        <v>22.75</v>
      </c>
      <c r="F5" s="982">
        <f>VLOOKUP(B5,[2]Hoja1!$C$2:$E$279,3,FALSE)</f>
        <v>3663.96</v>
      </c>
      <c r="G5" s="1023">
        <f>F5*D5</f>
        <v>433.44646800000004</v>
      </c>
      <c r="H5" s="982">
        <v>4222.72</v>
      </c>
      <c r="I5" s="574">
        <f>H5*D5</f>
        <v>499.54777600000006</v>
      </c>
      <c r="J5" s="562">
        <f t="shared" ref="J5:J22" si="0">((F5/H5)*100)-100</f>
        <v>-13.232229463473786</v>
      </c>
      <c r="K5" s="525">
        <f>$K$4*E5%</f>
        <v>0.1183</v>
      </c>
      <c r="L5" s="1175">
        <f>$L$4*E5%</f>
        <v>456.91577750000005</v>
      </c>
      <c r="M5" s="1220">
        <f>L5*F5</f>
        <v>1674121.1321289001</v>
      </c>
    </row>
    <row r="6" spans="2:13" x14ac:dyDescent="0.3">
      <c r="B6" s="1479">
        <v>2906001</v>
      </c>
      <c r="C6" s="553" t="s">
        <v>831</v>
      </c>
      <c r="D6" s="554">
        <v>7.7948000000000003E-2</v>
      </c>
      <c r="E6" s="562">
        <v>14.99</v>
      </c>
      <c r="F6" s="982">
        <f>VLOOKUP(B6,[2]Hoja1!$C$2:$E$279,3,FALSE)</f>
        <v>1956.71</v>
      </c>
      <c r="G6" s="1023">
        <f t="shared" ref="G6:G22" si="1">F6*D6</f>
        <v>152.52163108000002</v>
      </c>
      <c r="H6" s="982">
        <v>2033.73</v>
      </c>
      <c r="I6" s="574">
        <f t="shared" ref="I6:I22" si="2">H6*D6</f>
        <v>158.52518603999999</v>
      </c>
      <c r="J6" s="562">
        <f t="shared" si="0"/>
        <v>-3.7871300516784459</v>
      </c>
      <c r="K6" s="525">
        <f t="shared" ref="K6:K22" si="3">$K$4*E6%</f>
        <v>7.7948000000000003E-2</v>
      </c>
      <c r="L6" s="1175">
        <f t="shared" ref="L6:L22" si="4">$L$4*E6%</f>
        <v>301.06230790000001</v>
      </c>
      <c r="M6" s="1220">
        <f t="shared" ref="M6:M22" si="5">L6*F6</f>
        <v>589091.628491009</v>
      </c>
    </row>
    <row r="7" spans="2:13" x14ac:dyDescent="0.3">
      <c r="B7" s="1479"/>
      <c r="C7" s="553" t="s">
        <v>824</v>
      </c>
      <c r="D7" s="554">
        <v>5.1792000000000005E-2</v>
      </c>
      <c r="E7" s="562">
        <v>9.9600000000000009</v>
      </c>
      <c r="F7" s="982">
        <v>0</v>
      </c>
      <c r="G7" s="1023">
        <f t="shared" si="1"/>
        <v>0</v>
      </c>
      <c r="H7" s="88">
        <v>0</v>
      </c>
      <c r="I7" s="574">
        <f t="shared" si="2"/>
        <v>0</v>
      </c>
      <c r="J7" s="562" t="e">
        <f t="shared" si="0"/>
        <v>#DIV/0!</v>
      </c>
      <c r="K7" s="525">
        <f t="shared" si="3"/>
        <v>5.1792000000000005E-2</v>
      </c>
      <c r="L7" s="1175">
        <f t="shared" si="4"/>
        <v>200.03873160000003</v>
      </c>
      <c r="M7" s="1220">
        <f t="shared" si="5"/>
        <v>0</v>
      </c>
    </row>
    <row r="8" spans="2:13" x14ac:dyDescent="0.3">
      <c r="B8" s="1479">
        <v>1131002</v>
      </c>
      <c r="C8" s="553" t="s">
        <v>663</v>
      </c>
      <c r="D8" s="554">
        <v>0.16905200000000001</v>
      </c>
      <c r="E8" s="562">
        <v>32.54</v>
      </c>
      <c r="F8" s="982">
        <f>VLOOKUP(B8,[2]Hoja1!$C$2:$E$279,3,FALSE)</f>
        <v>0</v>
      </c>
      <c r="G8" s="1023">
        <f t="shared" si="1"/>
        <v>0</v>
      </c>
      <c r="H8" s="184">
        <v>0</v>
      </c>
      <c r="I8" s="574">
        <f t="shared" si="2"/>
        <v>0</v>
      </c>
      <c r="J8" s="562" t="e">
        <f t="shared" si="0"/>
        <v>#DIV/0!</v>
      </c>
      <c r="K8" s="525">
        <f t="shared" si="3"/>
        <v>0.169208</v>
      </c>
      <c r="L8" s="1221">
        <f t="shared" si="4"/>
        <v>653.54019339999991</v>
      </c>
      <c r="M8" s="1220">
        <f t="shared" si="5"/>
        <v>0</v>
      </c>
    </row>
    <row r="9" spans="2:13" x14ac:dyDescent="0.3">
      <c r="B9" s="1479">
        <v>1230016</v>
      </c>
      <c r="C9" s="553" t="s">
        <v>904</v>
      </c>
      <c r="D9" s="554">
        <v>2.0800000000000003E-3</v>
      </c>
      <c r="E9" s="562">
        <v>0.4</v>
      </c>
      <c r="F9" s="982">
        <f>VLOOKUP(B9,[2]Hoja1!$C$2:$E$279,3,FALSE)</f>
        <v>91559.6</v>
      </c>
      <c r="G9" s="1023">
        <f t="shared" si="1"/>
        <v>190.44396800000004</v>
      </c>
      <c r="H9" s="73">
        <v>87200</v>
      </c>
      <c r="I9" s="574">
        <f t="shared" si="2"/>
        <v>181.37600000000003</v>
      </c>
      <c r="J9" s="562">
        <f t="shared" si="0"/>
        <v>4.9995412844036764</v>
      </c>
      <c r="K9" s="525">
        <f t="shared" si="3"/>
        <v>2.0800000000000003E-3</v>
      </c>
      <c r="L9" s="1175">
        <f t="shared" si="4"/>
        <v>8.0336840000000009</v>
      </c>
      <c r="M9" s="1220">
        <f t="shared" si="5"/>
        <v>735560.89356640016</v>
      </c>
    </row>
    <row r="10" spans="2:13" x14ac:dyDescent="0.3">
      <c r="B10" s="1479">
        <v>1210005</v>
      </c>
      <c r="C10" s="553" t="s">
        <v>1155</v>
      </c>
      <c r="D10" s="554">
        <v>5.8240000000000011E-3</v>
      </c>
      <c r="E10" s="562">
        <v>1.29</v>
      </c>
      <c r="F10" s="982">
        <f>VLOOKUP(B10,[2]Hoja1!$C$2:$E$279,3,FALSE)</f>
        <v>1356</v>
      </c>
      <c r="G10" s="1023">
        <f t="shared" si="1"/>
        <v>7.8973440000000013</v>
      </c>
      <c r="H10" s="964">
        <v>1360</v>
      </c>
      <c r="I10" s="574">
        <f t="shared" si="2"/>
        <v>7.9206400000000015</v>
      </c>
      <c r="J10" s="562">
        <f t="shared" si="0"/>
        <v>-0.29411764705882604</v>
      </c>
      <c r="K10" s="525">
        <f t="shared" si="3"/>
        <v>6.7080000000000004E-3</v>
      </c>
      <c r="L10" s="1175">
        <f t="shared" si="4"/>
        <v>25.908630900000002</v>
      </c>
      <c r="M10" s="1220">
        <f t="shared" si="5"/>
        <v>35132.1035004</v>
      </c>
    </row>
    <row r="11" spans="2:13" x14ac:dyDescent="0.3">
      <c r="B11" s="1479">
        <v>1210010</v>
      </c>
      <c r="C11" s="553" t="s">
        <v>1351</v>
      </c>
      <c r="D11" s="554">
        <v>1.9240000000000001E-3</v>
      </c>
      <c r="E11" s="562">
        <v>0.2</v>
      </c>
      <c r="F11" s="982">
        <f>VLOOKUP(B11,[2]Hoja1!$C$2:$E$279,3,FALSE)</f>
        <v>11600</v>
      </c>
      <c r="G11" s="1023">
        <f t="shared" si="1"/>
        <v>22.3184</v>
      </c>
      <c r="H11" s="527">
        <v>8910.1</v>
      </c>
      <c r="I11" s="574">
        <f t="shared" si="2"/>
        <v>17.143032400000003</v>
      </c>
      <c r="J11" s="562">
        <f>((F11/H12)*100)-100</f>
        <v>230.67180538253882</v>
      </c>
      <c r="K11" s="525">
        <f>$K$4*E11%</f>
        <v>1.0400000000000001E-3</v>
      </c>
      <c r="L11" s="1175">
        <f t="shared" si="4"/>
        <v>4.0168420000000005</v>
      </c>
      <c r="M11" s="1220">
        <f t="shared" si="5"/>
        <v>46595.367200000008</v>
      </c>
    </row>
    <row r="12" spans="2:13" x14ac:dyDescent="0.3">
      <c r="B12" s="1479">
        <v>1210004</v>
      </c>
      <c r="C12" s="553" t="s">
        <v>1131</v>
      </c>
      <c r="D12" s="554">
        <v>4.1600000000000003E-4</v>
      </c>
      <c r="E12" s="562">
        <v>0.08</v>
      </c>
      <c r="F12" s="982">
        <f>VLOOKUP(B12,[2]Hoja1!$C$2:$E$279,3,FALSE)</f>
        <v>3841</v>
      </c>
      <c r="G12" s="1023">
        <f t="shared" si="1"/>
        <v>1.5978560000000002</v>
      </c>
      <c r="H12" s="88">
        <v>3508.01</v>
      </c>
      <c r="I12" s="574">
        <f t="shared" si="2"/>
        <v>1.4593321600000002</v>
      </c>
      <c r="J12" s="562"/>
      <c r="K12" s="525">
        <f t="shared" si="3"/>
        <v>4.1600000000000003E-4</v>
      </c>
      <c r="L12" s="1175">
        <f t="shared" si="4"/>
        <v>1.6067368000000002</v>
      </c>
      <c r="M12" s="1220">
        <f t="shared" si="5"/>
        <v>6171.4760488000011</v>
      </c>
    </row>
    <row r="13" spans="2:13" x14ac:dyDescent="0.3">
      <c r="B13" s="1479">
        <v>1210002</v>
      </c>
      <c r="C13" s="553" t="s">
        <v>1033</v>
      </c>
      <c r="D13" s="554">
        <v>1.0400000000000001E-3</v>
      </c>
      <c r="E13" s="562">
        <v>0.2</v>
      </c>
      <c r="F13" s="982">
        <f>VLOOKUP(B13,[2]Hoja1!$C$2:$E$279,3,FALSE)</f>
        <v>12886</v>
      </c>
      <c r="G13" s="1023">
        <f t="shared" si="1"/>
        <v>13.401440000000001</v>
      </c>
      <c r="H13" s="73">
        <v>12858.08</v>
      </c>
      <c r="I13" s="574">
        <f t="shared" si="2"/>
        <v>13.372403200000001</v>
      </c>
      <c r="J13" s="562">
        <f>((F13/H13)*100)-100</f>
        <v>0.21713972848201024</v>
      </c>
      <c r="K13" s="525">
        <f t="shared" si="3"/>
        <v>1.0400000000000001E-3</v>
      </c>
      <c r="L13" s="1175">
        <f t="shared" si="4"/>
        <v>4.0168420000000005</v>
      </c>
      <c r="M13" s="1220">
        <f t="shared" si="5"/>
        <v>51761.026012000009</v>
      </c>
    </row>
    <row r="14" spans="2:13" x14ac:dyDescent="0.3">
      <c r="B14" s="1479">
        <v>1220009</v>
      </c>
      <c r="C14" s="553" t="s">
        <v>1133</v>
      </c>
      <c r="D14" s="554">
        <v>5.7200000000000003E-4</v>
      </c>
      <c r="E14" s="562">
        <v>0.11</v>
      </c>
      <c r="F14" s="982">
        <f>VLOOKUP(B14,[2]Hoja1!$C$2:$E$279,3,FALSE)</f>
        <v>21312.16</v>
      </c>
      <c r="G14" s="1023">
        <f t="shared" si="1"/>
        <v>12.19055552</v>
      </c>
      <c r="H14" s="964">
        <v>20299</v>
      </c>
      <c r="I14" s="574">
        <f t="shared" si="2"/>
        <v>11.611028000000001</v>
      </c>
      <c r="J14" s="562">
        <f>((F14/H14)*100)-100</f>
        <v>4.9911818316173253</v>
      </c>
      <c r="K14" s="525">
        <f t="shared" si="3"/>
        <v>5.7200000000000003E-4</v>
      </c>
      <c r="L14" s="1175">
        <f t="shared" si="4"/>
        <v>2.2092631000000003</v>
      </c>
      <c r="M14" s="1220">
        <f t="shared" si="5"/>
        <v>47084.168669296007</v>
      </c>
    </row>
    <row r="15" spans="2:13" x14ac:dyDescent="0.3">
      <c r="B15" s="1479">
        <v>1220005</v>
      </c>
      <c r="C15" s="553" t="s">
        <v>1135</v>
      </c>
      <c r="D15" s="554">
        <v>7.2800000000000013E-4</v>
      </c>
      <c r="E15" s="562">
        <v>0.14000000000000001</v>
      </c>
      <c r="F15" s="982">
        <f>VLOOKUP(B15,[2]Hoja1!$C$2:$E$279,3,FALSE)</f>
        <v>17429.990000000002</v>
      </c>
      <c r="G15" s="1023">
        <f t="shared" si="1"/>
        <v>12.689032720000004</v>
      </c>
      <c r="H15" s="72">
        <v>17430</v>
      </c>
      <c r="I15" s="574">
        <f t="shared" si="2"/>
        <v>12.689040000000002</v>
      </c>
      <c r="J15" s="562">
        <f t="shared" si="0"/>
        <v>-5.7372346518036466E-5</v>
      </c>
      <c r="K15" s="525">
        <f t="shared" si="3"/>
        <v>7.2800000000000013E-4</v>
      </c>
      <c r="L15" s="1175">
        <f t="shared" si="4"/>
        <v>2.8117894000000003</v>
      </c>
      <c r="M15" s="1220">
        <f t="shared" si="5"/>
        <v>49009.461124106012</v>
      </c>
    </row>
    <row r="16" spans="2:13" x14ac:dyDescent="0.3">
      <c r="B16" s="1479">
        <v>1220006</v>
      </c>
      <c r="C16" s="553" t="s">
        <v>1172</v>
      </c>
      <c r="D16" s="554">
        <v>5.2000000000000006E-4</v>
      </c>
      <c r="E16" s="562">
        <v>0.1</v>
      </c>
      <c r="F16" s="982">
        <f>VLOOKUP(B16,[2]Hoja1!$C$2:$E$279,3,FALSE)</f>
        <v>73448</v>
      </c>
      <c r="G16" s="1023">
        <f t="shared" si="1"/>
        <v>38.192960000000006</v>
      </c>
      <c r="H16" s="965">
        <v>73448</v>
      </c>
      <c r="I16" s="574">
        <f t="shared" si="2"/>
        <v>38.192960000000006</v>
      </c>
      <c r="J16" s="562">
        <f t="shared" si="0"/>
        <v>0</v>
      </c>
      <c r="K16" s="525">
        <f t="shared" si="3"/>
        <v>5.2000000000000006E-4</v>
      </c>
      <c r="L16" s="1175">
        <f t="shared" si="4"/>
        <v>2.0084210000000002</v>
      </c>
      <c r="M16" s="1220">
        <f t="shared" si="5"/>
        <v>147514.50560800001</v>
      </c>
    </row>
    <row r="17" spans="2:13" x14ac:dyDescent="0.3">
      <c r="B17" s="1479">
        <v>1210003</v>
      </c>
      <c r="C17" s="553" t="s">
        <v>1143</v>
      </c>
      <c r="D17" s="554">
        <v>2.6000000000000003E-4</v>
      </c>
      <c r="E17" s="562">
        <v>0.05</v>
      </c>
      <c r="F17" s="982">
        <f>VLOOKUP(B17,[2]Hoja1!$C$2:$E$279,3,FALSE)</f>
        <v>16235.45</v>
      </c>
      <c r="G17" s="1023">
        <f t="shared" si="1"/>
        <v>4.2212170000000011</v>
      </c>
      <c r="H17" s="533">
        <v>12852.58</v>
      </c>
      <c r="I17" s="574">
        <f t="shared" si="2"/>
        <v>3.3416708000000002</v>
      </c>
      <c r="J17" s="562">
        <f t="shared" si="0"/>
        <v>26.320551982559152</v>
      </c>
      <c r="K17" s="525">
        <f t="shared" si="3"/>
        <v>2.6000000000000003E-4</v>
      </c>
      <c r="L17" s="1175">
        <f t="shared" si="4"/>
        <v>1.0042105000000001</v>
      </c>
      <c r="M17" s="1220">
        <f t="shared" si="5"/>
        <v>16303.809362225003</v>
      </c>
    </row>
    <row r="18" spans="2:13" x14ac:dyDescent="0.3">
      <c r="B18" s="1479">
        <v>1260005</v>
      </c>
      <c r="C18" s="553" t="s">
        <v>811</v>
      </c>
      <c r="D18" s="554">
        <v>5.2000000000000006E-3</v>
      </c>
      <c r="E18" s="562">
        <v>1</v>
      </c>
      <c r="F18" s="982">
        <f>VLOOKUP(B18,[2]Hoja1!$C$2:$E$279,3,FALSE)</f>
        <v>26429</v>
      </c>
      <c r="G18" s="1023">
        <f t="shared" si="1"/>
        <v>137.4308</v>
      </c>
      <c r="H18" s="533">
        <v>25850</v>
      </c>
      <c r="I18" s="574">
        <f t="shared" si="2"/>
        <v>134.42000000000002</v>
      </c>
      <c r="J18" s="562">
        <f t="shared" si="0"/>
        <v>2.2398452611218715</v>
      </c>
      <c r="K18" s="525">
        <f t="shared" si="3"/>
        <v>5.2000000000000006E-3</v>
      </c>
      <c r="L18" s="1175">
        <f t="shared" si="4"/>
        <v>20.084210000000002</v>
      </c>
      <c r="M18" s="1220">
        <f t="shared" si="5"/>
        <v>530805.58609000011</v>
      </c>
    </row>
    <row r="19" spans="2:13" x14ac:dyDescent="0.3">
      <c r="B19" s="1479">
        <v>1260024</v>
      </c>
      <c r="C19" s="553" t="s">
        <v>1290</v>
      </c>
      <c r="D19" s="554">
        <v>3.4840000000000001E-3</v>
      </c>
      <c r="E19" s="562">
        <v>0.67</v>
      </c>
      <c r="F19" s="982">
        <f>VLOOKUP(B19,[2]Hoja1!$C$2:$E$279,3,FALSE)</f>
        <v>12625.84</v>
      </c>
      <c r="G19" s="1023">
        <f t="shared" si="1"/>
        <v>43.988426560000001</v>
      </c>
      <c r="H19" s="964">
        <v>18900</v>
      </c>
      <c r="I19" s="574">
        <f t="shared" si="2"/>
        <v>65.8476</v>
      </c>
      <c r="J19" s="562">
        <f t="shared" si="0"/>
        <v>-33.196613756613758</v>
      </c>
      <c r="K19" s="525">
        <f t="shared" si="3"/>
        <v>3.4840000000000001E-3</v>
      </c>
      <c r="L19" s="1175">
        <f t="shared" si="4"/>
        <v>13.456420700000001</v>
      </c>
      <c r="M19" s="1220">
        <f t="shared" si="5"/>
        <v>169898.61473088802</v>
      </c>
    </row>
    <row r="20" spans="2:13" x14ac:dyDescent="0.3">
      <c r="B20" s="1479">
        <v>1260010</v>
      </c>
      <c r="C20" s="553" t="s">
        <v>1043</v>
      </c>
      <c r="D20" s="554">
        <v>2.9016000000000004E-2</v>
      </c>
      <c r="E20" s="562">
        <v>5.58</v>
      </c>
      <c r="F20" s="982">
        <f>VLOOKUP(B20,[2]Hoja1!$C$2:$E$279,3,FALSE)</f>
        <v>6959.71</v>
      </c>
      <c r="G20" s="1023">
        <f t="shared" si="1"/>
        <v>201.94294536000004</v>
      </c>
      <c r="H20" s="70">
        <v>8234.27</v>
      </c>
      <c r="I20" s="574">
        <f t="shared" si="2"/>
        <v>238.92557832000006</v>
      </c>
      <c r="J20" s="562">
        <f t="shared" si="0"/>
        <v>-15.478724890002397</v>
      </c>
      <c r="K20" s="525">
        <f t="shared" si="3"/>
        <v>2.9016000000000004E-2</v>
      </c>
      <c r="L20" s="1175">
        <f t="shared" si="4"/>
        <v>112.06989180000001</v>
      </c>
      <c r="M20" s="1220">
        <f t="shared" si="5"/>
        <v>779973.94665937801</v>
      </c>
    </row>
    <row r="21" spans="2:13" x14ac:dyDescent="0.3">
      <c r="B21" s="1479">
        <v>1260015</v>
      </c>
      <c r="C21" s="553" t="s">
        <v>785</v>
      </c>
      <c r="D21" s="554">
        <v>4.5292000000000006E-2</v>
      </c>
      <c r="E21" s="562">
        <v>8.7100000000000009</v>
      </c>
      <c r="F21" s="982">
        <f>VLOOKUP(B21,[2]Hoja1!$C$2:$E$279,3,FALSE)</f>
        <v>3450.01</v>
      </c>
      <c r="G21" s="1023">
        <f t="shared" si="1"/>
        <v>156.25785292000003</v>
      </c>
      <c r="H21" s="73">
        <v>3400.01</v>
      </c>
      <c r="I21" s="574">
        <f t="shared" si="2"/>
        <v>153.99325292000003</v>
      </c>
      <c r="J21" s="562">
        <f t="shared" si="0"/>
        <v>1.4705839100473241</v>
      </c>
      <c r="K21" s="525">
        <f t="shared" si="3"/>
        <v>4.5292000000000006E-2</v>
      </c>
      <c r="L21" s="1175">
        <f t="shared" si="4"/>
        <v>174.93346910000002</v>
      </c>
      <c r="M21" s="1220">
        <f t="shared" si="5"/>
        <v>603522.21772969107</v>
      </c>
    </row>
    <row r="22" spans="2:13" x14ac:dyDescent="0.3">
      <c r="B22" s="1479">
        <v>1111002</v>
      </c>
      <c r="C22" s="553" t="s">
        <v>1170</v>
      </c>
      <c r="D22" s="554">
        <v>6.032E-3</v>
      </c>
      <c r="E22" s="562">
        <v>1.1599999999999999</v>
      </c>
      <c r="F22" s="982">
        <f>VLOOKUP(B22,[2]Hoja1!$C$2:$E$279,3,FALSE)</f>
        <v>2800</v>
      </c>
      <c r="G22" s="1023">
        <f t="shared" si="1"/>
        <v>16.889600000000002</v>
      </c>
      <c r="H22" s="985">
        <v>5801.26</v>
      </c>
      <c r="I22" s="574">
        <f t="shared" si="2"/>
        <v>34.99320032</v>
      </c>
      <c r="J22" s="562">
        <f t="shared" si="0"/>
        <v>-51.734623168070385</v>
      </c>
      <c r="K22" s="525">
        <f t="shared" si="3"/>
        <v>6.032E-3</v>
      </c>
      <c r="L22" s="1221">
        <f t="shared" si="4"/>
        <v>23.297683599999999</v>
      </c>
      <c r="M22" s="1220">
        <f t="shared" si="5"/>
        <v>65233.514080000001</v>
      </c>
    </row>
    <row r="23" spans="2:13" x14ac:dyDescent="0.3">
      <c r="B23" s="1848" t="s">
        <v>37</v>
      </c>
      <c r="C23" s="1848"/>
      <c r="D23" s="1433">
        <f>SUM(D5:D22)</f>
        <v>0.51948000000000005</v>
      </c>
      <c r="E23" s="1456">
        <f>SUM(E5:E22)</f>
        <v>99.93</v>
      </c>
      <c r="F23" s="1435"/>
      <c r="G23" s="1456">
        <f>SUM(G5:G22)</f>
        <v>1445.4304971600002</v>
      </c>
      <c r="H23" s="1436"/>
      <c r="I23" s="1457">
        <f>SUM(I5:I22)</f>
        <v>1573.3587001600001</v>
      </c>
      <c r="J23" s="1481">
        <f>((G23/I23)*100)-100</f>
        <v>-8.1308987573520568</v>
      </c>
      <c r="K23" s="1482"/>
      <c r="L23" s="1483">
        <f>SUM(L5:L22)</f>
        <v>2007.0151052999997</v>
      </c>
      <c r="M23" s="1484">
        <f>SUM(M5:M22)</f>
        <v>5547779.4510010947</v>
      </c>
    </row>
    <row r="24" spans="2:13" x14ac:dyDescent="0.3">
      <c r="B24" s="991"/>
      <c r="C24" s="991"/>
      <c r="D24" s="992"/>
      <c r="E24" s="993"/>
      <c r="F24" s="993"/>
      <c r="G24" s="993"/>
      <c r="I24" s="994"/>
      <c r="J24" s="1047"/>
    </row>
    <row r="25" spans="2:13" ht="27" customHeight="1" x14ac:dyDescent="0.3">
      <c r="B25" s="1855" t="s">
        <v>50</v>
      </c>
      <c r="C25" s="1856"/>
      <c r="D25" s="693">
        <f>+C28+(C28*C34%)</f>
        <v>520</v>
      </c>
      <c r="E25" s="966"/>
      <c r="F25" s="966"/>
      <c r="G25" s="966"/>
      <c r="H25" s="966"/>
      <c r="I25" s="966"/>
    </row>
    <row r="26" spans="2:13" x14ac:dyDescent="0.3">
      <c r="B26" s="1390" t="s">
        <v>38</v>
      </c>
      <c r="C26" s="997" t="s">
        <v>69</v>
      </c>
    </row>
    <row r="27" spans="2:13" x14ac:dyDescent="0.3">
      <c r="B27" s="1390" t="s">
        <v>39</v>
      </c>
      <c r="C27" s="997" t="s">
        <v>343</v>
      </c>
    </row>
    <row r="28" spans="2:13" x14ac:dyDescent="0.3">
      <c r="B28" s="1390" t="s">
        <v>40</v>
      </c>
      <c r="C28" s="997">
        <v>500</v>
      </c>
    </row>
    <row r="29" spans="2:13" x14ac:dyDescent="0.3">
      <c r="B29" s="1390" t="s">
        <v>41</v>
      </c>
      <c r="C29" s="997">
        <v>0</v>
      </c>
    </row>
    <row r="30" spans="2:13" x14ac:dyDescent="0.3">
      <c r="B30" s="1390" t="s">
        <v>42</v>
      </c>
      <c r="C30" s="997">
        <v>0.5</v>
      </c>
    </row>
    <row r="31" spans="2:13" x14ac:dyDescent="0.3">
      <c r="B31" s="1390" t="s">
        <v>43</v>
      </c>
      <c r="C31" s="997">
        <v>0.5</v>
      </c>
    </row>
    <row r="32" spans="2:13" x14ac:dyDescent="0.3">
      <c r="B32" s="1390" t="s">
        <v>44</v>
      </c>
      <c r="C32" s="997">
        <v>1</v>
      </c>
      <c r="J32" s="693" t="s">
        <v>85</v>
      </c>
    </row>
    <row r="33" spans="2:12" x14ac:dyDescent="0.3">
      <c r="B33" s="1390" t="s">
        <v>45</v>
      </c>
      <c r="C33" s="997">
        <v>2</v>
      </c>
    </row>
    <row r="34" spans="2:12" x14ac:dyDescent="0.3">
      <c r="B34" s="1390" t="s">
        <v>46</v>
      </c>
      <c r="C34" s="997">
        <f>C33+C32+C31+C30</f>
        <v>4</v>
      </c>
    </row>
    <row r="36" spans="2:12" x14ac:dyDescent="0.3">
      <c r="B36" s="1851" t="s">
        <v>47</v>
      </c>
      <c r="C36" s="1852"/>
      <c r="D36" s="1852"/>
      <c r="E36" s="1852"/>
      <c r="F36" s="1852"/>
      <c r="G36" s="1852"/>
      <c r="H36" s="1852"/>
      <c r="I36" s="1852"/>
    </row>
    <row r="37" spans="2:12" ht="28.5" x14ac:dyDescent="0.3">
      <c r="B37" s="1391" t="s">
        <v>0</v>
      </c>
      <c r="C37" s="1391" t="s">
        <v>1</v>
      </c>
      <c r="D37" s="1393" t="s">
        <v>2</v>
      </c>
      <c r="E37" s="1335" t="str">
        <f>+'[5]CIF Y PV'!$F$4</f>
        <v xml:space="preserve">DIC-COP/UMB </v>
      </c>
      <c r="F37" s="1335" t="str">
        <f>+'[5]CIF Y PV'!$G$4</f>
        <v>DIC-COP/APP</v>
      </c>
      <c r="G37" s="1335" t="str">
        <f>+'[5]CIF Y PV'!$H$4</f>
        <v xml:space="preserve">NOV-COP/UMB </v>
      </c>
      <c r="H37" s="1335" t="str">
        <f>+'[5]CIF Y PV'!$I$4</f>
        <v>NOV-COP/APP</v>
      </c>
      <c r="I37" s="1335" t="s">
        <v>3</v>
      </c>
      <c r="J37" s="693">
        <v>300000</v>
      </c>
    </row>
    <row r="38" spans="2:12" x14ac:dyDescent="0.3">
      <c r="B38" s="563">
        <v>1380005</v>
      </c>
      <c r="C38" s="563" t="s">
        <v>1029</v>
      </c>
      <c r="D38" s="582">
        <v>2</v>
      </c>
      <c r="E38" s="582">
        <f>VLOOKUP(B38,[2]Hoja1!$C$2:$E$279,3,FALSE)</f>
        <v>29.02</v>
      </c>
      <c r="F38" s="582">
        <f>E38*D38</f>
        <v>58.04</v>
      </c>
      <c r="G38" s="582">
        <v>31.68</v>
      </c>
      <c r="H38" s="1205">
        <f>G38*D38</f>
        <v>63.36</v>
      </c>
      <c r="I38" s="571">
        <f>((E38/G38)*100)-100</f>
        <v>-8.3964646464646506</v>
      </c>
      <c r="J38" s="693">
        <f>J37*D38</f>
        <v>600000</v>
      </c>
    </row>
    <row r="39" spans="2:12" x14ac:dyDescent="0.3">
      <c r="B39" s="563">
        <v>1370017</v>
      </c>
      <c r="C39" s="563" t="s">
        <v>1185</v>
      </c>
      <c r="D39" s="582">
        <v>0.37</v>
      </c>
      <c r="E39" s="582">
        <f>VLOOKUP(B39,[2]Hoja1!$C$2:$E$279,3,FALSE)</f>
        <v>433.28</v>
      </c>
      <c r="F39" s="582">
        <f>E39*D39</f>
        <v>160.31359999999998</v>
      </c>
      <c r="G39" s="866">
        <v>483.67</v>
      </c>
      <c r="H39" s="1205">
        <f>G39*D39</f>
        <v>178.9579</v>
      </c>
      <c r="I39" s="571">
        <f>((E39/G39)*100)-100</f>
        <v>-10.418260384146222</v>
      </c>
      <c r="J39" s="693">
        <f>J37*D39</f>
        <v>111000</v>
      </c>
    </row>
    <row r="40" spans="2:12" x14ac:dyDescent="0.3">
      <c r="B40" s="563">
        <v>1350003</v>
      </c>
      <c r="C40" s="563" t="s">
        <v>1186</v>
      </c>
      <c r="D40" s="582">
        <v>6.6000000000000003E-2</v>
      </c>
      <c r="E40" s="582">
        <f>VLOOKUP(B40,[2]Hoja1!$C$2:$E$279,3,FALSE)</f>
        <v>2516.9699999999998</v>
      </c>
      <c r="F40" s="582">
        <f>E40*D40</f>
        <v>166.12001999999998</v>
      </c>
      <c r="G40" s="866">
        <v>2140.9</v>
      </c>
      <c r="H40" s="1205">
        <f>G40*D40</f>
        <v>141.29940000000002</v>
      </c>
      <c r="I40" s="571">
        <f>((E40/G40)*100)-100</f>
        <v>17.565976925592025</v>
      </c>
      <c r="J40" s="693">
        <f>J37*D40</f>
        <v>19800</v>
      </c>
    </row>
    <row r="41" spans="2:12" x14ac:dyDescent="0.3">
      <c r="B41" s="1391"/>
      <c r="C41" s="1391" t="s">
        <v>37</v>
      </c>
      <c r="D41" s="1393"/>
      <c r="E41" s="1393"/>
      <c r="F41" s="1393">
        <f>SUM(F38:F40)</f>
        <v>384.47361999999998</v>
      </c>
      <c r="G41" s="1393"/>
      <c r="H41" s="1393">
        <f>SUM(H38:H40)</f>
        <v>383.6173</v>
      </c>
      <c r="I41" s="1439">
        <f>((F41/H41)*100)-100</f>
        <v>0.2232224667656908</v>
      </c>
    </row>
    <row r="43" spans="2:12" x14ac:dyDescent="0.3">
      <c r="H43" s="527" t="str">
        <f>+'[5]CIF Y PV'!$G$1</f>
        <v>Septiembre</v>
      </c>
      <c r="J43" s="527"/>
      <c r="K43" s="527"/>
    </row>
    <row r="44" spans="2:12" x14ac:dyDescent="0.3">
      <c r="B44" s="1807" t="s">
        <v>410</v>
      </c>
      <c r="C44" s="1807"/>
      <c r="E44" s="1059"/>
      <c r="F44" s="1059"/>
      <c r="G44" s="1059"/>
      <c r="H44" s="1059">
        <f>+F41+G23</f>
        <v>1829.9041171600002</v>
      </c>
      <c r="I44" s="1032"/>
      <c r="J44" s="1059"/>
      <c r="K44" s="1032">
        <f>H44*2</f>
        <v>3659.8082343200003</v>
      </c>
    </row>
    <row r="45" spans="2:12" x14ac:dyDescent="0.3">
      <c r="B45" s="1808" t="s">
        <v>48</v>
      </c>
      <c r="C45" s="1809"/>
      <c r="E45" s="1059"/>
      <c r="F45" s="1059"/>
      <c r="G45" s="1059"/>
      <c r="H45" s="1059">
        <f>+('[5]CIF Y PV'!C3/1000)*500</f>
        <v>850</v>
      </c>
      <c r="I45" s="1004"/>
      <c r="J45" s="1059"/>
      <c r="K45" s="1004"/>
    </row>
    <row r="46" spans="2:12" x14ac:dyDescent="0.3">
      <c r="B46" s="1808" t="s">
        <v>560</v>
      </c>
      <c r="C46" s="1809"/>
      <c r="E46" s="1059"/>
      <c r="F46" s="1059"/>
      <c r="G46" s="1059"/>
      <c r="H46" s="1059">
        <f>+H45+H44</f>
        <v>2679.9041171600002</v>
      </c>
      <c r="I46" s="1004"/>
      <c r="J46" s="1059"/>
      <c r="K46" s="1004"/>
    </row>
    <row r="47" spans="2:12" x14ac:dyDescent="0.3">
      <c r="B47" s="1807" t="s">
        <v>49</v>
      </c>
      <c r="C47" s="1807"/>
      <c r="E47" s="1059"/>
      <c r="F47" s="1059"/>
      <c r="G47" s="1059"/>
      <c r="H47" s="1059">
        <f>'[5]CIF Y PV'!C66</f>
        <v>4457</v>
      </c>
      <c r="J47" s="1059"/>
      <c r="K47" s="1055"/>
    </row>
    <row r="48" spans="2:12" x14ac:dyDescent="0.3">
      <c r="B48" s="1807" t="s">
        <v>805</v>
      </c>
      <c r="C48" s="1807"/>
      <c r="E48" s="1059"/>
      <c r="F48" s="1059"/>
      <c r="G48" s="1059"/>
      <c r="H48" s="976">
        <f>+(H47-H46)/H47</f>
        <v>0.39872018910477897</v>
      </c>
      <c r="I48" s="1060"/>
      <c r="J48" s="527"/>
      <c r="K48" s="1060"/>
      <c r="L48" s="697"/>
    </row>
  </sheetData>
  <autoFilter ref="A4:K4" xr:uid="{A9C8E1A0-A344-4687-AF0E-610172BADE16}">
    <sortState xmlns:xlrd2="http://schemas.microsoft.com/office/spreadsheetml/2017/richdata2" ref="A5:K24">
      <sortCondition descending="1" ref="D4"/>
    </sortState>
  </autoFilter>
  <mergeCells count="10">
    <mergeCell ref="B45:C45"/>
    <mergeCell ref="B46:C46"/>
    <mergeCell ref="B47:C47"/>
    <mergeCell ref="B48:C48"/>
    <mergeCell ref="B2:I2"/>
    <mergeCell ref="B3:I3"/>
    <mergeCell ref="B23:C23"/>
    <mergeCell ref="B25:C25"/>
    <mergeCell ref="B36:I36"/>
    <mergeCell ref="B44:C44"/>
  </mergeCells>
  <pageMargins left="0.7" right="0.7" top="0.75" bottom="0.75" header="0.3" footer="0.3"/>
  <pageSetup scale="36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2FEE-E868-48D2-A08E-87165F52E78D}">
  <sheetPr codeName="Hoja59"/>
  <dimension ref="B2:L47"/>
  <sheetViews>
    <sheetView view="pageBreakPreview" topLeftCell="A32" zoomScale="80" zoomScaleNormal="100" zoomScaleSheetLayoutView="80" workbookViewId="0">
      <selection activeCell="F22" sqref="F22"/>
    </sheetView>
  </sheetViews>
  <sheetFormatPr baseColWidth="10" defaultColWidth="11.5703125" defaultRowHeight="16.5" x14ac:dyDescent="0.3"/>
  <cols>
    <col min="1" max="1" width="22.28515625" style="527" bestFit="1" customWidth="1"/>
    <col min="2" max="2" width="17.5703125" style="527" customWidth="1"/>
    <col min="3" max="3" width="58.28515625" style="527" customWidth="1"/>
    <col min="4" max="4" width="12.7109375" style="693" customWidth="1"/>
    <col min="5" max="5" width="13.140625" style="527" bestFit="1" customWidth="1"/>
    <col min="6" max="6" width="13.140625" style="527" customWidth="1"/>
    <col min="7" max="7" width="12" style="527" customWidth="1"/>
    <col min="8" max="8" width="14.85546875" style="527" bestFit="1" customWidth="1"/>
    <col min="9" max="9" width="12.28515625" style="527" bestFit="1" customWidth="1"/>
    <col min="10" max="10" width="11.5703125" style="527"/>
    <col min="11" max="11" width="11.140625" style="527" customWidth="1"/>
    <col min="12" max="16384" width="11.5703125" style="527"/>
  </cols>
  <sheetData>
    <row r="2" spans="2:12" x14ac:dyDescent="0.3">
      <c r="B2" s="1847" t="s">
        <v>271</v>
      </c>
      <c r="C2" s="1847"/>
      <c r="D2" s="1847"/>
      <c r="E2" s="1847"/>
      <c r="F2" s="1847"/>
      <c r="G2" s="1847"/>
      <c r="H2" s="1847"/>
      <c r="I2" s="1847"/>
    </row>
    <row r="3" spans="2:12" ht="10.15" customHeight="1" x14ac:dyDescent="0.3">
      <c r="B3" s="1847"/>
      <c r="C3" s="1847"/>
      <c r="D3" s="1847"/>
      <c r="E3" s="1847"/>
      <c r="F3" s="1847"/>
      <c r="G3" s="1847"/>
      <c r="H3" s="1847"/>
      <c r="I3" s="1847"/>
    </row>
    <row r="4" spans="2:12" s="979" customFormat="1" ht="37.5" customHeight="1" x14ac:dyDescent="0.25">
      <c r="B4" s="1348" t="s">
        <v>0</v>
      </c>
      <c r="C4" s="1348" t="s">
        <v>1</v>
      </c>
      <c r="D4" s="1453" t="s">
        <v>2</v>
      </c>
      <c r="E4" s="1348" t="s">
        <v>3</v>
      </c>
      <c r="F4" s="1335" t="str">
        <f>+'CIF Y PV'!$F$2</f>
        <v xml:space="preserve">JUN-COP/Kg </v>
      </c>
      <c r="G4" s="1335" t="str">
        <f>+'CIF Y PV'!$G$2</f>
        <v>JUN-COP/APP</v>
      </c>
      <c r="H4" s="1335" t="str">
        <f>+'CIF Y PV'!$H$2</f>
        <v xml:space="preserve">MAY-COP/Kg </v>
      </c>
      <c r="I4" s="1335" t="str">
        <f>+'CIF Y PV'!$I$2</f>
        <v>MAY-COP/APP</v>
      </c>
      <c r="J4" s="1336" t="s">
        <v>3</v>
      </c>
      <c r="K4" s="1454">
        <f>+D26/1000</f>
        <v>0.232875</v>
      </c>
    </row>
    <row r="5" spans="2:12" x14ac:dyDescent="0.3">
      <c r="B5" s="1022">
        <v>1112001</v>
      </c>
      <c r="C5" s="1022" t="s">
        <v>797</v>
      </c>
      <c r="D5" s="554">
        <v>5.29790625E-2</v>
      </c>
      <c r="E5" s="562">
        <v>22.75</v>
      </c>
      <c r="F5" s="982">
        <f>VLOOKUP(B5,[2]Hoja1!$C$2:$E$279,3,FALSE)</f>
        <v>3663.96</v>
      </c>
      <c r="G5" s="1023">
        <f>F5*D5</f>
        <v>194.11316583749999</v>
      </c>
      <c r="H5" s="982">
        <v>4222.72</v>
      </c>
      <c r="I5" s="574">
        <f>H5*D5</f>
        <v>223.71574680000001</v>
      </c>
      <c r="J5" s="562">
        <f>((F5/H5)*100)-100</f>
        <v>-13.232229463473786</v>
      </c>
      <c r="K5" s="525">
        <f>$K$4*E5%</f>
        <v>5.29790625E-2</v>
      </c>
    </row>
    <row r="6" spans="2:12" x14ac:dyDescent="0.3">
      <c r="B6" s="1022">
        <v>2906001</v>
      </c>
      <c r="C6" s="1022" t="s">
        <v>831</v>
      </c>
      <c r="D6" s="554">
        <v>3.49079625E-2</v>
      </c>
      <c r="E6" s="562">
        <v>14.99</v>
      </c>
      <c r="F6" s="982">
        <f>VLOOKUP(B6,[2]Hoja1!$C$2:$E$279,3,FALSE)</f>
        <v>1956.71</v>
      </c>
      <c r="G6" s="1023">
        <f t="shared" ref="G6:G22" si="0">F6*D6</f>
        <v>68.304759303375008</v>
      </c>
      <c r="H6" s="982">
        <v>2033.73</v>
      </c>
      <c r="I6" s="574">
        <f t="shared" ref="I6:I22" si="1">H6*D6</f>
        <v>70.993370575124999</v>
      </c>
      <c r="J6" s="562">
        <f t="shared" ref="J6:J22" si="2">((F6/H6)*100)-100</f>
        <v>-3.7871300516784459</v>
      </c>
      <c r="K6" s="525">
        <f t="shared" ref="K6:K22" si="3">$K$4*E6%</f>
        <v>3.49079625E-2</v>
      </c>
    </row>
    <row r="7" spans="2:12" x14ac:dyDescent="0.3">
      <c r="B7" s="1022"/>
      <c r="C7" s="1022" t="s">
        <v>824</v>
      </c>
      <c r="D7" s="554">
        <v>2.3194350000000002E-2</v>
      </c>
      <c r="E7" s="562">
        <v>9.9600000000000009</v>
      </c>
      <c r="F7" s="982">
        <v>0</v>
      </c>
      <c r="G7" s="1023">
        <f t="shared" si="0"/>
        <v>0</v>
      </c>
      <c r="H7" s="88">
        <v>0</v>
      </c>
      <c r="I7" s="574">
        <f t="shared" si="1"/>
        <v>0</v>
      </c>
      <c r="J7" s="562" t="e">
        <f t="shared" si="2"/>
        <v>#DIV/0!</v>
      </c>
      <c r="K7" s="525">
        <f t="shared" si="3"/>
        <v>2.3194350000000002E-2</v>
      </c>
    </row>
    <row r="8" spans="2:12" x14ac:dyDescent="0.3">
      <c r="B8" s="1022">
        <v>1131002</v>
      </c>
      <c r="C8" s="1022" t="s">
        <v>663</v>
      </c>
      <c r="D8" s="554">
        <v>7.5777524999999998E-2</v>
      </c>
      <c r="E8" s="562">
        <v>32.54</v>
      </c>
      <c r="F8" s="982">
        <f>VLOOKUP(B8,[2]Hoja1!$C$2:$E$279,3,FALSE)</f>
        <v>0</v>
      </c>
      <c r="G8" s="1023">
        <f t="shared" si="0"/>
        <v>0</v>
      </c>
      <c r="H8" s="184">
        <v>0</v>
      </c>
      <c r="I8" s="574">
        <f t="shared" si="1"/>
        <v>0</v>
      </c>
      <c r="J8" s="562" t="e">
        <f t="shared" si="2"/>
        <v>#DIV/0!</v>
      </c>
      <c r="K8" s="525">
        <f t="shared" si="3"/>
        <v>7.5777524999999998E-2</v>
      </c>
    </row>
    <row r="9" spans="2:12" x14ac:dyDescent="0.3">
      <c r="B9" s="1022">
        <v>1230016</v>
      </c>
      <c r="C9" s="1022" t="s">
        <v>904</v>
      </c>
      <c r="D9" s="554">
        <v>9.3150000000000004E-4</v>
      </c>
      <c r="E9" s="562">
        <v>0.4</v>
      </c>
      <c r="F9" s="982">
        <f>VLOOKUP(B9,[2]Hoja1!$C$2:$E$279,3,FALSE)</f>
        <v>91559.6</v>
      </c>
      <c r="G9" s="1023">
        <f t="shared" si="0"/>
        <v>85.287767400000007</v>
      </c>
      <c r="H9" s="73">
        <v>87200</v>
      </c>
      <c r="I9" s="574">
        <f t="shared" si="1"/>
        <v>81.226799999999997</v>
      </c>
      <c r="J9" s="562">
        <f t="shared" si="2"/>
        <v>4.9995412844036764</v>
      </c>
      <c r="K9" s="525">
        <f t="shared" si="3"/>
        <v>9.3150000000000004E-4</v>
      </c>
    </row>
    <row r="10" spans="2:12" x14ac:dyDescent="0.3">
      <c r="B10" s="1022">
        <v>1210005</v>
      </c>
      <c r="C10" s="1022" t="s">
        <v>1155</v>
      </c>
      <c r="D10" s="554">
        <v>3.0040875000000001E-3</v>
      </c>
      <c r="E10" s="562">
        <v>1.29</v>
      </c>
      <c r="F10" s="982">
        <f>VLOOKUP(B10,[2]Hoja1!$C$2:$E$279,3,FALSE)</f>
        <v>1356</v>
      </c>
      <c r="G10" s="1023">
        <f t="shared" si="0"/>
        <v>4.0735426500000003</v>
      </c>
      <c r="H10" s="964">
        <v>1360</v>
      </c>
      <c r="I10" s="574">
        <f t="shared" si="1"/>
        <v>4.0855589999999999</v>
      </c>
      <c r="J10" s="562">
        <f t="shared" si="2"/>
        <v>-0.29411764705882604</v>
      </c>
      <c r="K10" s="525">
        <f t="shared" si="3"/>
        <v>3.0040875000000001E-3</v>
      </c>
    </row>
    <row r="11" spans="2:12" x14ac:dyDescent="0.3">
      <c r="B11" s="1022">
        <v>1210010</v>
      </c>
      <c r="C11" s="1022" t="s">
        <v>1351</v>
      </c>
      <c r="D11" s="554">
        <v>4.6575000000000002E-4</v>
      </c>
      <c r="E11" s="562">
        <v>0.2</v>
      </c>
      <c r="F11" s="982">
        <f>VLOOKUP(B11,[2]Hoja1!$C$2:$E$279,3,FALSE)</f>
        <v>11600</v>
      </c>
      <c r="G11" s="1023">
        <f t="shared" si="0"/>
        <v>5.4027000000000003</v>
      </c>
      <c r="H11" s="527">
        <v>8910.1</v>
      </c>
      <c r="I11" s="574">
        <f t="shared" si="1"/>
        <v>4.1498790750000003</v>
      </c>
      <c r="K11" s="525">
        <f t="shared" si="3"/>
        <v>4.6575000000000002E-4</v>
      </c>
    </row>
    <row r="12" spans="2:12" x14ac:dyDescent="0.3">
      <c r="B12" s="1022">
        <v>1210004</v>
      </c>
      <c r="C12" s="1022" t="s">
        <v>1131</v>
      </c>
      <c r="D12" s="554">
        <v>1.863E-4</v>
      </c>
      <c r="E12" s="1212">
        <v>0.08</v>
      </c>
      <c r="F12" s="982">
        <f>VLOOKUP(B12,[2]Hoja1!$C$2:$E$279,3,FALSE)</f>
        <v>3841</v>
      </c>
      <c r="G12" s="1023">
        <f t="shared" si="0"/>
        <v>0.7155783</v>
      </c>
      <c r="H12" s="88">
        <v>3508.01</v>
      </c>
      <c r="I12" s="574">
        <f t="shared" si="1"/>
        <v>0.65354226300000007</v>
      </c>
      <c r="J12" s="562">
        <f>((F11/H12)*100)-100</f>
        <v>230.67180538253882</v>
      </c>
      <c r="K12" s="525">
        <f t="shared" si="3"/>
        <v>1.863E-4</v>
      </c>
    </row>
    <row r="13" spans="2:12" x14ac:dyDescent="0.3">
      <c r="B13" s="1022">
        <v>1210002</v>
      </c>
      <c r="C13" s="1022" t="s">
        <v>1033</v>
      </c>
      <c r="D13" s="554">
        <v>4.6575000000000002E-4</v>
      </c>
      <c r="E13" s="562">
        <v>0.2</v>
      </c>
      <c r="F13" s="982">
        <f>VLOOKUP(B13,[2]Hoja1!$C$2:$E$279,3,FALSE)</f>
        <v>12886</v>
      </c>
      <c r="G13" s="1023">
        <f t="shared" si="0"/>
        <v>6.0016544999999999</v>
      </c>
      <c r="H13" s="73">
        <v>12858.08</v>
      </c>
      <c r="I13" s="574">
        <f t="shared" si="1"/>
        <v>5.9886507600000005</v>
      </c>
      <c r="J13" s="562">
        <f t="shared" si="2"/>
        <v>0.21713972848201024</v>
      </c>
      <c r="K13" s="525">
        <f t="shared" si="3"/>
        <v>4.6575000000000002E-4</v>
      </c>
      <c r="L13" s="526"/>
    </row>
    <row r="14" spans="2:12" x14ac:dyDescent="0.3">
      <c r="B14" s="1022">
        <v>1220009</v>
      </c>
      <c r="C14" s="1022" t="s">
        <v>1133</v>
      </c>
      <c r="D14" s="554">
        <v>2.561625E-4</v>
      </c>
      <c r="E14" s="562">
        <v>0.11</v>
      </c>
      <c r="F14" s="982">
        <f>VLOOKUP(B14,[2]Hoja1!$C$2:$E$279,3,FALSE)</f>
        <v>21312.16</v>
      </c>
      <c r="G14" s="1023">
        <f t="shared" si="0"/>
        <v>5.4593761860000001</v>
      </c>
      <c r="H14" s="88">
        <v>20299</v>
      </c>
      <c r="I14" s="574">
        <f t="shared" si="1"/>
        <v>5.1998425875000001</v>
      </c>
      <c r="J14" s="562">
        <f t="shared" si="2"/>
        <v>4.9911818316173253</v>
      </c>
      <c r="K14" s="525">
        <f t="shared" si="3"/>
        <v>2.561625E-4</v>
      </c>
    </row>
    <row r="15" spans="2:12" x14ac:dyDescent="0.3">
      <c r="B15" s="1022">
        <v>1220005</v>
      </c>
      <c r="C15" s="1022" t="s">
        <v>1135</v>
      </c>
      <c r="D15" s="554">
        <v>3.2602500000000002E-4</v>
      </c>
      <c r="E15" s="562">
        <v>0.14000000000000001</v>
      </c>
      <c r="F15" s="982">
        <f>VLOOKUP(B15,[2]Hoja1!$C$2:$E$279,3,FALSE)</f>
        <v>17429.990000000002</v>
      </c>
      <c r="G15" s="1023">
        <f t="shared" si="0"/>
        <v>5.6826124897500012</v>
      </c>
      <c r="H15" s="964">
        <v>17430</v>
      </c>
      <c r="I15" s="574">
        <f t="shared" si="1"/>
        <v>5.6826157500000001</v>
      </c>
      <c r="J15" s="562">
        <f t="shared" si="2"/>
        <v>-5.7372346518036466E-5</v>
      </c>
      <c r="K15" s="525">
        <f t="shared" si="3"/>
        <v>3.2602500000000002E-4</v>
      </c>
    </row>
    <row r="16" spans="2:12" x14ac:dyDescent="0.3">
      <c r="B16" s="1022">
        <v>1220006</v>
      </c>
      <c r="C16" s="1022" t="s">
        <v>1172</v>
      </c>
      <c r="D16" s="554">
        <v>2.3287500000000001E-4</v>
      </c>
      <c r="E16" s="562">
        <v>0.1</v>
      </c>
      <c r="F16" s="982">
        <f>VLOOKUP(B16,[2]Hoja1!$C$2:$E$279,3,FALSE)</f>
        <v>73448</v>
      </c>
      <c r="G16" s="1023">
        <f t="shared" si="0"/>
        <v>17.104203000000002</v>
      </c>
      <c r="H16" s="72">
        <v>73448</v>
      </c>
      <c r="I16" s="574">
        <f t="shared" si="1"/>
        <v>17.104203000000002</v>
      </c>
      <c r="J16" s="562">
        <f t="shared" si="2"/>
        <v>0</v>
      </c>
      <c r="K16" s="525">
        <f t="shared" si="3"/>
        <v>2.3287500000000001E-4</v>
      </c>
    </row>
    <row r="17" spans="2:11" x14ac:dyDescent="0.3">
      <c r="B17" s="1022">
        <v>1210003</v>
      </c>
      <c r="C17" s="1022" t="s">
        <v>1143</v>
      </c>
      <c r="D17" s="554">
        <v>1.164375E-4</v>
      </c>
      <c r="E17" s="562">
        <v>0.05</v>
      </c>
      <c r="F17" s="982">
        <f>VLOOKUP(B17,[2]Hoja1!$C$2:$E$279,3,FALSE)</f>
        <v>16235.45</v>
      </c>
      <c r="G17" s="1023">
        <f t="shared" si="0"/>
        <v>1.8904152093750002</v>
      </c>
      <c r="H17" s="965">
        <v>12852.58</v>
      </c>
      <c r="I17" s="574">
        <f t="shared" si="1"/>
        <v>1.4965222837500001</v>
      </c>
      <c r="J17" s="562">
        <f t="shared" si="2"/>
        <v>26.320551982559152</v>
      </c>
      <c r="K17" s="525">
        <f t="shared" si="3"/>
        <v>1.164375E-4</v>
      </c>
    </row>
    <row r="18" spans="2:11" x14ac:dyDescent="0.3">
      <c r="B18" s="1022">
        <v>1260005</v>
      </c>
      <c r="C18" s="1022" t="s">
        <v>811</v>
      </c>
      <c r="D18" s="554">
        <v>2.3287500000000001E-3</v>
      </c>
      <c r="E18" s="562">
        <v>1</v>
      </c>
      <c r="F18" s="982">
        <f>VLOOKUP(B18,[2]Hoja1!$C$2:$E$279,3,FALSE)</f>
        <v>26429</v>
      </c>
      <c r="G18" s="1023">
        <f t="shared" si="0"/>
        <v>61.546533750000002</v>
      </c>
      <c r="H18" s="533">
        <v>25850</v>
      </c>
      <c r="I18" s="574">
        <f t="shared" si="1"/>
        <v>60.198187500000003</v>
      </c>
      <c r="J18" s="562">
        <f t="shared" si="2"/>
        <v>2.2398452611218715</v>
      </c>
      <c r="K18" s="525">
        <f t="shared" si="3"/>
        <v>2.3287500000000001E-3</v>
      </c>
    </row>
    <row r="19" spans="2:11" x14ac:dyDescent="0.3">
      <c r="B19" s="1022">
        <v>1260024</v>
      </c>
      <c r="C19" s="1022" t="s">
        <v>1290</v>
      </c>
      <c r="D19" s="554">
        <v>1.5602625000000001E-3</v>
      </c>
      <c r="E19" s="562">
        <v>0.67</v>
      </c>
      <c r="F19" s="982">
        <f>VLOOKUP(B19,[2]Hoja1!$C$2:$E$279,3,FALSE)</f>
        <v>12625.84</v>
      </c>
      <c r="G19" s="1023">
        <f t="shared" si="0"/>
        <v>19.699624683000003</v>
      </c>
      <c r="H19" s="533">
        <v>18900</v>
      </c>
      <c r="I19" s="574">
        <f t="shared" si="1"/>
        <v>29.488961250000003</v>
      </c>
      <c r="J19" s="562">
        <f t="shared" si="2"/>
        <v>-33.196613756613758</v>
      </c>
      <c r="K19" s="525">
        <f t="shared" si="3"/>
        <v>1.5602625000000001E-3</v>
      </c>
    </row>
    <row r="20" spans="2:11" x14ac:dyDescent="0.3">
      <c r="B20" s="1022">
        <v>1260010</v>
      </c>
      <c r="C20" s="1022" t="s">
        <v>1043</v>
      </c>
      <c r="D20" s="554">
        <v>1.2994425E-2</v>
      </c>
      <c r="E20" s="562">
        <v>5.58</v>
      </c>
      <c r="F20" s="982">
        <f>VLOOKUP(B20,[2]Hoja1!$C$2:$E$279,3,FALSE)</f>
        <v>6959.71</v>
      </c>
      <c r="G20" s="1023">
        <f t="shared" si="0"/>
        <v>90.437429616750009</v>
      </c>
      <c r="H20" s="70">
        <v>8234.27</v>
      </c>
      <c r="I20" s="574">
        <f t="shared" si="1"/>
        <v>106.99960394475001</v>
      </c>
      <c r="J20" s="562">
        <f t="shared" si="2"/>
        <v>-15.478724890002397</v>
      </c>
      <c r="K20" s="525">
        <f t="shared" si="3"/>
        <v>1.2994425E-2</v>
      </c>
    </row>
    <row r="21" spans="2:11" x14ac:dyDescent="0.3">
      <c r="B21" s="1022">
        <v>1260015</v>
      </c>
      <c r="C21" s="1022" t="s">
        <v>785</v>
      </c>
      <c r="D21" s="554">
        <v>2.0283412500000004E-2</v>
      </c>
      <c r="E21" s="562">
        <v>8.7100000000000009</v>
      </c>
      <c r="F21" s="982">
        <f>VLOOKUP(B21,[2]Hoja1!$C$2:$E$279,3,FALSE)</f>
        <v>3450.01</v>
      </c>
      <c r="G21" s="1023">
        <f t="shared" si="0"/>
        <v>69.977975959125018</v>
      </c>
      <c r="H21" s="73">
        <v>3400.01</v>
      </c>
      <c r="I21" s="574">
        <f t="shared" si="1"/>
        <v>68.963805334125013</v>
      </c>
      <c r="J21" s="562">
        <f t="shared" si="2"/>
        <v>1.4705839100473241</v>
      </c>
      <c r="K21" s="525">
        <f t="shared" si="3"/>
        <v>2.0283412500000004E-2</v>
      </c>
    </row>
    <row r="22" spans="2:11" x14ac:dyDescent="0.3">
      <c r="B22" s="1022">
        <v>1111002</v>
      </c>
      <c r="C22" s="1022" t="s">
        <v>1170</v>
      </c>
      <c r="D22" s="554">
        <v>2.7013499999999999E-3</v>
      </c>
      <c r="E22" s="562">
        <v>1.1599999999999999</v>
      </c>
      <c r="F22" s="982">
        <f>VLOOKUP(B22,[2]Hoja1!$C$2:$E$279,3,FALSE)</f>
        <v>2800</v>
      </c>
      <c r="G22" s="1023">
        <f t="shared" si="0"/>
        <v>7.5637799999999995</v>
      </c>
      <c r="H22" s="985">
        <v>5801.26</v>
      </c>
      <c r="I22" s="574">
        <f t="shared" si="1"/>
        <v>15.671233701</v>
      </c>
      <c r="J22" s="562">
        <f t="shared" si="2"/>
        <v>-51.734623168070385</v>
      </c>
      <c r="K22" s="525">
        <f t="shared" si="3"/>
        <v>2.7013499999999999E-3</v>
      </c>
    </row>
    <row r="23" spans="2:11" x14ac:dyDescent="0.3">
      <c r="B23" s="1848" t="s">
        <v>37</v>
      </c>
      <c r="C23" s="1848"/>
      <c r="D23" s="1433">
        <f>SUM(D5:D22)</f>
        <v>0.23271198749999997</v>
      </c>
      <c r="E23" s="1455">
        <f>SUM(E5:E22)</f>
        <v>99.93</v>
      </c>
      <c r="F23" s="1435"/>
      <c r="G23" s="1456">
        <f>SUM(G5:G22)</f>
        <v>643.26111888487492</v>
      </c>
      <c r="H23" s="1436"/>
      <c r="I23" s="1457">
        <f>SUM(I5:I22)</f>
        <v>701.61852382425002</v>
      </c>
      <c r="J23" s="1458">
        <f>((G23/I23)*100)-100</f>
        <v>-8.3175405092345045</v>
      </c>
      <c r="K23" s="1438"/>
    </row>
    <row r="24" spans="2:11" s="699" customFormat="1" x14ac:dyDescent="0.3">
      <c r="B24" s="1024"/>
      <c r="C24" s="1025"/>
      <c r="D24" s="1026"/>
      <c r="E24" s="1027"/>
      <c r="F24" s="1028"/>
      <c r="G24" s="1027"/>
      <c r="H24" s="1029"/>
      <c r="I24" s="1027"/>
      <c r="J24" s="1030"/>
    </row>
    <row r="25" spans="2:11" s="699" customFormat="1" x14ac:dyDescent="0.3">
      <c r="B25" s="1024"/>
      <c r="C25" s="1025"/>
      <c r="D25" s="1026"/>
      <c r="E25" s="1027"/>
      <c r="F25" s="1028"/>
      <c r="G25" s="1027"/>
      <c r="H25" s="1029"/>
      <c r="I25" s="1027"/>
      <c r="J25" s="1030"/>
    </row>
    <row r="26" spans="2:11" ht="27" customHeight="1" x14ac:dyDescent="0.3">
      <c r="B26" s="1855" t="s">
        <v>50</v>
      </c>
      <c r="C26" s="1856"/>
      <c r="D26" s="693">
        <f>+C29+(C29*C35%)</f>
        <v>232.875</v>
      </c>
      <c r="E26" s="966"/>
      <c r="F26" s="966"/>
      <c r="G26" s="966"/>
      <c r="H26" s="966"/>
      <c r="I26" s="966"/>
    </row>
    <row r="27" spans="2:11" x14ac:dyDescent="0.3">
      <c r="B27" s="1390" t="s">
        <v>38</v>
      </c>
      <c r="C27" s="997" t="s">
        <v>69</v>
      </c>
    </row>
    <row r="28" spans="2:11" x14ac:dyDescent="0.3">
      <c r="B28" s="1390" t="s">
        <v>39</v>
      </c>
      <c r="C28" s="997" t="s">
        <v>268</v>
      </c>
    </row>
    <row r="29" spans="2:11" x14ac:dyDescent="0.3">
      <c r="B29" s="1390" t="s">
        <v>40</v>
      </c>
      <c r="C29" s="997">
        <v>225</v>
      </c>
    </row>
    <row r="30" spans="2:11" x14ac:dyDescent="0.3">
      <c r="B30" s="1390" t="s">
        <v>41</v>
      </c>
      <c r="C30" s="997">
        <v>0</v>
      </c>
    </row>
    <row r="31" spans="2:11" x14ac:dyDescent="0.3">
      <c r="B31" s="1390" t="s">
        <v>42</v>
      </c>
      <c r="C31" s="997">
        <v>0.5</v>
      </c>
    </row>
    <row r="32" spans="2:11" x14ac:dyDescent="0.3">
      <c r="B32" s="1390" t="s">
        <v>43</v>
      </c>
      <c r="C32" s="997">
        <v>0.5</v>
      </c>
    </row>
    <row r="33" spans="2:10" x14ac:dyDescent="0.3">
      <c r="B33" s="1390" t="s">
        <v>44</v>
      </c>
      <c r="C33" s="997">
        <v>1</v>
      </c>
    </row>
    <row r="34" spans="2:10" x14ac:dyDescent="0.3">
      <c r="B34" s="1390" t="s">
        <v>45</v>
      </c>
      <c r="C34" s="997">
        <v>1.5</v>
      </c>
    </row>
    <row r="35" spans="2:10" x14ac:dyDescent="0.3">
      <c r="B35" s="1390" t="s">
        <v>46</v>
      </c>
      <c r="C35" s="997">
        <f>C34+C33+C32+C31</f>
        <v>3.5</v>
      </c>
    </row>
    <row r="37" spans="2:10" x14ac:dyDescent="0.3">
      <c r="B37" s="1851" t="s">
        <v>47</v>
      </c>
      <c r="C37" s="1852"/>
      <c r="D37" s="1852"/>
      <c r="E37" s="1852"/>
      <c r="F37" s="1852"/>
      <c r="G37" s="1852"/>
      <c r="H37" s="1852"/>
      <c r="I37" s="1852"/>
      <c r="J37" s="693"/>
    </row>
    <row r="38" spans="2:10" ht="28.5" x14ac:dyDescent="0.3">
      <c r="B38" s="1391" t="s">
        <v>0</v>
      </c>
      <c r="C38" s="1391" t="s">
        <v>1</v>
      </c>
      <c r="D38" s="1393" t="s">
        <v>2</v>
      </c>
      <c r="E38" s="1335" t="str">
        <f>+'CIF Y PV'!$F$4</f>
        <v xml:space="preserve">JUN-COP/UMB </v>
      </c>
      <c r="F38" s="1335" t="str">
        <f>+'CIF Y PV'!$G$4</f>
        <v>JUN-COP/APP</v>
      </c>
      <c r="G38" s="1335" t="str">
        <f>+'CIF Y PV'!$H$4</f>
        <v xml:space="preserve">MAY-COP/UMB </v>
      </c>
      <c r="H38" s="1335" t="str">
        <f>+'CIF Y PV'!$I$4</f>
        <v>MAY-COP/APP</v>
      </c>
      <c r="I38" s="1335" t="s">
        <v>3</v>
      </c>
      <c r="J38" s="693">
        <v>15199</v>
      </c>
    </row>
    <row r="39" spans="2:10" x14ac:dyDescent="0.3">
      <c r="B39" s="563">
        <v>1380005</v>
      </c>
      <c r="C39" s="563" t="s">
        <v>1029</v>
      </c>
      <c r="D39" s="582">
        <v>2</v>
      </c>
      <c r="E39" s="582">
        <f>VLOOKUP(B39,[2]Hoja1!$C$2:$E$279,3,FALSE)</f>
        <v>29.02</v>
      </c>
      <c r="F39" s="582">
        <f>E39*D39</f>
        <v>58.04</v>
      </c>
      <c r="G39" s="582">
        <v>31.68</v>
      </c>
      <c r="H39" s="1031">
        <f>G39*D39</f>
        <v>63.36</v>
      </c>
      <c r="I39" s="571">
        <f>((E39/G39)*100)-100</f>
        <v>-8.3964646464646506</v>
      </c>
      <c r="J39" s="693">
        <f>J38*D39</f>
        <v>30398</v>
      </c>
    </row>
    <row r="40" spans="2:10" x14ac:dyDescent="0.3">
      <c r="B40" s="563">
        <v>1370020</v>
      </c>
      <c r="C40" s="563" t="s">
        <v>1182</v>
      </c>
      <c r="D40" s="582">
        <v>0.23</v>
      </c>
      <c r="E40" s="582">
        <f>VLOOKUP(B40,[4]Hoja1!$C$2:$E$312,3,FALSE)</f>
        <v>546.12</v>
      </c>
      <c r="F40" s="582">
        <f>E40*D40</f>
        <v>125.60760000000001</v>
      </c>
      <c r="G40" s="582">
        <v>546.12</v>
      </c>
      <c r="H40" s="1031">
        <f>G40*D40</f>
        <v>125.60760000000001</v>
      </c>
      <c r="I40" s="571">
        <f>((E40/G40)*100)-100</f>
        <v>0</v>
      </c>
      <c r="J40" s="693">
        <f>J38*D40</f>
        <v>3495.77</v>
      </c>
    </row>
    <row r="41" spans="2:10" x14ac:dyDescent="0.3">
      <c r="B41" s="1391"/>
      <c r="C41" s="1391" t="s">
        <v>37</v>
      </c>
      <c r="D41" s="1393"/>
      <c r="E41" s="1393"/>
      <c r="F41" s="1393">
        <f>SUM(F39:F40)</f>
        <v>183.64760000000001</v>
      </c>
      <c r="G41" s="1393"/>
      <c r="H41" s="1393">
        <f>SUM(H39:H40)</f>
        <v>188.9676</v>
      </c>
      <c r="I41" s="1439">
        <f>((F41/H41)*100)-100</f>
        <v>-2.8152974372326156</v>
      </c>
    </row>
    <row r="43" spans="2:10" x14ac:dyDescent="0.3">
      <c r="H43" s="527" t="str">
        <f>+'CIF Y PV'!$G$1</f>
        <v>MAYO</v>
      </c>
    </row>
    <row r="44" spans="2:10" x14ac:dyDescent="0.3">
      <c r="B44" s="1807" t="s">
        <v>72</v>
      </c>
      <c r="C44" s="1807"/>
      <c r="E44" s="1005"/>
      <c r="F44" s="1005"/>
      <c r="G44" s="1005"/>
      <c r="H44" s="1005">
        <f>+F41+G23</f>
        <v>826.90871888487493</v>
      </c>
      <c r="I44" s="1032"/>
      <c r="J44" s="1005"/>
    </row>
    <row r="45" spans="2:10" x14ac:dyDescent="0.3">
      <c r="B45" s="1808" t="s">
        <v>48</v>
      </c>
      <c r="C45" s="1809"/>
      <c r="E45" s="1005"/>
      <c r="F45" s="1005"/>
      <c r="G45" s="1005"/>
      <c r="H45" s="1005">
        <f>+('CIF Y PV'!C3/1000)*225</f>
        <v>425.25</v>
      </c>
      <c r="I45" s="1004"/>
      <c r="J45" s="1005"/>
    </row>
    <row r="46" spans="2:10" x14ac:dyDescent="0.3">
      <c r="B46" s="1808" t="s">
        <v>74</v>
      </c>
      <c r="C46" s="1809"/>
      <c r="E46" s="1005"/>
      <c r="F46" s="1005"/>
      <c r="G46" s="1005"/>
      <c r="H46" s="1005">
        <f>+H44+H45</f>
        <v>1252.1587188848748</v>
      </c>
      <c r="I46" s="1004"/>
      <c r="J46" s="1005"/>
    </row>
    <row r="47" spans="2:10" x14ac:dyDescent="0.3">
      <c r="I47" s="1010"/>
    </row>
  </sheetData>
  <autoFilter ref="A4:K22" xr:uid="{94F92FEE-E868-48D2-A08E-87165F52E78D}"/>
  <mergeCells count="8">
    <mergeCell ref="B2:I2"/>
    <mergeCell ref="B45:C45"/>
    <mergeCell ref="B46:C46"/>
    <mergeCell ref="B3:I3"/>
    <mergeCell ref="B44:C44"/>
    <mergeCell ref="B37:I37"/>
    <mergeCell ref="B26:C26"/>
    <mergeCell ref="B23:C23"/>
  </mergeCells>
  <pageMargins left="0.7" right="0.7" top="0.75" bottom="0.75" header="0.3" footer="0.3"/>
  <pageSetup scale="41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C81D-A236-4A0D-9905-4C454E4CF88D}">
  <sheetPr codeName="Hoja117"/>
  <dimension ref="B2:L57"/>
  <sheetViews>
    <sheetView view="pageBreakPreview" topLeftCell="A39" zoomScaleNormal="100" zoomScaleSheetLayoutView="100" workbookViewId="0">
      <selection activeCell="I56" sqref="I56"/>
    </sheetView>
  </sheetViews>
  <sheetFormatPr baseColWidth="10" defaultColWidth="11.5703125" defaultRowHeight="13.5" x14ac:dyDescent="0.25"/>
  <cols>
    <col min="1" max="1" width="6.7109375" style="1" customWidth="1"/>
    <col min="2" max="2" width="11.5703125" style="1"/>
    <col min="3" max="3" width="67.42578125" style="1" bestFit="1" customWidth="1"/>
    <col min="4" max="5" width="11.5703125" style="1"/>
    <col min="6" max="6" width="12.85546875" style="107" bestFit="1" customWidth="1"/>
    <col min="7" max="7" width="13.5703125" style="1" bestFit="1" customWidth="1"/>
    <col min="8" max="8" width="12.5703125" style="1" bestFit="1" customWidth="1"/>
    <col min="9" max="9" width="14.42578125" style="1" bestFit="1" customWidth="1"/>
    <col min="10" max="10" width="13.42578125" style="1" bestFit="1" customWidth="1"/>
    <col min="11" max="11" width="11.5703125" style="139"/>
    <col min="12" max="16384" width="11.5703125" style="1"/>
  </cols>
  <sheetData>
    <row r="2" spans="2:12" s="42" customFormat="1" ht="26.25" customHeight="1" x14ac:dyDescent="0.25">
      <c r="B2" s="1743" t="s">
        <v>1317</v>
      </c>
      <c r="C2" s="1743"/>
      <c r="D2" s="1743"/>
      <c r="E2" s="1743"/>
      <c r="F2" s="1743"/>
      <c r="G2" s="1743"/>
      <c r="H2" s="1743"/>
      <c r="I2" s="1743"/>
      <c r="J2" s="89"/>
      <c r="K2" s="195"/>
      <c r="L2" s="89"/>
    </row>
    <row r="4" spans="2:12" s="180" customFormat="1" ht="33.75" customHeight="1" x14ac:dyDescent="0.25">
      <c r="B4" s="1271" t="s">
        <v>0</v>
      </c>
      <c r="C4" s="1271" t="s">
        <v>1</v>
      </c>
      <c r="D4" s="1271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21" t="s">
        <v>3</v>
      </c>
      <c r="K4" s="1388">
        <f>+D32/1000</f>
        <v>0.2475</v>
      </c>
    </row>
    <row r="5" spans="2:12" s="42" customFormat="1" ht="16.5" x14ac:dyDescent="0.25">
      <c r="B5" s="6">
        <v>2903003</v>
      </c>
      <c r="C5" s="6" t="s">
        <v>1039</v>
      </c>
      <c r="D5" s="71">
        <v>3.465E-2</v>
      </c>
      <c r="E5" s="72">
        <v>14</v>
      </c>
      <c r="F5" s="245">
        <f>VLOOKUP(B5,[2]Hoja1!$C$2:$E$279,3,FALSE)</f>
        <v>11506.13</v>
      </c>
      <c r="G5" s="270">
        <f>F5*D5</f>
        <v>398.68740449999996</v>
      </c>
      <c r="H5" s="245">
        <v>14000</v>
      </c>
      <c r="I5" s="73">
        <f>H5*D5</f>
        <v>485.1</v>
      </c>
      <c r="J5" s="536">
        <f>((F5/H5)*100)-100</f>
        <v>-17.813357142857143</v>
      </c>
      <c r="K5" s="489">
        <f>$K$4*E5%</f>
        <v>3.465E-2</v>
      </c>
    </row>
    <row r="6" spans="2:12" s="42" customFormat="1" ht="16.5" x14ac:dyDescent="0.25">
      <c r="B6" s="6">
        <v>1112001</v>
      </c>
      <c r="C6" s="6" t="s">
        <v>797</v>
      </c>
      <c r="D6" s="70">
        <v>7.4249999999999997E-2</v>
      </c>
      <c r="E6" s="72">
        <v>30</v>
      </c>
      <c r="F6" s="245">
        <f>VLOOKUP(B6,[2]Hoja1!$C$2:$E$279,3,FALSE)</f>
        <v>3663.96</v>
      </c>
      <c r="G6" s="270">
        <f t="shared" ref="G6:G29" si="0">F6*D6</f>
        <v>272.04903000000002</v>
      </c>
      <c r="H6" s="245">
        <v>4222.72</v>
      </c>
      <c r="I6" s="73">
        <f t="shared" ref="I6:I28" si="1">H6*D6</f>
        <v>313.53696000000002</v>
      </c>
      <c r="J6" s="536">
        <f t="shared" ref="J6:J28" si="2">((F6/H6)*100)-100</f>
        <v>-13.232229463473786</v>
      </c>
      <c r="K6" s="489">
        <f t="shared" ref="K6:K29" si="3">$K$4*E6%</f>
        <v>7.4249999999999997E-2</v>
      </c>
    </row>
    <row r="7" spans="2:12" s="42" customFormat="1" ht="16.5" x14ac:dyDescent="0.25">
      <c r="B7" s="6">
        <v>1122002</v>
      </c>
      <c r="C7" s="6" t="s">
        <v>242</v>
      </c>
      <c r="D7" s="70">
        <v>2.2522500000000001E-2</v>
      </c>
      <c r="E7" s="72">
        <v>9.1</v>
      </c>
      <c r="F7" s="245">
        <f>VLOOKUP(B7,[2]Hoja1!$C$2:$E$279,3,FALSE)</f>
        <v>12500</v>
      </c>
      <c r="G7" s="270">
        <f t="shared" si="0"/>
        <v>281.53125</v>
      </c>
      <c r="H7" s="896">
        <v>15000</v>
      </c>
      <c r="I7" s="73">
        <f t="shared" si="1"/>
        <v>337.83750000000003</v>
      </c>
      <c r="J7" s="536">
        <f t="shared" si="2"/>
        <v>-16.666666666666657</v>
      </c>
      <c r="K7" s="489">
        <f t="shared" si="3"/>
        <v>2.2522500000000001E-2</v>
      </c>
    </row>
    <row r="8" spans="2:12" s="42" customFormat="1" ht="16.5" x14ac:dyDescent="0.25">
      <c r="B8" s="6">
        <v>2906001</v>
      </c>
      <c r="C8" s="6" t="s">
        <v>831</v>
      </c>
      <c r="D8" s="70">
        <v>1.4849999999999999E-2</v>
      </c>
      <c r="E8" s="72">
        <v>6</v>
      </c>
      <c r="F8" s="245">
        <f>VLOOKUP(B8,[2]Hoja1!$C$2:$E$279,3,FALSE)</f>
        <v>1956.71</v>
      </c>
      <c r="G8" s="270">
        <f t="shared" si="0"/>
        <v>29.057143499999999</v>
      </c>
      <c r="H8" s="896">
        <v>2033.73</v>
      </c>
      <c r="I8" s="73">
        <f t="shared" si="1"/>
        <v>30.200890499999996</v>
      </c>
      <c r="J8" s="536">
        <f t="shared" si="2"/>
        <v>-3.7871300516784459</v>
      </c>
      <c r="K8" s="489">
        <f t="shared" si="3"/>
        <v>1.4849999999999999E-2</v>
      </c>
    </row>
    <row r="9" spans="2:12" s="42" customFormat="1" ht="16.5" x14ac:dyDescent="0.25">
      <c r="B9" s="6">
        <v>1121009</v>
      </c>
      <c r="C9" s="6" t="s">
        <v>1272</v>
      </c>
      <c r="D9" s="70">
        <v>5.94E-3</v>
      </c>
      <c r="E9" s="72">
        <v>2.4</v>
      </c>
      <c r="F9" s="245">
        <f>VLOOKUP(B9,[2]Hoja1!$C$2:$E$279,3,FALSE)</f>
        <v>8741.6200000000008</v>
      </c>
      <c r="G9" s="270">
        <f t="shared" si="0"/>
        <v>51.925222800000007</v>
      </c>
      <c r="H9" s="245">
        <v>8754.2800000000007</v>
      </c>
      <c r="I9" s="73">
        <f t="shared" si="1"/>
        <v>52.0004232</v>
      </c>
      <c r="J9" s="536">
        <f t="shared" si="2"/>
        <v>-0.14461497690273006</v>
      </c>
      <c r="K9" s="489">
        <f t="shared" si="3"/>
        <v>5.94E-3</v>
      </c>
    </row>
    <row r="10" spans="2:12" s="42" customFormat="1" ht="16.5" x14ac:dyDescent="0.25">
      <c r="B10" s="6">
        <v>1111002</v>
      </c>
      <c r="C10" s="6" t="s">
        <v>1170</v>
      </c>
      <c r="D10" s="70">
        <v>7.4249999999999993E-3</v>
      </c>
      <c r="E10" s="72">
        <v>3</v>
      </c>
      <c r="F10" s="245">
        <f>VLOOKUP(B10,[2]Hoja1!$C$2:$E$279,3,FALSE)</f>
        <v>2800</v>
      </c>
      <c r="G10" s="270">
        <f t="shared" si="0"/>
        <v>20.79</v>
      </c>
      <c r="H10" s="896">
        <v>2803.03</v>
      </c>
      <c r="I10" s="73">
        <f t="shared" si="1"/>
        <v>20.812497749999999</v>
      </c>
      <c r="J10" s="536">
        <f>((F10/H10)*100)-100</f>
        <v>-0.10809730898350267</v>
      </c>
      <c r="K10" s="489">
        <f t="shared" si="3"/>
        <v>7.4249999999999993E-3</v>
      </c>
    </row>
    <row r="11" spans="2:12" s="42" customFormat="1" ht="16.5" x14ac:dyDescent="0.25">
      <c r="B11" s="6">
        <v>1131002</v>
      </c>
      <c r="C11" s="6" t="s">
        <v>663</v>
      </c>
      <c r="D11" s="71">
        <v>4.3312499999999997E-2</v>
      </c>
      <c r="E11" s="72">
        <v>17.5</v>
      </c>
      <c r="F11" s="245">
        <f>VLOOKUP(B11,[2]Hoja1!$C$2:$E$279,3,FALSE)</f>
        <v>0</v>
      </c>
      <c r="G11" s="270">
        <f t="shared" si="0"/>
        <v>0</v>
      </c>
      <c r="H11" s="245">
        <v>0</v>
      </c>
      <c r="I11" s="73">
        <f t="shared" si="1"/>
        <v>0</v>
      </c>
      <c r="J11" s="536" t="e">
        <f t="shared" si="2"/>
        <v>#DIV/0!</v>
      </c>
      <c r="K11" s="489">
        <f t="shared" si="3"/>
        <v>4.3312499999999997E-2</v>
      </c>
    </row>
    <row r="12" spans="2:12" s="42" customFormat="1" ht="16.5" x14ac:dyDescent="0.25">
      <c r="B12" s="6">
        <v>1131001</v>
      </c>
      <c r="C12" s="6" t="s">
        <v>1163</v>
      </c>
      <c r="D12" s="70">
        <v>9.9000000000000008E-3</v>
      </c>
      <c r="E12" s="72">
        <v>4</v>
      </c>
      <c r="F12" s="245">
        <f>VLOOKUP(B12,[2]Hoja1!$C$2:$E$279,3,FALSE)</f>
        <v>386.9</v>
      </c>
      <c r="G12" s="270">
        <f t="shared" si="0"/>
        <v>3.8303099999999999</v>
      </c>
      <c r="H12" s="880">
        <v>365</v>
      </c>
      <c r="I12" s="73">
        <f t="shared" si="1"/>
        <v>3.6135000000000002</v>
      </c>
      <c r="J12" s="536">
        <f t="shared" si="2"/>
        <v>5.9999999999999858</v>
      </c>
      <c r="K12" s="489">
        <f t="shared" si="3"/>
        <v>9.9000000000000008E-3</v>
      </c>
    </row>
    <row r="13" spans="2:12" s="42" customFormat="1" ht="16.5" x14ac:dyDescent="0.25">
      <c r="B13" s="6">
        <v>1250003</v>
      </c>
      <c r="C13" s="6" t="s">
        <v>914</v>
      </c>
      <c r="D13" s="71">
        <v>1.0889999999999999E-4</v>
      </c>
      <c r="E13" s="72">
        <v>4.3999999999999997E-2</v>
      </c>
      <c r="F13" s="245">
        <f>VLOOKUP(B13,[2]Hoja1!$C$2:$E$279,3,FALSE)</f>
        <v>50952.79</v>
      </c>
      <c r="G13" s="270">
        <f t="shared" si="0"/>
        <v>5.5487588309999998</v>
      </c>
      <c r="H13" s="95">
        <v>47385.41</v>
      </c>
      <c r="I13" s="73">
        <f t="shared" si="1"/>
        <v>5.1602711489999997</v>
      </c>
      <c r="J13" s="536">
        <f>((F13/H13)*100)-100</f>
        <v>7.5284354403602123</v>
      </c>
      <c r="K13" s="489">
        <f t="shared" si="3"/>
        <v>1.0889999999999999E-4</v>
      </c>
    </row>
    <row r="14" spans="2:12" s="42" customFormat="1" ht="16.5" x14ac:dyDescent="0.25">
      <c r="B14" s="6">
        <v>1250009</v>
      </c>
      <c r="C14" s="6" t="s">
        <v>1279</v>
      </c>
      <c r="D14" s="71">
        <v>2.97E-5</v>
      </c>
      <c r="E14" s="72">
        <v>1.2E-2</v>
      </c>
      <c r="F14" s="245">
        <f>VLOOKUP(B14,[2]Hoja1!$C$2:$E$279,3,FALSE)</f>
        <v>83551.55</v>
      </c>
      <c r="G14" s="270">
        <f t="shared" si="0"/>
        <v>2.4814810350000003</v>
      </c>
      <c r="H14" s="388">
        <v>71910.02</v>
      </c>
      <c r="I14" s="73">
        <f t="shared" si="1"/>
        <v>2.135727594</v>
      </c>
      <c r="J14" s="536">
        <f>((F14/H14)*100)-100</f>
        <v>16.18902344902699</v>
      </c>
      <c r="K14" s="489">
        <f t="shared" si="3"/>
        <v>2.97E-5</v>
      </c>
    </row>
    <row r="15" spans="2:12" s="42" customFormat="1" ht="16.5" x14ac:dyDescent="0.25">
      <c r="B15" s="6">
        <v>1210010</v>
      </c>
      <c r="C15" s="6" t="s">
        <v>1351</v>
      </c>
      <c r="D15" s="71">
        <v>2.4750000000000002E-3</v>
      </c>
      <c r="E15" s="72">
        <v>0.4</v>
      </c>
      <c r="F15" s="245">
        <f>VLOOKUP(B15,[2]Hoja1!$C$2:$E$279,3,FALSE)</f>
        <v>11600</v>
      </c>
      <c r="G15" s="270">
        <f t="shared" si="0"/>
        <v>28.71</v>
      </c>
      <c r="H15" s="388">
        <v>8910.1</v>
      </c>
      <c r="I15" s="73">
        <f t="shared" si="1"/>
        <v>22.052497500000001</v>
      </c>
      <c r="J15" s="536">
        <f>((F15/H15)*100)-100</f>
        <v>30.189335697691376</v>
      </c>
      <c r="K15" s="489">
        <f t="shared" si="3"/>
        <v>9.8999999999999999E-4</v>
      </c>
    </row>
    <row r="16" spans="2:12" s="42" customFormat="1" ht="16.5" x14ac:dyDescent="0.25">
      <c r="B16" s="6">
        <v>1210004</v>
      </c>
      <c r="C16" s="6" t="s">
        <v>1131</v>
      </c>
      <c r="D16" s="71">
        <v>2.1433500000000001E-4</v>
      </c>
      <c r="E16" s="72">
        <v>0.16</v>
      </c>
      <c r="F16" s="245">
        <f>VLOOKUP(B16,[2]Hoja1!$C$2:$E$279,3,FALSE)</f>
        <v>3841</v>
      </c>
      <c r="G16" s="270">
        <f t="shared" si="0"/>
        <v>0.82326073500000008</v>
      </c>
      <c r="H16" s="388">
        <v>3508.01</v>
      </c>
      <c r="I16" s="73">
        <f t="shared" si="1"/>
        <v>0.75188932335000014</v>
      </c>
      <c r="J16" s="536">
        <f>((F16/H16)*100)-100</f>
        <v>9.4922762477871885</v>
      </c>
      <c r="K16" s="489">
        <f t="shared" si="3"/>
        <v>3.9600000000000003E-4</v>
      </c>
    </row>
    <row r="17" spans="2:11" s="42" customFormat="1" ht="16.5" x14ac:dyDescent="0.25">
      <c r="B17" s="6">
        <v>121007</v>
      </c>
      <c r="C17" s="6" t="s">
        <v>821</v>
      </c>
      <c r="D17" s="70">
        <v>1.2375000000000001E-3</v>
      </c>
      <c r="E17" s="72">
        <v>0.5</v>
      </c>
      <c r="F17" s="245">
        <f>VLOOKUP(B17,[2]Hoja1!$C$2:$E$279,3,FALSE)</f>
        <v>16905</v>
      </c>
      <c r="G17" s="270">
        <f t="shared" si="0"/>
        <v>20.919937500000003</v>
      </c>
      <c r="H17" s="880">
        <v>16100</v>
      </c>
      <c r="I17" s="73">
        <f t="shared" si="1"/>
        <v>19.923750000000002</v>
      </c>
      <c r="J17" s="536">
        <f>((F17/H17)*100)-100</f>
        <v>5</v>
      </c>
      <c r="K17" s="489">
        <f t="shared" si="3"/>
        <v>1.2375000000000001E-3</v>
      </c>
    </row>
    <row r="18" spans="2:11" s="42" customFormat="1" ht="16.5" x14ac:dyDescent="0.25">
      <c r="B18" s="6">
        <v>1210003</v>
      </c>
      <c r="C18" s="6" t="s">
        <v>1143</v>
      </c>
      <c r="D18" s="70">
        <v>1.2375E-4</v>
      </c>
      <c r="E18" s="72">
        <v>0.05</v>
      </c>
      <c r="F18" s="245">
        <f>VLOOKUP(B18,[2]Hoja1!$C$2:$E$279,3,FALSE)</f>
        <v>16235.45</v>
      </c>
      <c r="G18" s="270">
        <f t="shared" si="0"/>
        <v>2.0091369375000001</v>
      </c>
      <c r="H18" s="914">
        <v>12852.58</v>
      </c>
      <c r="I18" s="73">
        <f t="shared" si="1"/>
        <v>1.5905067749999999</v>
      </c>
      <c r="J18" s="536">
        <f t="shared" si="2"/>
        <v>26.320551982559152</v>
      </c>
      <c r="K18" s="489">
        <f t="shared" si="3"/>
        <v>1.2375E-4</v>
      </c>
    </row>
    <row r="19" spans="2:11" s="42" customFormat="1" ht="16.5" x14ac:dyDescent="0.25">
      <c r="B19" s="6">
        <v>1240007</v>
      </c>
      <c r="C19" s="6" t="s">
        <v>1352</v>
      </c>
      <c r="D19" s="70">
        <v>9.8999999999999999E-4</v>
      </c>
      <c r="E19" s="72">
        <v>0.4</v>
      </c>
      <c r="F19" s="245">
        <f>VLOOKUP(B19,[2]Hoja1!$C$2:$E$279,3,FALSE)</f>
        <v>25921.42</v>
      </c>
      <c r="G19" s="270">
        <f t="shared" si="0"/>
        <v>25.662205799999999</v>
      </c>
      <c r="H19" s="866">
        <v>47900</v>
      </c>
      <c r="I19" s="73">
        <f t="shared" si="1"/>
        <v>47.420999999999999</v>
      </c>
      <c r="J19" s="536">
        <f t="shared" si="2"/>
        <v>-45.884300626304807</v>
      </c>
      <c r="K19" s="489">
        <f t="shared" si="3"/>
        <v>9.8999999999999999E-4</v>
      </c>
    </row>
    <row r="20" spans="2:11" s="42" customFormat="1" ht="16.5" x14ac:dyDescent="0.25">
      <c r="B20" s="6">
        <v>1230008</v>
      </c>
      <c r="C20" s="6" t="s">
        <v>1183</v>
      </c>
      <c r="D20" s="70">
        <v>1.8414E-3</v>
      </c>
      <c r="E20" s="72">
        <v>0.74399999999999999</v>
      </c>
      <c r="F20" s="245">
        <f>VLOOKUP(B20,[2]Hoja1!$C$2:$E$279,3,FALSE)</f>
        <v>26735</v>
      </c>
      <c r="G20" s="270">
        <f t="shared" si="0"/>
        <v>49.229829000000002</v>
      </c>
      <c r="H20" s="245">
        <v>25396</v>
      </c>
      <c r="I20" s="73">
        <f t="shared" si="1"/>
        <v>46.764194400000001</v>
      </c>
      <c r="J20" s="536">
        <f t="shared" si="2"/>
        <v>5.2724838557253122</v>
      </c>
      <c r="K20" s="489">
        <f t="shared" si="3"/>
        <v>1.8414E-3</v>
      </c>
    </row>
    <row r="21" spans="2:11" s="42" customFormat="1" ht="16.5" x14ac:dyDescent="0.25">
      <c r="B21" s="6">
        <v>1230010</v>
      </c>
      <c r="C21" s="6" t="s">
        <v>1164</v>
      </c>
      <c r="D21" s="70">
        <v>9.8999999999999999E-4</v>
      </c>
      <c r="E21" s="72">
        <v>0.4</v>
      </c>
      <c r="F21" s="245">
        <f>VLOOKUP(B21,[2]Hoja1!$C$2:$E$279,3,FALSE)</f>
        <v>53831</v>
      </c>
      <c r="G21" s="270">
        <f t="shared" si="0"/>
        <v>53.29269</v>
      </c>
      <c r="H21" s="880">
        <v>50310</v>
      </c>
      <c r="I21" s="73">
        <f t="shared" si="1"/>
        <v>49.806899999999999</v>
      </c>
      <c r="J21" s="536">
        <f t="shared" si="2"/>
        <v>6.9986086265156047</v>
      </c>
      <c r="K21" s="489">
        <f t="shared" si="3"/>
        <v>9.8999999999999999E-4</v>
      </c>
    </row>
    <row r="22" spans="2:11" s="42" customFormat="1" ht="16.5" x14ac:dyDescent="0.25">
      <c r="B22" s="6">
        <v>1220010</v>
      </c>
      <c r="C22" s="6" t="s">
        <v>1144</v>
      </c>
      <c r="D22" s="70">
        <v>1.2375000000000001E-3</v>
      </c>
      <c r="E22" s="72">
        <v>0.5</v>
      </c>
      <c r="F22" s="245">
        <f>VLOOKUP(B22,[2]Hoja1!$C$2:$E$279,3,FALSE)</f>
        <v>4744.72</v>
      </c>
      <c r="G22" s="270">
        <f t="shared" si="0"/>
        <v>5.8715910000000004</v>
      </c>
      <c r="H22" s="914">
        <v>9381</v>
      </c>
      <c r="I22" s="73">
        <f t="shared" si="1"/>
        <v>11.608987500000001</v>
      </c>
      <c r="J22" s="536">
        <f t="shared" si="2"/>
        <v>-49.42202323846071</v>
      </c>
      <c r="K22" s="489">
        <f t="shared" si="3"/>
        <v>1.2375000000000001E-3</v>
      </c>
    </row>
    <row r="23" spans="2:11" s="42" customFormat="1" ht="16.5" x14ac:dyDescent="0.25">
      <c r="B23" s="6">
        <v>1270009</v>
      </c>
      <c r="C23" s="30" t="s">
        <v>1225</v>
      </c>
      <c r="D23" s="70">
        <v>1.4849999999999998E-4</v>
      </c>
      <c r="E23" s="72">
        <v>0.06</v>
      </c>
      <c r="F23" s="245">
        <f>VLOOKUP(B23,[2]Hoja1!$C$2:$E$279,3,FALSE)</f>
        <v>57046.53</v>
      </c>
      <c r="G23" s="270">
        <f t="shared" si="0"/>
        <v>8.4714097049999992</v>
      </c>
      <c r="H23" s="178">
        <v>53849.37</v>
      </c>
      <c r="I23" s="73">
        <f t="shared" si="1"/>
        <v>7.9966314449999993</v>
      </c>
      <c r="J23" s="536">
        <f t="shared" si="2"/>
        <v>5.937228234982129</v>
      </c>
      <c r="K23" s="489">
        <f t="shared" si="3"/>
        <v>1.4849999999999998E-4</v>
      </c>
    </row>
    <row r="24" spans="2:11" s="42" customFormat="1" ht="16.5" x14ac:dyDescent="0.25">
      <c r="B24" s="6">
        <v>1260014</v>
      </c>
      <c r="C24" s="6" t="s">
        <v>825</v>
      </c>
      <c r="D24" s="70">
        <v>2.4750000000000002E-3</v>
      </c>
      <c r="E24" s="72">
        <v>1</v>
      </c>
      <c r="F24" s="245">
        <f>VLOOKUP(B24,[2]Hoja1!$C$2:$E$279,3,FALSE)</f>
        <v>28083.42</v>
      </c>
      <c r="G24" s="270">
        <f t="shared" si="0"/>
        <v>69.506464500000007</v>
      </c>
      <c r="H24" s="8">
        <v>40834.379999999997</v>
      </c>
      <c r="I24" s="73">
        <f t="shared" si="1"/>
        <v>101.0650905</v>
      </c>
      <c r="J24" s="536">
        <f t="shared" si="2"/>
        <v>-31.226040410066219</v>
      </c>
      <c r="K24" s="489">
        <f t="shared" si="3"/>
        <v>2.4750000000000002E-3</v>
      </c>
    </row>
    <row r="25" spans="2:11" s="42" customFormat="1" ht="16.5" x14ac:dyDescent="0.25">
      <c r="B25" s="6">
        <v>1260009</v>
      </c>
      <c r="C25" s="6" t="s">
        <v>1027</v>
      </c>
      <c r="D25" s="70">
        <v>7.1774999999999999E-3</v>
      </c>
      <c r="E25" s="72">
        <v>2.9</v>
      </c>
      <c r="F25" s="245">
        <f>VLOOKUP(B25,[2]Hoja1!$C$2:$E$279,3,FALSE)</f>
        <v>7033.69</v>
      </c>
      <c r="G25" s="270">
        <f t="shared" si="0"/>
        <v>50.484309974999995</v>
      </c>
      <c r="H25" s="153">
        <v>9565.2099999999991</v>
      </c>
      <c r="I25" s="73">
        <f t="shared" si="1"/>
        <v>68.654294774999997</v>
      </c>
      <c r="J25" s="536">
        <f t="shared" si="2"/>
        <v>-26.465911360022403</v>
      </c>
      <c r="K25" s="489">
        <f t="shared" si="3"/>
        <v>7.1774999999999999E-3</v>
      </c>
    </row>
    <row r="26" spans="2:11" s="42" customFormat="1" ht="16.5" x14ac:dyDescent="0.25">
      <c r="B26" s="6">
        <v>1260017</v>
      </c>
      <c r="C26" s="6" t="s">
        <v>832</v>
      </c>
      <c r="D26" s="70">
        <v>9.4050000000000002E-3</v>
      </c>
      <c r="E26" s="72">
        <v>3.8</v>
      </c>
      <c r="F26" s="245">
        <f>VLOOKUP(B26,[2]Hoja1!$C$2:$E$279,3,FALSE)</f>
        <v>4500</v>
      </c>
      <c r="G26" s="270">
        <f t="shared" si="0"/>
        <v>42.322499999999998</v>
      </c>
      <c r="H26" s="880">
        <v>4500</v>
      </c>
      <c r="I26" s="73">
        <f t="shared" si="1"/>
        <v>42.322499999999998</v>
      </c>
      <c r="J26" s="536">
        <f t="shared" si="2"/>
        <v>0</v>
      </c>
      <c r="K26" s="489">
        <f t="shared" si="3"/>
        <v>9.4050000000000002E-3</v>
      </c>
    </row>
    <row r="27" spans="2:11" s="42" customFormat="1" ht="16.5" x14ac:dyDescent="0.25">
      <c r="B27" s="6">
        <v>1260005</v>
      </c>
      <c r="C27" s="6" t="s">
        <v>811</v>
      </c>
      <c r="D27" s="70">
        <v>2.97E-3</v>
      </c>
      <c r="E27" s="72">
        <v>1.2</v>
      </c>
      <c r="F27" s="245">
        <f>VLOOKUP(B27,[2]Hoja1!$C$2:$E$279,3,FALSE)</f>
        <v>26429</v>
      </c>
      <c r="G27" s="270">
        <f t="shared" si="0"/>
        <v>78.494129999999998</v>
      </c>
      <c r="H27" s="880">
        <v>25850</v>
      </c>
      <c r="I27" s="73">
        <f t="shared" si="1"/>
        <v>76.774500000000003</v>
      </c>
      <c r="J27" s="536">
        <f t="shared" si="2"/>
        <v>2.2398452611218715</v>
      </c>
      <c r="K27" s="489">
        <f t="shared" si="3"/>
        <v>2.97E-3</v>
      </c>
    </row>
    <row r="28" spans="2:11" s="42" customFormat="1" ht="16.5" x14ac:dyDescent="0.25">
      <c r="B28" s="6">
        <v>1260022</v>
      </c>
      <c r="C28" s="6" t="s">
        <v>974</v>
      </c>
      <c r="D28" s="71">
        <v>2.4750000000000002E-3</v>
      </c>
      <c r="E28" s="72">
        <v>1</v>
      </c>
      <c r="F28" s="245">
        <f>VLOOKUP(B28,[2]Hoja1!$C$2:$E$279,3,FALSE)</f>
        <v>22988.01</v>
      </c>
      <c r="G28" s="270">
        <f t="shared" si="0"/>
        <v>56.89532475</v>
      </c>
      <c r="H28" s="896">
        <v>27066.49</v>
      </c>
      <c r="I28" s="73">
        <f t="shared" si="1"/>
        <v>66.989562750000005</v>
      </c>
      <c r="J28" s="536">
        <f t="shared" si="2"/>
        <v>-15.068374214757824</v>
      </c>
      <c r="K28" s="489">
        <f t="shared" si="3"/>
        <v>2.4750000000000002E-3</v>
      </c>
    </row>
    <row r="29" spans="2:11" s="42" customFormat="1" ht="16.5" x14ac:dyDescent="0.25">
      <c r="B29" s="6">
        <v>1260025</v>
      </c>
      <c r="C29" s="1555" t="s">
        <v>1280</v>
      </c>
      <c r="D29" s="71">
        <v>7.425E-4</v>
      </c>
      <c r="E29" s="72">
        <v>0.3</v>
      </c>
      <c r="F29" s="245">
        <f>VLOOKUP(B29,[2]Hoja1!$C$2:$E$279,3,FALSE)</f>
        <v>60648.01</v>
      </c>
      <c r="G29" s="270">
        <f t="shared" si="0"/>
        <v>45.031147425</v>
      </c>
      <c r="H29" s="1524"/>
      <c r="I29" s="73"/>
      <c r="J29" s="536"/>
      <c r="K29" s="489">
        <f t="shared" si="3"/>
        <v>7.425E-4</v>
      </c>
    </row>
    <row r="30" spans="2:11" s="42" customFormat="1" ht="16.5" x14ac:dyDescent="0.25">
      <c r="B30" s="1777"/>
      <c r="C30" s="1778"/>
      <c r="D30" s="1381">
        <f>SUM(D5:D28)</f>
        <v>0.24674908499999998</v>
      </c>
      <c r="E30" s="1382">
        <f>SUM(E5:E29)</f>
        <v>99.470000000000013</v>
      </c>
      <c r="F30" s="1354"/>
      <c r="G30" s="1459">
        <f>SUM(G5:G28)</f>
        <v>1558.5933905685006</v>
      </c>
      <c r="H30" s="1383"/>
      <c r="I30" s="1354">
        <f>SUM(I5:I28)</f>
        <v>1814.1200751613501</v>
      </c>
      <c r="J30" s="1331">
        <f>((G30/I30)*100)-100</f>
        <v>-14.085433929731622</v>
      </c>
      <c r="K30" s="1337"/>
    </row>
    <row r="32" spans="2:11" ht="25.5" x14ac:dyDescent="0.35">
      <c r="B32" s="1760" t="s">
        <v>50</v>
      </c>
      <c r="C32" s="1754"/>
      <c r="D32" s="38">
        <f>+C35+(C35*C41%)</f>
        <v>247.5</v>
      </c>
      <c r="E32" s="91"/>
      <c r="F32" s="186"/>
      <c r="G32" s="91"/>
      <c r="H32" s="91"/>
      <c r="I32" s="91"/>
    </row>
    <row r="33" spans="2:11" x14ac:dyDescent="0.25">
      <c r="B33" s="1264" t="s">
        <v>38</v>
      </c>
      <c r="C33" s="93" t="s">
        <v>113</v>
      </c>
      <c r="D33" s="38"/>
      <c r="H33" s="38"/>
    </row>
    <row r="34" spans="2:11" x14ac:dyDescent="0.25">
      <c r="B34" s="1265" t="s">
        <v>39</v>
      </c>
      <c r="C34" s="21" t="s">
        <v>989</v>
      </c>
      <c r="D34" s="38"/>
      <c r="H34" s="38"/>
    </row>
    <row r="35" spans="2:11" x14ac:dyDescent="0.25">
      <c r="B35" s="1265" t="s">
        <v>40</v>
      </c>
      <c r="C35" s="21">
        <v>225</v>
      </c>
      <c r="D35" s="38"/>
      <c r="H35" s="38"/>
    </row>
    <row r="36" spans="2:11" x14ac:dyDescent="0.25">
      <c r="B36" s="1265" t="s">
        <v>41</v>
      </c>
      <c r="C36" s="21">
        <v>0</v>
      </c>
      <c r="D36" s="38"/>
      <c r="H36" s="38"/>
    </row>
    <row r="37" spans="2:11" x14ac:dyDescent="0.25">
      <c r="B37" s="1265" t="s">
        <v>42</v>
      </c>
      <c r="C37" s="21">
        <v>0.5</v>
      </c>
      <c r="D37" s="38"/>
      <c r="H37" s="38"/>
    </row>
    <row r="38" spans="2:11" x14ac:dyDescent="0.25">
      <c r="B38" s="1265" t="s">
        <v>43</v>
      </c>
      <c r="C38" s="21">
        <v>0.5</v>
      </c>
      <c r="D38" s="38"/>
      <c r="H38" s="38"/>
    </row>
    <row r="39" spans="2:11" x14ac:dyDescent="0.25">
      <c r="B39" s="1265" t="s">
        <v>44</v>
      </c>
      <c r="C39" s="21">
        <v>7</v>
      </c>
      <c r="D39" s="38"/>
      <c r="H39" s="38"/>
    </row>
    <row r="40" spans="2:11" x14ac:dyDescent="0.25">
      <c r="B40" s="1265" t="s">
        <v>45</v>
      </c>
      <c r="C40" s="21">
        <v>2</v>
      </c>
      <c r="D40" s="38"/>
      <c r="H40" s="38"/>
    </row>
    <row r="41" spans="2:11" x14ac:dyDescent="0.25">
      <c r="B41" s="1265" t="s">
        <v>46</v>
      </c>
      <c r="C41" s="21">
        <f>C40+C39+C38+C37</f>
        <v>10</v>
      </c>
      <c r="D41" s="38"/>
      <c r="H41" s="38"/>
    </row>
    <row r="43" spans="2:11" ht="25.5" x14ac:dyDescent="0.35">
      <c r="B43" s="1805" t="s">
        <v>47</v>
      </c>
      <c r="C43" s="1806"/>
      <c r="D43" s="1806"/>
      <c r="E43" s="1806"/>
      <c r="F43" s="1806"/>
      <c r="G43" s="1806"/>
      <c r="H43" s="1806"/>
      <c r="I43" s="1806"/>
      <c r="J43" s="146"/>
    </row>
    <row r="44" spans="2:11" s="120" customFormat="1" ht="25.5" x14ac:dyDescent="0.25">
      <c r="B44" s="1460" t="s">
        <v>0</v>
      </c>
      <c r="C44" s="1460" t="s">
        <v>1</v>
      </c>
      <c r="D44" s="1461" t="s">
        <v>2</v>
      </c>
      <c r="E44" s="1243" t="str">
        <f>+'CIF Y PV'!$F$4</f>
        <v xml:space="preserve">JUN-COP/UMB </v>
      </c>
      <c r="F44" s="1243" t="str">
        <f>+'CIF Y PV'!$G$4</f>
        <v>JUN-COP/APP</v>
      </c>
      <c r="G44" s="1243" t="str">
        <f>+'CIF Y PV'!$H$4</f>
        <v xml:space="preserve">MAY-COP/UMB </v>
      </c>
      <c r="H44" s="1243" t="str">
        <f>+'CIF Y PV'!$I$4</f>
        <v>MAY-COP/APP</v>
      </c>
      <c r="I44" s="1462" t="s">
        <v>3</v>
      </c>
      <c r="J44" s="146">
        <v>3285</v>
      </c>
      <c r="K44" s="176"/>
    </row>
    <row r="45" spans="2:11" x14ac:dyDescent="0.25">
      <c r="B45" s="610">
        <v>1370001</v>
      </c>
      <c r="C45" s="610" t="s">
        <v>1062</v>
      </c>
      <c r="D45" s="611">
        <v>2.4289999999999999E-2</v>
      </c>
      <c r="E45" s="1237">
        <f>VLOOKUP(B45,[2]Hoja1!$C$2:$E$279,3,FALSE)</f>
        <v>3858.27</v>
      </c>
      <c r="F45" s="123">
        <f t="shared" ref="F45:F50" si="4">E45*D45</f>
        <v>93.717378299999993</v>
      </c>
      <c r="G45" s="24">
        <v>4385.63</v>
      </c>
      <c r="H45" s="613">
        <f>G45*D45</f>
        <v>106.5269527</v>
      </c>
      <c r="I45" s="674">
        <f>((E45/G45)*100)-100</f>
        <v>-12.024726208093256</v>
      </c>
      <c r="J45" s="38">
        <f>J44*D45</f>
        <v>79.792649999999995</v>
      </c>
    </row>
    <row r="46" spans="2:11" x14ac:dyDescent="0.25">
      <c r="B46" s="610">
        <v>1380002</v>
      </c>
      <c r="C46" s="610" t="s">
        <v>1051</v>
      </c>
      <c r="D46" s="611">
        <v>4.8000000000000001E-2</v>
      </c>
      <c r="E46" s="1237">
        <f>VLOOKUP(B46,[2]Hoja1!$C$2:$E$279,3,FALSE)</f>
        <v>73.33</v>
      </c>
      <c r="F46" s="123">
        <f t="shared" si="4"/>
        <v>3.5198399999999999</v>
      </c>
      <c r="G46" s="24">
        <v>76.61</v>
      </c>
      <c r="H46" s="613">
        <f t="shared" ref="H46:H50" si="5">G46*D46</f>
        <v>3.6772800000000001</v>
      </c>
      <c r="I46" s="674">
        <f>((E46/G46)*100)-100</f>
        <v>-4.281425401383629</v>
      </c>
      <c r="J46" s="38">
        <f>J44*D46</f>
        <v>157.68</v>
      </c>
    </row>
    <row r="47" spans="2:11" ht="15" x14ac:dyDescent="0.25">
      <c r="B47" s="610">
        <v>1310017</v>
      </c>
      <c r="C47" s="1142" t="s">
        <v>1224</v>
      </c>
      <c r="D47" s="611">
        <v>4.7E-2</v>
      </c>
      <c r="E47" s="1237">
        <f>VLOOKUP(B47,[2]Hoja1!$C$2:$E$279,3,FALSE)</f>
        <v>698.26</v>
      </c>
      <c r="F47" s="123">
        <f t="shared" si="4"/>
        <v>32.818219999999997</v>
      </c>
      <c r="G47" s="24">
        <v>771.15</v>
      </c>
      <c r="H47" s="613">
        <f t="shared" si="5"/>
        <v>36.244050000000001</v>
      </c>
      <c r="I47" s="674">
        <f>((E47/G47)*100)-100</f>
        <v>-9.4521169681644324</v>
      </c>
      <c r="J47" s="38">
        <f>J44*D47</f>
        <v>154.39500000000001</v>
      </c>
    </row>
    <row r="48" spans="2:11" ht="15" x14ac:dyDescent="0.25">
      <c r="B48" s="610">
        <v>1330044</v>
      </c>
      <c r="C48" s="1142" t="s">
        <v>1227</v>
      </c>
      <c r="D48" s="611">
        <v>1</v>
      </c>
      <c r="E48" s="1237">
        <f>VLOOKUP(B48,[2]Hoja1!$C$2:$E$279,3,FALSE)</f>
        <v>152.6</v>
      </c>
      <c r="F48" s="123">
        <f t="shared" si="4"/>
        <v>152.6</v>
      </c>
      <c r="G48" s="115">
        <v>144.44999999999999</v>
      </c>
      <c r="H48" s="613"/>
      <c r="I48" s="674"/>
      <c r="J48" s="38"/>
    </row>
    <row r="49" spans="2:11" ht="15" x14ac:dyDescent="0.25">
      <c r="B49" s="610">
        <v>1330054</v>
      </c>
      <c r="C49" s="1142" t="s">
        <v>990</v>
      </c>
      <c r="D49" s="611">
        <v>1</v>
      </c>
      <c r="E49" s="1237">
        <f>VLOOKUP(B49,[2]Hoja1!$C$2:$E$279,3,FALSE)</f>
        <v>87.83</v>
      </c>
      <c r="F49" s="123">
        <f t="shared" si="4"/>
        <v>87.83</v>
      </c>
      <c r="G49" s="123">
        <v>82.36</v>
      </c>
      <c r="H49" s="613">
        <f t="shared" si="5"/>
        <v>82.36</v>
      </c>
      <c r="I49" s="674">
        <f>((E49/G49)*100)-100</f>
        <v>6.6415735794074635</v>
      </c>
      <c r="J49" s="38">
        <f>J44*D49</f>
        <v>3285</v>
      </c>
    </row>
    <row r="50" spans="2:11" x14ac:dyDescent="0.25">
      <c r="B50" s="610">
        <v>1320005</v>
      </c>
      <c r="C50" s="226" t="s">
        <v>1145</v>
      </c>
      <c r="D50" s="611">
        <v>4.7E-2</v>
      </c>
      <c r="E50" s="1237">
        <f>VLOOKUP(B50,[2]Hoja1!$C$2:$E$279,3,FALSE)</f>
        <v>740.21</v>
      </c>
      <c r="F50" s="123">
        <f t="shared" si="4"/>
        <v>34.789870000000001</v>
      </c>
      <c r="G50" s="24">
        <v>828.94</v>
      </c>
      <c r="H50" s="613">
        <f t="shared" si="5"/>
        <v>38.960180000000001</v>
      </c>
      <c r="I50" s="674">
        <f>((E50/G50)*100)-100</f>
        <v>-10.704031654884545</v>
      </c>
      <c r="J50" s="38">
        <f>J44*D50</f>
        <v>154.39500000000001</v>
      </c>
    </row>
    <row r="51" spans="2:11" x14ac:dyDescent="0.25">
      <c r="B51" s="1463"/>
      <c r="C51" s="1463" t="s">
        <v>37</v>
      </c>
      <c r="D51" s="1464"/>
      <c r="E51" s="1465"/>
      <c r="F51" s="1466">
        <f>SUM(F45:F50)</f>
        <v>405.27530830000001</v>
      </c>
      <c r="G51" s="1466"/>
      <c r="H51" s="1466">
        <f>SUM(H45:H50)</f>
        <v>267.76846269999999</v>
      </c>
      <c r="I51" s="1467">
        <f>((F51/H51)*100)-100</f>
        <v>51.352890558309952</v>
      </c>
    </row>
    <row r="52" spans="2:11" x14ac:dyDescent="0.25">
      <c r="H52" s="1" t="str">
        <f>+'CIF Y PV'!$G$1</f>
        <v>MAYO</v>
      </c>
      <c r="I52" s="873"/>
      <c r="K52" s="873"/>
    </row>
    <row r="53" spans="2:11" x14ac:dyDescent="0.25">
      <c r="B53" s="1750" t="s">
        <v>72</v>
      </c>
      <c r="C53" s="1750"/>
      <c r="E53" s="881"/>
      <c r="F53" s="881"/>
      <c r="G53" s="881"/>
      <c r="H53" s="881">
        <f>+G30+F51</f>
        <v>1963.8686988685006</v>
      </c>
      <c r="I53" s="181"/>
      <c r="J53" s="881"/>
      <c r="K53" s="181"/>
    </row>
    <row r="54" spans="2:11" x14ac:dyDescent="0.25">
      <c r="B54" s="1758" t="s">
        <v>48</v>
      </c>
      <c r="C54" s="1759"/>
      <c r="E54" s="881"/>
      <c r="F54" s="881"/>
      <c r="G54" s="881"/>
      <c r="H54" s="881">
        <f>+('CIF Y PV'!C3/1000)*225</f>
        <v>425.25</v>
      </c>
      <c r="I54" s="182"/>
      <c r="J54" s="881"/>
      <c r="K54" s="182"/>
    </row>
    <row r="55" spans="2:11" x14ac:dyDescent="0.25">
      <c r="B55" s="1758" t="s">
        <v>953</v>
      </c>
      <c r="C55" s="1759"/>
      <c r="E55" s="881"/>
      <c r="F55" s="881"/>
      <c r="G55" s="881"/>
      <c r="H55" s="881">
        <f>+H54+H53</f>
        <v>2389.1186988685004</v>
      </c>
      <c r="I55" s="152"/>
      <c r="J55" s="881"/>
      <c r="K55" s="152"/>
    </row>
    <row r="56" spans="2:11" x14ac:dyDescent="0.25">
      <c r="B56" s="1750" t="s">
        <v>49</v>
      </c>
      <c r="C56" s="1750"/>
      <c r="E56" s="881"/>
      <c r="F56" s="881"/>
      <c r="G56" s="881"/>
      <c r="H56" s="881">
        <f>'CIF Y PV'!C39</f>
        <v>5698.8252000000002</v>
      </c>
      <c r="I56" s="1">
        <v>6</v>
      </c>
      <c r="J56" s="881"/>
      <c r="K56" s="339"/>
    </row>
    <row r="57" spans="2:11" x14ac:dyDescent="0.25">
      <c r="B57" s="1750" t="s">
        <v>805</v>
      </c>
      <c r="C57" s="1750"/>
      <c r="E57" s="881"/>
      <c r="F57" s="881"/>
      <c r="G57" s="881"/>
      <c r="H57" s="928">
        <f>+(H56-H55)/H56</f>
        <v>0.58076996310248286</v>
      </c>
      <c r="I57" s="137"/>
      <c r="J57" s="38"/>
      <c r="K57" s="137"/>
    </row>
  </sheetData>
  <mergeCells count="9">
    <mergeCell ref="B55:C55"/>
    <mergeCell ref="B56:C56"/>
    <mergeCell ref="B57:C57"/>
    <mergeCell ref="B2:I2"/>
    <mergeCell ref="B30:C30"/>
    <mergeCell ref="B32:C32"/>
    <mergeCell ref="B43:I43"/>
    <mergeCell ref="B53:C53"/>
    <mergeCell ref="B54:C54"/>
  </mergeCells>
  <pageMargins left="0.7" right="0.7" top="0.75" bottom="0.75" header="0.3" footer="0.3"/>
  <pageSetup scale="3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F1B0-D126-41AE-BA70-B9949C7DE622}">
  <sheetPr codeName="Hoja118"/>
  <dimension ref="B2:M44"/>
  <sheetViews>
    <sheetView view="pageBreakPreview" topLeftCell="A25" zoomScaleNormal="100" zoomScaleSheetLayoutView="100" workbookViewId="0">
      <selection activeCell="D40" sqref="D40:F40"/>
    </sheetView>
  </sheetViews>
  <sheetFormatPr baseColWidth="10" defaultColWidth="11.5703125" defaultRowHeight="13.5" x14ac:dyDescent="0.25"/>
  <cols>
    <col min="1" max="1" width="15.5703125" style="1" customWidth="1"/>
    <col min="2" max="2" width="11.5703125" style="1"/>
    <col min="3" max="3" width="67.42578125" style="1" bestFit="1" customWidth="1"/>
    <col min="4" max="4" width="11.5703125" style="1" customWidth="1"/>
    <col min="5" max="5" width="12.140625" style="1" customWidth="1"/>
    <col min="6" max="7" width="12.5703125" style="1" customWidth="1"/>
    <col min="8" max="8" width="11.28515625" style="1" bestFit="1" customWidth="1"/>
    <col min="9" max="9" width="10.7109375" style="1" customWidth="1"/>
    <col min="10" max="10" width="12" style="38" customWidth="1"/>
    <col min="11" max="11" width="12.5703125" style="1" bestFit="1" customWidth="1"/>
    <col min="12" max="12" width="16.140625" style="1" customWidth="1"/>
    <col min="13" max="13" width="13.85546875" style="1" bestFit="1" customWidth="1"/>
    <col min="14" max="16384" width="11.5703125" style="1"/>
  </cols>
  <sheetData>
    <row r="2" spans="2:13" ht="25.5" x14ac:dyDescent="0.35">
      <c r="B2" s="1751" t="s">
        <v>994</v>
      </c>
      <c r="C2" s="1751"/>
      <c r="D2" s="1751"/>
      <c r="E2" s="1751"/>
      <c r="F2" s="1751"/>
      <c r="G2" s="1751"/>
      <c r="H2" s="1751"/>
      <c r="I2" s="1751"/>
      <c r="J2" s="1751"/>
    </row>
    <row r="3" spans="2:13" ht="14.25" x14ac:dyDescent="0.25">
      <c r="K3" s="47" t="s">
        <v>973</v>
      </c>
      <c r="L3" s="47" t="s">
        <v>967</v>
      </c>
    </row>
    <row r="4" spans="2:13" s="120" customFormat="1" ht="38.450000000000003" customHeight="1" x14ac:dyDescent="0.25">
      <c r="B4" s="1242" t="s">
        <v>0</v>
      </c>
      <c r="C4" s="1242" t="s">
        <v>1</v>
      </c>
      <c r="D4" s="1242" t="s">
        <v>2</v>
      </c>
      <c r="E4" s="1242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4" t="s">
        <v>3</v>
      </c>
      <c r="K4" s="1261">
        <f>+D21/1000</f>
        <v>0.232875</v>
      </c>
      <c r="L4" s="1261">
        <v>2011.05</v>
      </c>
    </row>
    <row r="5" spans="2:13" ht="16.5" x14ac:dyDescent="0.3">
      <c r="B5" s="6">
        <v>1112001</v>
      </c>
      <c r="C5" s="74" t="s">
        <v>797</v>
      </c>
      <c r="D5" s="1001">
        <v>8.6582925000000005E-2</v>
      </c>
      <c r="E5" s="1185">
        <v>35.01</v>
      </c>
      <c r="F5" s="982">
        <f>VLOOKUP(B5,[2]Hoja1!$C$2:$E$279,3,FALSE)</f>
        <v>3663.96</v>
      </c>
      <c r="G5" s="1186">
        <f>F5*D5</f>
        <v>317.236373883</v>
      </c>
      <c r="H5" s="982">
        <v>4222.72</v>
      </c>
      <c r="I5" s="585">
        <f>H5*D5</f>
        <v>365.61544905600005</v>
      </c>
      <c r="J5" s="566">
        <f>((F5/H5)*100)-100</f>
        <v>-13.232229463473786</v>
      </c>
      <c r="K5" s="100">
        <f>$K$4*E5%</f>
        <v>8.1529537499999985E-2</v>
      </c>
      <c r="L5" s="38">
        <f>$L$4*E5%</f>
        <v>704.06860499999993</v>
      </c>
      <c r="M5" s="372">
        <f>L5*F5</f>
        <v>2579679.2059757998</v>
      </c>
    </row>
    <row r="6" spans="2:13" ht="16.5" x14ac:dyDescent="0.3">
      <c r="B6" s="6">
        <v>1121009</v>
      </c>
      <c r="C6" s="74" t="s">
        <v>1272</v>
      </c>
      <c r="D6" s="532">
        <v>1.7465624999999999E-2</v>
      </c>
      <c r="E6" s="1185">
        <v>4.38</v>
      </c>
      <c r="F6" s="982">
        <f>VLOOKUP(B6,[2]Hoja1!$C$2:$E$279,3,FALSE)</f>
        <v>8741.6200000000008</v>
      </c>
      <c r="G6" s="1186">
        <f t="shared" ref="G6:G18" si="0">F6*D6</f>
        <v>152.67785681250001</v>
      </c>
      <c r="H6" s="982">
        <v>2033.73</v>
      </c>
      <c r="I6" s="585">
        <f t="shared" ref="I6:I18" si="1">H6*D6</f>
        <v>35.52036553125</v>
      </c>
      <c r="J6" s="560">
        <f t="shared" ref="J6:J17" si="2">((F6/H6)*100)-100</f>
        <v>329.83188525517153</v>
      </c>
      <c r="K6" s="100">
        <f t="shared" ref="K6:K18" si="3">$K$4*E6%</f>
        <v>1.0199925E-2</v>
      </c>
      <c r="L6" s="38">
        <f t="shared" ref="L6:L18" si="4">$L$4*E6%</f>
        <v>88.08399</v>
      </c>
      <c r="M6" s="1468">
        <f t="shared" ref="M6:M18" si="5">L6*F6</f>
        <v>769996.76866380009</v>
      </c>
    </row>
    <row r="7" spans="2:13" ht="16.5" x14ac:dyDescent="0.3">
      <c r="B7" s="6">
        <v>1122007</v>
      </c>
      <c r="C7" s="74" t="s">
        <v>1067</v>
      </c>
      <c r="D7" s="532">
        <v>1.02465E-2</v>
      </c>
      <c r="E7" s="1185">
        <v>8.01</v>
      </c>
      <c r="F7" s="982">
        <f>VLOOKUP(B7,[2]Hoja1!$C$2:$E$279,3,FALSE)</f>
        <v>11229.33</v>
      </c>
      <c r="G7" s="1186"/>
      <c r="H7" s="1643"/>
      <c r="I7" s="585"/>
      <c r="J7" s="560"/>
      <c r="K7" s="100">
        <f t="shared" si="3"/>
        <v>1.8653287500000001E-2</v>
      </c>
      <c r="L7" s="38"/>
      <c r="M7" s="1468"/>
    </row>
    <row r="8" spans="2:13" ht="16.5" x14ac:dyDescent="0.3">
      <c r="B8" s="6">
        <v>2906001</v>
      </c>
      <c r="C8" s="74" t="s">
        <v>831</v>
      </c>
      <c r="D8" s="532">
        <v>6.194475E-2</v>
      </c>
      <c r="E8" s="1185">
        <v>9.5</v>
      </c>
      <c r="F8" s="982">
        <f>VLOOKUP(B8,[2]Hoja1!$C$2:$E$279,3,FALSE)</f>
        <v>1956.71</v>
      </c>
      <c r="G8" s="1186">
        <f t="shared" si="0"/>
        <v>121.2079117725</v>
      </c>
      <c r="H8" s="88">
        <v>0</v>
      </c>
      <c r="I8" s="585">
        <f t="shared" si="1"/>
        <v>0</v>
      </c>
      <c r="J8" s="560" t="e">
        <f t="shared" si="2"/>
        <v>#DIV/0!</v>
      </c>
      <c r="K8" s="100">
        <f t="shared" si="3"/>
        <v>2.2123125E-2</v>
      </c>
      <c r="L8" s="38">
        <f t="shared" si="4"/>
        <v>191.04974999999999</v>
      </c>
      <c r="M8" s="1468">
        <f t="shared" si="5"/>
        <v>373828.95632249996</v>
      </c>
    </row>
    <row r="9" spans="2:13" ht="16.5" x14ac:dyDescent="0.3">
      <c r="B9" s="6">
        <v>1131002</v>
      </c>
      <c r="C9" s="74" t="s">
        <v>663</v>
      </c>
      <c r="D9" s="532">
        <v>3.0972375000000003E-3</v>
      </c>
      <c r="E9" s="1185">
        <v>27.26</v>
      </c>
      <c r="F9" s="982">
        <f>VLOOKUP(B9,[2]Hoja1!$C$2:$E$279,3,FALSE)</f>
        <v>0</v>
      </c>
      <c r="G9" s="1186">
        <f t="shared" si="0"/>
        <v>0</v>
      </c>
      <c r="H9" s="965">
        <v>8910.1</v>
      </c>
      <c r="I9" s="585">
        <f t="shared" si="1"/>
        <v>27.596695848750002</v>
      </c>
      <c r="J9" s="560">
        <f t="shared" si="2"/>
        <v>-100</v>
      </c>
      <c r="K9" s="100">
        <f t="shared" si="3"/>
        <v>6.3481725000000003E-2</v>
      </c>
      <c r="L9" s="38">
        <f t="shared" si="4"/>
        <v>548.21222999999998</v>
      </c>
      <c r="M9" s="1468">
        <f t="shared" si="5"/>
        <v>0</v>
      </c>
    </row>
    <row r="10" spans="2:13" ht="16.5" x14ac:dyDescent="0.3">
      <c r="B10" s="6">
        <v>1210006</v>
      </c>
      <c r="C10" s="74" t="s">
        <v>1130</v>
      </c>
      <c r="D10" s="532">
        <v>1.863E-4</v>
      </c>
      <c r="E10" s="1185">
        <v>1.32</v>
      </c>
      <c r="F10" s="982">
        <f>VLOOKUP(B10,[2]Hoja1!$C$2:$E$279,3,FALSE)</f>
        <v>8904.4500000000007</v>
      </c>
      <c r="G10" s="1186">
        <f t="shared" si="0"/>
        <v>1.6588990350000001</v>
      </c>
      <c r="H10" s="965">
        <v>3508.01</v>
      </c>
      <c r="I10" s="585">
        <f t="shared" si="1"/>
        <v>0.65354226300000007</v>
      </c>
      <c r="J10" s="560">
        <f>((F10/H10)*100)-100</f>
        <v>153.8319446067714</v>
      </c>
      <c r="K10" s="100">
        <f t="shared" si="3"/>
        <v>3.0739499999999998E-3</v>
      </c>
      <c r="L10" s="38">
        <f t="shared" si="4"/>
        <v>26.545859999999998</v>
      </c>
      <c r="M10" s="1468">
        <f t="shared" si="5"/>
        <v>236376.283077</v>
      </c>
    </row>
    <row r="11" spans="2:13" ht="16.5" x14ac:dyDescent="0.3">
      <c r="B11" s="6">
        <v>1210004</v>
      </c>
      <c r="C11" s="74" t="s">
        <v>1131</v>
      </c>
      <c r="D11" s="532">
        <v>1.1579771761020363E-4</v>
      </c>
      <c r="E11" s="1185">
        <v>0.16</v>
      </c>
      <c r="F11" s="982">
        <f>VLOOKUP(B11,[2]Hoja1!$C$2:$E$279,3,FALSE)</f>
        <v>3841</v>
      </c>
      <c r="G11" s="1186">
        <f t="shared" si="0"/>
        <v>0.44477903334079216</v>
      </c>
      <c r="H11" s="964">
        <v>12858.08</v>
      </c>
      <c r="I11" s="585">
        <f t="shared" si="1"/>
        <v>1.4889363168494072</v>
      </c>
      <c r="J11" s="560">
        <f t="shared" si="2"/>
        <v>-70.127732911912204</v>
      </c>
      <c r="K11" s="100">
        <f t="shared" si="3"/>
        <v>3.726E-4</v>
      </c>
      <c r="L11" s="38">
        <f t="shared" si="4"/>
        <v>3.2176800000000001</v>
      </c>
      <c r="M11" s="1468">
        <f t="shared" si="5"/>
        <v>12359.10888</v>
      </c>
    </row>
    <row r="12" spans="2:13" ht="16.5" x14ac:dyDescent="0.3">
      <c r="B12" s="6">
        <v>121007</v>
      </c>
      <c r="C12" s="74" t="s">
        <v>821</v>
      </c>
      <c r="D12" s="532">
        <v>3.2562318191989262E-3</v>
      </c>
      <c r="E12" s="1185">
        <v>4.9725267894880784E-2</v>
      </c>
      <c r="F12" s="982">
        <f>VLOOKUP(B12,[2]Hoja1!$C$2:$E$279,3,FALSE)</f>
        <v>16905</v>
      </c>
      <c r="G12" s="1186">
        <f t="shared" si="0"/>
        <v>55.04659890355785</v>
      </c>
      <c r="H12" s="964">
        <v>19145.990000000002</v>
      </c>
      <c r="I12" s="585">
        <f t="shared" si="1"/>
        <v>62.343781848064452</v>
      </c>
      <c r="J12" s="560">
        <f t="shared" si="2"/>
        <v>-11.704748618379099</v>
      </c>
      <c r="K12" s="100">
        <f t="shared" si="3"/>
        <v>1.1579771761020363E-4</v>
      </c>
      <c r="L12" s="38">
        <f t="shared" si="4"/>
        <v>1</v>
      </c>
      <c r="M12" s="1468">
        <f t="shared" si="5"/>
        <v>16905</v>
      </c>
    </row>
    <row r="13" spans="2:13" ht="16.5" x14ac:dyDescent="0.3">
      <c r="B13" s="6">
        <v>1230003</v>
      </c>
      <c r="C13" s="74" t="s">
        <v>1132</v>
      </c>
      <c r="D13" s="532">
        <v>1.1579771761020363E-4</v>
      </c>
      <c r="E13" s="1185">
        <v>1.3982745332040478</v>
      </c>
      <c r="F13" s="982">
        <f>VLOOKUP(B13,[2]Hoja1!$C$2:$E$279,3,FALSE)</f>
        <v>20099.990000000002</v>
      </c>
      <c r="G13" s="1186">
        <f t="shared" si="0"/>
        <v>2.3275329659879169</v>
      </c>
      <c r="H13" s="88">
        <v>20299</v>
      </c>
      <c r="I13" s="585">
        <f t="shared" si="1"/>
        <v>2.3505778697695234</v>
      </c>
      <c r="J13" s="560">
        <f>((F13/H13)*100)-100</f>
        <v>-0.98039312281392199</v>
      </c>
      <c r="K13" s="100">
        <f t="shared" si="3"/>
        <v>3.2562318191989262E-3</v>
      </c>
      <c r="L13" s="38">
        <f t="shared" si="4"/>
        <v>28.12</v>
      </c>
      <c r="M13" s="1468">
        <f t="shared" si="5"/>
        <v>565211.71880000003</v>
      </c>
    </row>
    <row r="14" spans="2:13" ht="16.5" x14ac:dyDescent="0.3">
      <c r="B14" s="6">
        <v>1220009</v>
      </c>
      <c r="C14" s="74" t="s">
        <v>1133</v>
      </c>
      <c r="D14" s="532">
        <v>1.1579771761020363E-4</v>
      </c>
      <c r="E14" s="1185">
        <v>4.9725267894880784E-2</v>
      </c>
      <c r="F14" s="982">
        <f>VLOOKUP(B14,[2]Hoja1!$C$2:$E$279,3,FALSE)</f>
        <v>21312.16</v>
      </c>
      <c r="G14" s="1186">
        <f t="shared" si="0"/>
        <v>2.4678994853434775</v>
      </c>
      <c r="H14" s="88">
        <v>17430</v>
      </c>
      <c r="I14" s="585">
        <f t="shared" si="1"/>
        <v>2.0183542179458493</v>
      </c>
      <c r="J14" s="560">
        <f t="shared" si="2"/>
        <v>22.272862880091807</v>
      </c>
      <c r="K14" s="100">
        <f t="shared" si="3"/>
        <v>1.1579771761020363E-4</v>
      </c>
      <c r="L14" s="38">
        <f t="shared" si="4"/>
        <v>1</v>
      </c>
      <c r="M14" s="1468">
        <f t="shared" si="5"/>
        <v>21312.16</v>
      </c>
    </row>
    <row r="15" spans="2:13" ht="16.5" x14ac:dyDescent="0.3">
      <c r="B15" s="6">
        <v>1220005</v>
      </c>
      <c r="C15" s="74" t="s">
        <v>1135</v>
      </c>
      <c r="D15" s="532">
        <v>9.2638174088162904E-3</v>
      </c>
      <c r="E15" s="1185">
        <v>4.9725267894880784E-2</v>
      </c>
      <c r="F15" s="982">
        <f>VLOOKUP(B15,[2]Hoja1!$C$2:$E$279,3,FALSE)</f>
        <v>17429.990000000002</v>
      </c>
      <c r="G15" s="1186">
        <f t="shared" si="0"/>
        <v>161.46824479749387</v>
      </c>
      <c r="H15" s="964">
        <v>9565.2099999999991</v>
      </c>
      <c r="I15" s="585">
        <f t="shared" si="1"/>
        <v>88.610358916983657</v>
      </c>
      <c r="J15" s="560">
        <f t="shared" si="2"/>
        <v>82.222763535771861</v>
      </c>
      <c r="K15" s="100">
        <f t="shared" si="3"/>
        <v>1.1579771761020363E-4</v>
      </c>
      <c r="L15" s="38">
        <f t="shared" si="4"/>
        <v>1</v>
      </c>
      <c r="M15" s="1468">
        <f t="shared" si="5"/>
        <v>17429.990000000002</v>
      </c>
    </row>
    <row r="16" spans="2:13" ht="16.5" x14ac:dyDescent="0.3">
      <c r="B16" s="6">
        <v>1260009</v>
      </c>
      <c r="C16" s="74" t="s">
        <v>1027</v>
      </c>
      <c r="D16" s="532">
        <v>2.0376562499999997E-2</v>
      </c>
      <c r="E16" s="1185">
        <v>3.978021431590463</v>
      </c>
      <c r="F16" s="982">
        <f>VLOOKUP(B16,[2]Hoja1!$C$2:$E$279,3,FALSE)</f>
        <v>7033.69</v>
      </c>
      <c r="G16" s="1186">
        <f t="shared" si="0"/>
        <v>143.32242389062498</v>
      </c>
      <c r="H16" s="88">
        <v>4500</v>
      </c>
      <c r="I16" s="585">
        <f t="shared" si="1"/>
        <v>91.694531249999983</v>
      </c>
      <c r="J16" s="560">
        <f t="shared" si="2"/>
        <v>56.304222222222222</v>
      </c>
      <c r="K16" s="100">
        <f t="shared" si="3"/>
        <v>9.2638174088162904E-3</v>
      </c>
      <c r="L16" s="38">
        <f t="shared" si="4"/>
        <v>80</v>
      </c>
      <c r="M16" s="1468">
        <f t="shared" si="5"/>
        <v>562695.19999999995</v>
      </c>
    </row>
    <row r="17" spans="2:13" ht="16.5" x14ac:dyDescent="0.3">
      <c r="B17" s="6">
        <v>1260011</v>
      </c>
      <c r="C17" s="74" t="s">
        <v>739</v>
      </c>
      <c r="D17" s="532">
        <v>1.8875027970463192E-2</v>
      </c>
      <c r="E17" s="1185">
        <v>8.75</v>
      </c>
      <c r="F17" s="982">
        <f>VLOOKUP(B17,[2]Hoja1!$C$2:$E$279,3,FALSE)</f>
        <v>4450.01</v>
      </c>
      <c r="G17" s="1186">
        <f t="shared" si="0"/>
        <v>83.994063218840907</v>
      </c>
      <c r="H17" s="982">
        <v>12498.76</v>
      </c>
      <c r="I17" s="585">
        <f t="shared" si="1"/>
        <v>235.91444459610653</v>
      </c>
      <c r="J17" s="560">
        <f t="shared" si="2"/>
        <v>-64.396388121701676</v>
      </c>
      <c r="K17" s="100">
        <f t="shared" si="3"/>
        <v>2.0376562499999997E-2</v>
      </c>
      <c r="L17" s="38">
        <f t="shared" si="4"/>
        <v>175.96687499999999</v>
      </c>
      <c r="M17" s="1468">
        <f t="shared" si="5"/>
        <v>783054.35341874999</v>
      </c>
    </row>
    <row r="18" spans="2:13" ht="16.5" x14ac:dyDescent="0.3">
      <c r="B18" s="6">
        <v>1270009</v>
      </c>
      <c r="C18" s="74" t="s">
        <v>1225</v>
      </c>
      <c r="D18" s="532">
        <v>2.200156634593869E-4</v>
      </c>
      <c r="E18" s="1185">
        <v>9.4478009000273491E-2</v>
      </c>
      <c r="F18" s="982">
        <f>VLOOKUP(B18,[2]Hoja1!$C$2:$E$279,3,FALSE)</f>
        <v>57046.53</v>
      </c>
      <c r="G18" s="1186">
        <f t="shared" si="0"/>
        <v>12.551130146005818</v>
      </c>
      <c r="H18" s="88">
        <v>53849.37</v>
      </c>
      <c r="I18" s="585">
        <f t="shared" si="1"/>
        <v>11.847704867420006</v>
      </c>
      <c r="J18" s="560">
        <f>((F18/H18)*100)-100</f>
        <v>5.937228234982129</v>
      </c>
      <c r="K18" s="100">
        <f t="shared" si="3"/>
        <v>2.200156634593869E-4</v>
      </c>
      <c r="L18" s="38">
        <f t="shared" si="4"/>
        <v>1.9000000000000001</v>
      </c>
      <c r="M18" s="1468">
        <f t="shared" si="5"/>
        <v>108388.40700000001</v>
      </c>
    </row>
    <row r="19" spans="2:13" s="38" customFormat="1" x14ac:dyDescent="0.25">
      <c r="B19" s="1752" t="s">
        <v>37</v>
      </c>
      <c r="C19" s="1752"/>
      <c r="D19" s="1245">
        <f>SUM(D5:D18)</f>
        <v>0.23186238601476838</v>
      </c>
      <c r="E19" s="1246">
        <f>SUM(E5:E18)</f>
        <v>100.00994977747942</v>
      </c>
      <c r="F19" s="1246"/>
      <c r="G19" s="1247">
        <f>SUM(G5:G18)</f>
        <v>1054.4037139441955</v>
      </c>
      <c r="H19" s="1248"/>
      <c r="I19" s="1247">
        <f>SUM(I5:I18)</f>
        <v>925.65474258213942</v>
      </c>
      <c r="J19" s="1248">
        <f>((G19/I19)*100)-100</f>
        <v>13.908962536388799</v>
      </c>
      <c r="K19" s="1250">
        <f>SUM(K5:K18)</f>
        <v>0.23289817054430517</v>
      </c>
      <c r="L19" s="1250">
        <f>SUM(L5:L18)</f>
        <v>1850.1649899999998</v>
      </c>
      <c r="M19" s="1262">
        <f>SUM(M5:M18)</f>
        <v>6047237.1521378504</v>
      </c>
    </row>
    <row r="21" spans="2:13" ht="25.5" x14ac:dyDescent="0.35">
      <c r="B21" s="1753" t="s">
        <v>50</v>
      </c>
      <c r="C21" s="1754"/>
      <c r="D21" s="38">
        <f>+C24+(C24*C30%)</f>
        <v>232.875</v>
      </c>
      <c r="E21" s="97"/>
      <c r="F21" s="97"/>
      <c r="G21" s="1757"/>
      <c r="H21" s="1757"/>
      <c r="I21" s="97"/>
      <c r="J21" s="101"/>
      <c r="K21" s="97"/>
    </row>
    <row r="22" spans="2:13" x14ac:dyDescent="0.25">
      <c r="B22" s="1254" t="s">
        <v>38</v>
      </c>
      <c r="C22" s="800" t="s">
        <v>151</v>
      </c>
      <c r="D22" s="38"/>
      <c r="G22" s="38"/>
      <c r="H22" s="38"/>
      <c r="I22" s="38"/>
    </row>
    <row r="23" spans="2:13" x14ac:dyDescent="0.25">
      <c r="B23" s="1254" t="s">
        <v>39</v>
      </c>
      <c r="C23" s="801" t="s">
        <v>152</v>
      </c>
      <c r="D23" s="38"/>
      <c r="F23" s="38"/>
      <c r="G23" s="38"/>
      <c r="H23" s="38"/>
      <c r="I23" s="38"/>
    </row>
    <row r="24" spans="2:13" x14ac:dyDescent="0.25">
      <c r="B24" s="1254" t="s">
        <v>40</v>
      </c>
      <c r="C24" s="801">
        <v>225</v>
      </c>
      <c r="D24" s="38"/>
      <c r="G24" s="38"/>
      <c r="H24" s="38"/>
      <c r="I24" s="38"/>
    </row>
    <row r="25" spans="2:13" x14ac:dyDescent="0.25">
      <c r="B25" s="1254" t="s">
        <v>41</v>
      </c>
      <c r="C25" s="801">
        <v>0</v>
      </c>
      <c r="D25" s="38"/>
      <c r="F25" s="38"/>
      <c r="G25" s="38"/>
      <c r="H25" s="38"/>
      <c r="I25" s="38"/>
    </row>
    <row r="26" spans="2:13" x14ac:dyDescent="0.25">
      <c r="B26" s="1254" t="s">
        <v>42</v>
      </c>
      <c r="C26" s="801">
        <v>0.5</v>
      </c>
      <c r="D26" s="38"/>
      <c r="F26" s="38"/>
      <c r="G26" s="38"/>
      <c r="H26" s="38"/>
      <c r="I26" s="38"/>
    </row>
    <row r="27" spans="2:13" x14ac:dyDescent="0.25">
      <c r="B27" s="1254" t="s">
        <v>43</v>
      </c>
      <c r="C27" s="801">
        <v>0.5</v>
      </c>
      <c r="D27" s="38"/>
      <c r="F27" s="38"/>
      <c r="G27" s="38"/>
      <c r="H27" s="38"/>
      <c r="I27" s="38"/>
    </row>
    <row r="28" spans="2:13" x14ac:dyDescent="0.25">
      <c r="B28" s="1254" t="s">
        <v>44</v>
      </c>
      <c r="C28" s="801">
        <v>0.5</v>
      </c>
      <c r="D28" s="38"/>
      <c r="F28" s="38"/>
      <c r="G28" s="38"/>
      <c r="H28" s="38"/>
      <c r="I28" s="38"/>
    </row>
    <row r="29" spans="2:13" x14ac:dyDescent="0.25">
      <c r="B29" s="1254" t="s">
        <v>45</v>
      </c>
      <c r="C29" s="801">
        <v>2</v>
      </c>
      <c r="D29" s="38"/>
      <c r="F29" s="38"/>
      <c r="G29" s="38"/>
      <c r="H29" s="38"/>
      <c r="I29" s="38"/>
    </row>
    <row r="30" spans="2:13" x14ac:dyDescent="0.25">
      <c r="B30" s="1254" t="s">
        <v>46</v>
      </c>
      <c r="C30" s="801">
        <f>C29+C28+C27+C26</f>
        <v>3.5</v>
      </c>
      <c r="D30" s="38"/>
      <c r="F30" s="38"/>
      <c r="G30" s="38"/>
      <c r="H30" s="38"/>
      <c r="I30" s="38"/>
    </row>
    <row r="31" spans="2:13" x14ac:dyDescent="0.25">
      <c r="F31" s="97"/>
      <c r="G31" s="97"/>
      <c r="H31" s="97"/>
      <c r="I31" s="97"/>
      <c r="J31" s="101"/>
    </row>
    <row r="32" spans="2:13" ht="25.5" x14ac:dyDescent="0.35">
      <c r="B32" s="1756" t="s">
        <v>47</v>
      </c>
      <c r="C32" s="1756"/>
      <c r="D32" s="1756"/>
      <c r="E32" s="1756"/>
      <c r="F32" s="1756"/>
      <c r="G32" s="1756"/>
      <c r="H32" s="1756"/>
      <c r="I32" s="1756"/>
      <c r="J32" s="101"/>
    </row>
    <row r="33" spans="2:11" s="28" customFormat="1" ht="25.5" x14ac:dyDescent="0.25">
      <c r="B33" s="1255" t="s">
        <v>0</v>
      </c>
      <c r="C33" s="1255" t="s">
        <v>1</v>
      </c>
      <c r="D33" s="1242" t="s">
        <v>2</v>
      </c>
      <c r="E33" s="1243" t="str">
        <f>+'CIF Y PV'!$F$4</f>
        <v xml:space="preserve">JUN-COP/UMB </v>
      </c>
      <c r="F33" s="1243" t="str">
        <f>+'CIF Y PV'!$G$4</f>
        <v>JUN-COP/APP</v>
      </c>
      <c r="G33" s="1243" t="str">
        <f>+'CIF Y PV'!$H$4</f>
        <v xml:space="preserve">MAY-COP/UMB </v>
      </c>
      <c r="H33" s="1243" t="str">
        <f>+'CIF Y PV'!$I$4</f>
        <v>MAY-COP/APP</v>
      </c>
      <c r="I33" s="1242" t="s">
        <v>3</v>
      </c>
      <c r="J33" s="131">
        <v>30270</v>
      </c>
    </row>
    <row r="34" spans="2:11" x14ac:dyDescent="0.25">
      <c r="B34" s="4">
        <v>1380005</v>
      </c>
      <c r="C34" s="4" t="s">
        <v>1029</v>
      </c>
      <c r="D34" s="24">
        <v>2</v>
      </c>
      <c r="E34" s="24">
        <f>VLOOKUP(B34,[2]Hoja1!$C$2:$E$279,3,FALSE)</f>
        <v>29.02</v>
      </c>
      <c r="F34" s="122">
        <f>E34*D34</f>
        <v>58.04</v>
      </c>
      <c r="G34" s="24">
        <v>31.68</v>
      </c>
      <c r="H34" s="126">
        <f>G34*D34</f>
        <v>63.36</v>
      </c>
      <c r="I34" s="901">
        <f>((G34/E34)*100)-100</f>
        <v>9.1660923501033693</v>
      </c>
      <c r="J34" s="115">
        <f>J33*D34</f>
        <v>60540</v>
      </c>
    </row>
    <row r="35" spans="2:11" x14ac:dyDescent="0.25">
      <c r="B35" s="4">
        <v>1370041</v>
      </c>
      <c r="C35" s="4" t="s">
        <v>1064</v>
      </c>
      <c r="D35" s="24">
        <v>0.23</v>
      </c>
      <c r="E35" s="24">
        <f>VLOOKUP(B35,[2]Hoja1!$C$2:$E$279,3,FALSE)</f>
        <v>500.19</v>
      </c>
      <c r="F35" s="122">
        <f>E35*D35</f>
        <v>115.0437</v>
      </c>
      <c r="G35" s="24">
        <v>538.53</v>
      </c>
      <c r="H35" s="126">
        <f>G35*D35</f>
        <v>123.86190000000001</v>
      </c>
      <c r="I35" s="901">
        <f>((E35/G35)*100)-100</f>
        <v>-7.1193805359032893</v>
      </c>
      <c r="J35" s="115">
        <f>J33*D35</f>
        <v>6962.1</v>
      </c>
    </row>
    <row r="36" spans="2:11" x14ac:dyDescent="0.25">
      <c r="B36" s="1256"/>
      <c r="C36" s="1256" t="s">
        <v>37</v>
      </c>
      <c r="D36" s="1257"/>
      <c r="E36" s="1257"/>
      <c r="F36" s="1258">
        <f>SUM(F34:F35)</f>
        <v>173.08369999999999</v>
      </c>
      <c r="G36" s="1259"/>
      <c r="H36" s="1260">
        <f>SUM(H34:H35)</f>
        <v>187.22190000000001</v>
      </c>
      <c r="I36" s="1469">
        <f>((F36/H36)*100)-100</f>
        <v>-7.5515738276344848</v>
      </c>
      <c r="J36" s="101"/>
    </row>
    <row r="37" spans="2:11" x14ac:dyDescent="0.25">
      <c r="F37" s="1" t="str">
        <f>+'CIF Y PV'!$G$1</f>
        <v>MAYO</v>
      </c>
      <c r="G37" s="38"/>
      <c r="K37" s="38"/>
    </row>
    <row r="38" spans="2:11" x14ac:dyDescent="0.25">
      <c r="B38" s="1750" t="s">
        <v>155</v>
      </c>
      <c r="C38" s="1750"/>
      <c r="D38" s="1749">
        <f>+F36+G19</f>
        <v>1227.4874139441954</v>
      </c>
      <c r="E38" s="1749"/>
      <c r="F38" s="1749"/>
      <c r="G38" s="116"/>
      <c r="H38" s="1749"/>
      <c r="I38" s="1749"/>
      <c r="J38" s="1749"/>
      <c r="K38" s="116"/>
    </row>
    <row r="39" spans="2:11" x14ac:dyDescent="0.25">
      <c r="B39" s="1758" t="s">
        <v>48</v>
      </c>
      <c r="C39" s="1759"/>
      <c r="D39" s="1749">
        <f>+('CIF Y PV'!C3/1000)*225</f>
        <v>425.25</v>
      </c>
      <c r="E39" s="1749"/>
      <c r="F39" s="1749"/>
      <c r="G39" s="116"/>
      <c r="H39" s="1749"/>
      <c r="I39" s="1749"/>
      <c r="J39" s="1749"/>
      <c r="K39" s="116"/>
    </row>
    <row r="40" spans="2:11" x14ac:dyDescent="0.25">
      <c r="B40" s="1758" t="s">
        <v>92</v>
      </c>
      <c r="C40" s="1759"/>
      <c r="D40" s="1749">
        <f>+D38+D39</f>
        <v>1652.7374139441954</v>
      </c>
      <c r="E40" s="1749"/>
      <c r="F40" s="1749"/>
      <c r="G40" s="116"/>
      <c r="H40" s="1749"/>
      <c r="I40" s="1749"/>
      <c r="J40" s="1749"/>
      <c r="K40" s="116"/>
    </row>
    <row r="41" spans="2:11" x14ac:dyDescent="0.25">
      <c r="B41" s="1750" t="s">
        <v>49</v>
      </c>
      <c r="C41" s="1750"/>
      <c r="D41" s="1749"/>
      <c r="E41" s="1749"/>
      <c r="F41" s="1749"/>
      <c r="H41" s="1749"/>
      <c r="I41" s="1749"/>
      <c r="J41" s="1749"/>
      <c r="K41" s="642"/>
    </row>
    <row r="42" spans="2:11" ht="15" customHeight="1" x14ac:dyDescent="0.25">
      <c r="B42" s="1750" t="s">
        <v>805</v>
      </c>
      <c r="C42" s="1750"/>
      <c r="E42" s="946"/>
      <c r="F42" s="945" t="e">
        <f>+(D41-D40)/D41</f>
        <v>#DIV/0!</v>
      </c>
      <c r="G42" s="124"/>
      <c r="H42" s="38"/>
      <c r="I42" s="38"/>
      <c r="K42" s="124"/>
    </row>
    <row r="43" spans="2:11" x14ac:dyDescent="0.25">
      <c r="F43" s="38"/>
      <c r="G43" s="38"/>
      <c r="H43" s="38"/>
      <c r="I43" s="38"/>
    </row>
    <row r="44" spans="2:11" x14ac:dyDescent="0.25">
      <c r="F44" s="38"/>
      <c r="G44" s="38"/>
      <c r="H44" s="38"/>
      <c r="I44" s="38"/>
    </row>
  </sheetData>
  <mergeCells count="18">
    <mergeCell ref="B41:C41"/>
    <mergeCell ref="D41:F41"/>
    <mergeCell ref="H41:J41"/>
    <mergeCell ref="B42:C42"/>
    <mergeCell ref="B39:C39"/>
    <mergeCell ref="D39:F39"/>
    <mergeCell ref="H39:J39"/>
    <mergeCell ref="B40:C40"/>
    <mergeCell ref="D40:F40"/>
    <mergeCell ref="H40:J40"/>
    <mergeCell ref="B38:C38"/>
    <mergeCell ref="D38:F38"/>
    <mergeCell ref="H38:J38"/>
    <mergeCell ref="B2:J2"/>
    <mergeCell ref="B19:C19"/>
    <mergeCell ref="B21:C21"/>
    <mergeCell ref="G21:H21"/>
    <mergeCell ref="B32:I32"/>
  </mergeCells>
  <pageMargins left="0.7" right="0.7" top="0.75" bottom="0.75" header="0.3" footer="0.3"/>
  <pageSetup scale="3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3737-A496-4F02-95BC-87F83D919EDF}">
  <sheetPr codeName="Hoja60"/>
  <dimension ref="B2:K35"/>
  <sheetViews>
    <sheetView view="pageBreakPreview" topLeftCell="A2" zoomScale="90" zoomScaleNormal="100" zoomScaleSheetLayoutView="90" workbookViewId="0">
      <selection activeCell="F12" sqref="F12"/>
    </sheetView>
  </sheetViews>
  <sheetFormatPr baseColWidth="10" defaultColWidth="11.5703125" defaultRowHeight="13.5" x14ac:dyDescent="0.25"/>
  <cols>
    <col min="1" max="1" width="7" style="1" bestFit="1" customWidth="1"/>
    <col min="2" max="2" width="24.140625" style="1" bestFit="1" customWidth="1"/>
    <col min="3" max="3" width="58.28515625" style="1" customWidth="1"/>
    <col min="4" max="4" width="20" style="1" bestFit="1" customWidth="1"/>
    <col min="5" max="5" width="13.140625" style="1" bestFit="1" customWidth="1"/>
    <col min="6" max="6" width="21.5703125" style="1" customWidth="1"/>
    <col min="7" max="7" width="12.42578125" style="1" customWidth="1"/>
    <col min="8" max="8" width="11.7109375" style="1" bestFit="1" customWidth="1"/>
    <col min="9" max="9" width="12.28515625" style="1" bestFit="1" customWidth="1"/>
    <col min="10" max="16384" width="11.5703125" style="1"/>
  </cols>
  <sheetData>
    <row r="2" spans="2:10" ht="30" customHeight="1" x14ac:dyDescent="0.35">
      <c r="B2" s="1769" t="s">
        <v>882</v>
      </c>
      <c r="C2" s="1769"/>
      <c r="D2" s="1769"/>
      <c r="E2" s="1769"/>
      <c r="F2" s="1769"/>
      <c r="G2" s="1769"/>
      <c r="H2" s="1769"/>
      <c r="I2" s="1769"/>
    </row>
    <row r="4" spans="2:10" s="3" customFormat="1" ht="25.5" x14ac:dyDescent="0.25">
      <c r="B4" s="2" t="s">
        <v>0</v>
      </c>
      <c r="C4" s="2" t="s">
        <v>1</v>
      </c>
      <c r="D4" s="2" t="s">
        <v>2</v>
      </c>
      <c r="E4" s="2" t="s">
        <v>3</v>
      </c>
      <c r="F4" s="129" t="str">
        <f>+'CIF Y PV'!$F$2</f>
        <v xml:space="preserve">JUN-COP/Kg </v>
      </c>
      <c r="G4" s="129" t="str">
        <f>+'CIF Y PV'!$G$2</f>
        <v>JUN-COP/APP</v>
      </c>
      <c r="H4" s="129" t="str">
        <f>+'CIF Y PV'!$H$2</f>
        <v xml:space="preserve">MAY-COP/Kg </v>
      </c>
      <c r="I4" s="129" t="str">
        <f>+'CIF Y PV'!$I$2</f>
        <v>MAY-COP/APP</v>
      </c>
      <c r="J4" s="118" t="s">
        <v>3</v>
      </c>
    </row>
    <row r="5" spans="2:10" s="112" customFormat="1" x14ac:dyDescent="0.25">
      <c r="B5" s="108" t="s">
        <v>288</v>
      </c>
      <c r="C5" s="108" t="s">
        <v>991</v>
      </c>
      <c r="D5" s="109">
        <v>1</v>
      </c>
      <c r="E5" s="110">
        <f>(D5*100)/$D$10</f>
        <v>25</v>
      </c>
      <c r="F5" s="884"/>
      <c r="G5" s="110">
        <f>F5*D5</f>
        <v>0</v>
      </c>
      <c r="H5" s="884">
        <v>2608.8385378613502</v>
      </c>
      <c r="I5" s="111">
        <f>H5*D5</f>
        <v>2608.8385378613502</v>
      </c>
      <c r="J5" s="110">
        <f>((F5/H5)*100)-100</f>
        <v>-100</v>
      </c>
    </row>
    <row r="6" spans="2:10" s="112" customFormat="1" x14ac:dyDescent="0.25">
      <c r="B6" s="113">
        <v>30017</v>
      </c>
      <c r="C6" s="113" t="s">
        <v>290</v>
      </c>
      <c r="D6" s="109">
        <v>1</v>
      </c>
      <c r="E6" s="110">
        <f>(D6*100)/$D$10</f>
        <v>25</v>
      </c>
      <c r="F6" s="884"/>
      <c r="G6" s="110">
        <f>F6*D6</f>
        <v>0</v>
      </c>
      <c r="H6" s="884">
        <v>1266.7937305665005</v>
      </c>
      <c r="I6" s="111">
        <f t="shared" ref="I6:I9" si="0">H6*D6</f>
        <v>1266.7937305665005</v>
      </c>
      <c r="J6" s="110">
        <f>((F6/H6)*100)-100</f>
        <v>-100</v>
      </c>
    </row>
    <row r="7" spans="2:10" s="112" customFormat="1" x14ac:dyDescent="0.25">
      <c r="B7" s="113" t="s">
        <v>291</v>
      </c>
      <c r="C7" s="113" t="s">
        <v>292</v>
      </c>
      <c r="D7" s="109">
        <v>1</v>
      </c>
      <c r="E7" s="110">
        <f>(D7*100)/$D$10</f>
        <v>25</v>
      </c>
      <c r="F7" s="655"/>
      <c r="G7" s="110">
        <f>F7*D7</f>
        <v>0</v>
      </c>
      <c r="H7" s="655">
        <v>2210.0540420059997</v>
      </c>
      <c r="I7" s="111">
        <f t="shared" si="0"/>
        <v>2210.0540420059997</v>
      </c>
      <c r="J7" s="110">
        <f>((F7/H7)*100)-100</f>
        <v>-100</v>
      </c>
    </row>
    <row r="8" spans="2:10" s="112" customFormat="1" x14ac:dyDescent="0.25">
      <c r="B8" s="113">
        <v>30018</v>
      </c>
      <c r="C8" s="113" t="s">
        <v>988</v>
      </c>
      <c r="D8" s="109">
        <v>1</v>
      </c>
      <c r="E8" s="110">
        <f>(D8*100)/$D$10</f>
        <v>25</v>
      </c>
      <c r="F8" s="881"/>
      <c r="G8" s="110">
        <f>F8*D8</f>
        <v>0</v>
      </c>
      <c r="H8" s="881">
        <v>1647</v>
      </c>
      <c r="I8" s="111">
        <f t="shared" si="0"/>
        <v>1647</v>
      </c>
      <c r="J8" s="110">
        <f>((F8/H8)*100)-100</f>
        <v>-100</v>
      </c>
    </row>
    <row r="9" spans="2:10" hidden="1" x14ac:dyDescent="0.25">
      <c r="B9" s="11"/>
      <c r="C9" s="11"/>
      <c r="D9" s="11"/>
      <c r="E9" s="11"/>
      <c r="F9" s="11"/>
      <c r="G9" s="110">
        <f>F9*D9</f>
        <v>0</v>
      </c>
      <c r="H9" s="11"/>
      <c r="I9" s="111">
        <f t="shared" si="0"/>
        <v>0</v>
      </c>
      <c r="J9" s="912"/>
    </row>
    <row r="10" spans="2:10" x14ac:dyDescent="0.25">
      <c r="B10" s="1824" t="s">
        <v>37</v>
      </c>
      <c r="C10" s="1824"/>
      <c r="D10" s="12">
        <f>SUM(D5:D8)</f>
        <v>4</v>
      </c>
      <c r="E10" s="13">
        <f>SUM(E5:E8)</f>
        <v>100</v>
      </c>
      <c r="F10" s="13"/>
      <c r="G10" s="876">
        <f>SUM(G5:G8)</f>
        <v>0</v>
      </c>
      <c r="H10" s="14"/>
      <c r="I10" s="15">
        <f>SUM(I5:I8)</f>
        <v>7732.6863104338499</v>
      </c>
      <c r="J10" s="911">
        <f>((G10/I10)*100)-100</f>
        <v>-100</v>
      </c>
    </row>
    <row r="11" spans="2:10" x14ac:dyDescent="0.25">
      <c r="B11" s="16"/>
      <c r="C11" s="16"/>
      <c r="D11" s="17"/>
      <c r="E11" s="18"/>
      <c r="F11" s="18"/>
      <c r="G11" s="18"/>
      <c r="I11" s="19"/>
    </row>
    <row r="12" spans="2:10" ht="25.5" x14ac:dyDescent="0.35">
      <c r="B12" s="1827" t="s">
        <v>50</v>
      </c>
      <c r="C12" s="1828"/>
      <c r="D12" s="91"/>
      <c r="E12" s="91"/>
      <c r="F12" s="91"/>
      <c r="G12" s="91"/>
      <c r="H12" s="91"/>
      <c r="I12" s="91"/>
    </row>
    <row r="13" spans="2:10" x14ac:dyDescent="0.25">
      <c r="B13" s="20" t="s">
        <v>38</v>
      </c>
      <c r="C13" s="21" t="s">
        <v>294</v>
      </c>
    </row>
    <row r="14" spans="2:10" x14ac:dyDescent="0.25">
      <c r="B14" s="20" t="s">
        <v>39</v>
      </c>
      <c r="C14" s="21" t="s">
        <v>295</v>
      </c>
    </row>
    <row r="15" spans="2:10" x14ac:dyDescent="0.25">
      <c r="B15" s="20" t="s">
        <v>40</v>
      </c>
      <c r="C15" s="21">
        <v>900</v>
      </c>
    </row>
    <row r="16" spans="2:10" x14ac:dyDescent="0.25">
      <c r="B16" s="20" t="s">
        <v>41</v>
      </c>
      <c r="C16" s="21">
        <v>0</v>
      </c>
    </row>
    <row r="17" spans="2:11" x14ac:dyDescent="0.25">
      <c r="B17" s="20" t="s">
        <v>42</v>
      </c>
      <c r="C17" s="21">
        <v>0</v>
      </c>
      <c r="I17" s="1" t="s">
        <v>85</v>
      </c>
    </row>
    <row r="18" spans="2:11" x14ac:dyDescent="0.25">
      <c r="B18" s="20" t="s">
        <v>43</v>
      </c>
      <c r="C18" s="21">
        <v>0</v>
      </c>
    </row>
    <row r="19" spans="2:11" x14ac:dyDescent="0.25">
      <c r="B19" s="20" t="s">
        <v>44</v>
      </c>
      <c r="C19" s="21">
        <v>0</v>
      </c>
    </row>
    <row r="20" spans="2:11" x14ac:dyDescent="0.25">
      <c r="B20" s="20" t="s">
        <v>45</v>
      </c>
      <c r="C20" s="21">
        <v>0</v>
      </c>
    </row>
    <row r="21" spans="2:11" x14ac:dyDescent="0.25">
      <c r="B21" s="20" t="s">
        <v>46</v>
      </c>
      <c r="C21" s="21">
        <f>C20+C19+C18+C17</f>
        <v>0</v>
      </c>
    </row>
    <row r="23" spans="2:11" ht="25.5" x14ac:dyDescent="0.35">
      <c r="B23" s="1857" t="s">
        <v>47</v>
      </c>
      <c r="C23" s="1857"/>
      <c r="D23" s="1857"/>
      <c r="E23" s="1857"/>
      <c r="F23" s="1857"/>
      <c r="G23" s="1857"/>
      <c r="H23" s="1857"/>
      <c r="I23" s="1857"/>
    </row>
    <row r="24" spans="2:11" ht="25.5" x14ac:dyDescent="0.25">
      <c r="B24" s="474" t="s">
        <v>0</v>
      </c>
      <c r="C24" s="474" t="s">
        <v>1</v>
      </c>
      <c r="D24" s="474" t="s">
        <v>2</v>
      </c>
      <c r="E24" s="129" t="str">
        <f>+'CIF Y PV'!$F$4</f>
        <v xml:space="preserve">JUN-COP/UMB </v>
      </c>
      <c r="F24" s="129" t="str">
        <f>+'CIF Y PV'!$G$4</f>
        <v>JUN-COP/APP</v>
      </c>
      <c r="G24" s="129" t="str">
        <f>+'CIF Y PV'!$H$4</f>
        <v xml:space="preserve">MAY-COP/UMB </v>
      </c>
      <c r="H24" s="129" t="str">
        <f>+'CIF Y PV'!$I$4</f>
        <v>MAY-COP/APP</v>
      </c>
      <c r="I24" s="144" t="s">
        <v>3</v>
      </c>
      <c r="J24" s="38">
        <v>15199</v>
      </c>
    </row>
    <row r="25" spans="2:11" x14ac:dyDescent="0.25">
      <c r="B25" s="4">
        <v>1310014</v>
      </c>
      <c r="C25" s="4" t="s">
        <v>1112</v>
      </c>
      <c r="D25" s="103">
        <v>1.09E-2</v>
      </c>
      <c r="E25" s="24">
        <f>VLOOKUP(B25,[2]Hoja1!$C$2:$E$279,3,FALSE)</f>
        <v>26886.81</v>
      </c>
      <c r="F25" s="5">
        <f>E25*D25</f>
        <v>293.06622900000002</v>
      </c>
      <c r="G25" s="24">
        <v>24980.04</v>
      </c>
      <c r="H25" s="5">
        <v>272.28243600000002</v>
      </c>
      <c r="I25" s="643">
        <f>((F25/H25)*100)-100</f>
        <v>7.633174326382175</v>
      </c>
      <c r="J25" s="38">
        <f>$J$24*D25</f>
        <v>165.66909999999999</v>
      </c>
      <c r="K25" s="1" t="s">
        <v>829</v>
      </c>
    </row>
    <row r="26" spans="2:11" x14ac:dyDescent="0.25">
      <c r="B26" s="22"/>
      <c r="C26" s="22" t="s">
        <v>37</v>
      </c>
      <c r="D26" s="26"/>
      <c r="E26" s="23"/>
      <c r="F26" s="651">
        <f>F25</f>
        <v>293.06622900000002</v>
      </c>
      <c r="G26" s="23"/>
      <c r="H26" s="23">
        <f>SUM(H25:H25)</f>
        <v>272.28243600000002</v>
      </c>
      <c r="I26" s="651">
        <f>((F26/H26)*100)-100</f>
        <v>7.633174326382175</v>
      </c>
    </row>
    <row r="28" spans="2:11" x14ac:dyDescent="0.25">
      <c r="H28" s="1" t="str">
        <f>+'CIF Y PV'!$G$1</f>
        <v>MAYO</v>
      </c>
      <c r="I28" s="182"/>
      <c r="K28" s="182"/>
    </row>
    <row r="29" spans="2:11" x14ac:dyDescent="0.25">
      <c r="B29" s="1825" t="s">
        <v>301</v>
      </c>
      <c r="C29" s="1825"/>
      <c r="E29" s="881"/>
      <c r="F29" s="881"/>
      <c r="G29" s="881"/>
      <c r="H29" s="881">
        <f>+F26+G10</f>
        <v>293.06622900000002</v>
      </c>
      <c r="I29" s="181"/>
      <c r="J29" s="881"/>
      <c r="K29" s="181"/>
    </row>
    <row r="30" spans="2:11" x14ac:dyDescent="0.25">
      <c r="B30" s="1830" t="s">
        <v>48</v>
      </c>
      <c r="C30" s="1831"/>
      <c r="E30" s="881"/>
      <c r="F30" s="881"/>
      <c r="G30" s="881"/>
      <c r="H30" s="881">
        <v>0</v>
      </c>
      <c r="I30" s="182"/>
      <c r="J30" s="881"/>
      <c r="K30" s="182"/>
    </row>
    <row r="31" spans="2:11" x14ac:dyDescent="0.25">
      <c r="B31" s="1830" t="s">
        <v>302</v>
      </c>
      <c r="C31" s="1831"/>
      <c r="E31" s="881"/>
      <c r="F31" s="881"/>
      <c r="G31" s="881"/>
      <c r="H31" s="881">
        <f>+H29+H30</f>
        <v>293.06622900000002</v>
      </c>
      <c r="I31" s="152"/>
      <c r="J31" s="881"/>
      <c r="K31" s="152"/>
    </row>
    <row r="32" spans="2:11" x14ac:dyDescent="0.25">
      <c r="B32" s="1825" t="s">
        <v>49</v>
      </c>
      <c r="C32" s="1825"/>
      <c r="E32" s="881"/>
      <c r="F32" s="881"/>
      <c r="G32" s="881"/>
      <c r="H32" s="881">
        <f>'CIF Y PV'!C36</f>
        <v>13230.464400000001</v>
      </c>
      <c r="J32" s="881"/>
      <c r="K32" s="339"/>
    </row>
    <row r="33" spans="2:11" x14ac:dyDescent="0.25">
      <c r="B33" s="1825" t="s">
        <v>805</v>
      </c>
      <c r="C33" s="1825"/>
      <c r="E33" s="881"/>
      <c r="F33" s="881"/>
      <c r="G33" s="881"/>
      <c r="H33" s="928">
        <f>+(H32-H31)/H32</f>
        <v>0.97784913513693439</v>
      </c>
      <c r="I33" s="137"/>
      <c r="K33" s="137"/>
    </row>
    <row r="34" spans="2:11" x14ac:dyDescent="0.25">
      <c r="I34" s="182"/>
    </row>
    <row r="35" spans="2:11" x14ac:dyDescent="0.25">
      <c r="I35" s="182"/>
    </row>
  </sheetData>
  <mergeCells count="9">
    <mergeCell ref="B31:C31"/>
    <mergeCell ref="B32:C32"/>
    <mergeCell ref="B33:C33"/>
    <mergeCell ref="B2:I2"/>
    <mergeCell ref="B10:C10"/>
    <mergeCell ref="B12:C12"/>
    <mergeCell ref="B23:I23"/>
    <mergeCell ref="B29:C29"/>
    <mergeCell ref="B30:C30"/>
  </mergeCells>
  <pageMargins left="0.7" right="0.7" top="0.75" bottom="0.75" header="0.3" footer="0.3"/>
  <pageSetup scale="46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073B-CCC9-49BF-A3B3-5BF1A29B14D3}">
  <sheetPr codeName="Hoja62"/>
  <dimension ref="B2:K73"/>
  <sheetViews>
    <sheetView view="pageBreakPreview" zoomScale="90" zoomScaleNormal="100" zoomScaleSheetLayoutView="90" workbookViewId="0">
      <selection activeCell="F6" sqref="F6"/>
    </sheetView>
  </sheetViews>
  <sheetFormatPr baseColWidth="10" defaultColWidth="11.5703125" defaultRowHeight="13.5" x14ac:dyDescent="0.25"/>
  <cols>
    <col min="1" max="1" width="7" style="1" bestFit="1" customWidth="1"/>
    <col min="2" max="2" width="24.140625" style="1" bestFit="1" customWidth="1"/>
    <col min="3" max="3" width="58.28515625" style="1" customWidth="1"/>
    <col min="4" max="4" width="20" style="1" bestFit="1" customWidth="1"/>
    <col min="5" max="5" width="13.140625" style="1" bestFit="1" customWidth="1"/>
    <col min="6" max="6" width="13.140625" style="1" customWidth="1"/>
    <col min="7" max="7" width="12.42578125" style="1" customWidth="1"/>
    <col min="8" max="8" width="11.7109375" style="1" bestFit="1" customWidth="1"/>
    <col min="9" max="9" width="12.28515625" style="1" bestFit="1" customWidth="1"/>
    <col min="10" max="16384" width="11.5703125" style="1"/>
  </cols>
  <sheetData>
    <row r="2" spans="2:10" ht="30" customHeight="1" x14ac:dyDescent="0.35">
      <c r="B2" s="1769" t="s">
        <v>880</v>
      </c>
      <c r="C2" s="1769"/>
      <c r="D2" s="1769"/>
      <c r="E2" s="1769"/>
      <c r="F2" s="1769"/>
      <c r="G2" s="1769"/>
      <c r="H2" s="1769"/>
      <c r="I2" s="1769"/>
    </row>
    <row r="4" spans="2:10" s="3" customFormat="1" ht="25.5" x14ac:dyDescent="0.25">
      <c r="B4" s="2" t="s">
        <v>0</v>
      </c>
      <c r="C4" s="2" t="s">
        <v>1</v>
      </c>
      <c r="D4" s="2" t="s">
        <v>2</v>
      </c>
      <c r="E4" s="2" t="s">
        <v>3</v>
      </c>
      <c r="F4" s="129" t="str">
        <f>+'CIF Y PV'!$F$2</f>
        <v xml:space="preserve">JUN-COP/Kg </v>
      </c>
      <c r="G4" s="129" t="str">
        <f>+'CIF Y PV'!$G$2</f>
        <v>JUN-COP/APP</v>
      </c>
      <c r="H4" s="129" t="str">
        <f>+'CIF Y PV'!$H$2</f>
        <v xml:space="preserve">MAY-COP/Kg </v>
      </c>
      <c r="I4" s="129" t="str">
        <f>+'CIF Y PV'!$I$2</f>
        <v>MAY-COP/APP</v>
      </c>
      <c r="J4" s="118" t="s">
        <v>3</v>
      </c>
    </row>
    <row r="5" spans="2:10" s="112" customFormat="1" x14ac:dyDescent="0.25">
      <c r="B5" s="113">
        <v>30017</v>
      </c>
      <c r="C5" s="113" t="s">
        <v>290</v>
      </c>
      <c r="D5" s="109">
        <v>1</v>
      </c>
      <c r="E5" s="110">
        <f>(D5*100)/$D$9</f>
        <v>33.333333333333336</v>
      </c>
      <c r="F5" s="884">
        <f>'SCHON AUTENTICO X 225 G'!H46</f>
        <v>1215.9200264212909</v>
      </c>
      <c r="G5" s="110">
        <f>F5*D5</f>
        <v>1215.9200264212909</v>
      </c>
      <c r="H5" s="884">
        <v>1266.7937305665005</v>
      </c>
      <c r="I5" s="111">
        <f>H5*D5</f>
        <v>1266.7937305665005</v>
      </c>
      <c r="J5" s="110">
        <f>((F5/H5)*100)-100</f>
        <v>-4.0159422104543552</v>
      </c>
    </row>
    <row r="6" spans="2:10" s="112" customFormat="1" x14ac:dyDescent="0.25">
      <c r="B6" s="113" t="s">
        <v>291</v>
      </c>
      <c r="C6" s="113" t="s">
        <v>292</v>
      </c>
      <c r="D6" s="109">
        <v>1</v>
      </c>
      <c r="E6" s="110">
        <f>(D6*100)/$D$9</f>
        <v>33.333333333333336</v>
      </c>
      <c r="F6" s="655">
        <f>'MDELA FAIZAN  225 G 14 U SC'!H57</f>
        <v>2020.7107754839999</v>
      </c>
      <c r="G6" s="110">
        <f>F6*D6</f>
        <v>2020.7107754839999</v>
      </c>
      <c r="H6" s="655">
        <v>2210.0540420059997</v>
      </c>
      <c r="I6" s="111">
        <f t="shared" ref="I6:I7" si="0">H6*D6</f>
        <v>2210.0540420059997</v>
      </c>
      <c r="J6" s="110">
        <f>((F6/H6)*100)-100</f>
        <v>-8.5673591198764854</v>
      </c>
    </row>
    <row r="7" spans="2:10" s="112" customFormat="1" x14ac:dyDescent="0.25">
      <c r="B7" s="113">
        <v>30018</v>
      </c>
      <c r="C7" s="113" t="s">
        <v>879</v>
      </c>
      <c r="D7" s="109">
        <v>1</v>
      </c>
      <c r="E7" s="110">
        <f>(D7*100)/$D$9</f>
        <v>33.333333333333336</v>
      </c>
      <c r="F7" s="881">
        <f>'SCHON POLLO X 225 G'!H46</f>
        <v>1252.1587188848748</v>
      </c>
      <c r="G7" s="110">
        <f>F7*D7</f>
        <v>1252.1587188848748</v>
      </c>
      <c r="H7" s="881">
        <v>1289.1999299888248</v>
      </c>
      <c r="I7" s="111">
        <f t="shared" si="0"/>
        <v>1289.1999299888248</v>
      </c>
      <c r="J7" s="110">
        <f>((F7/H7)*100)-100</f>
        <v>-2.873193694966389</v>
      </c>
    </row>
    <row r="8" spans="2:10" hidden="1" x14ac:dyDescent="0.25">
      <c r="B8" s="11"/>
      <c r="C8" s="11"/>
      <c r="D8" s="11"/>
      <c r="E8" s="11"/>
      <c r="F8" s="11"/>
      <c r="G8" s="11"/>
      <c r="H8" s="11"/>
      <c r="I8" s="11"/>
      <c r="J8" s="912"/>
    </row>
    <row r="9" spans="2:10" x14ac:dyDescent="0.25">
      <c r="B9" s="1824" t="s">
        <v>37</v>
      </c>
      <c r="C9" s="1824"/>
      <c r="D9" s="12">
        <f>SUM(D5:D7)</f>
        <v>3</v>
      </c>
      <c r="E9" s="13">
        <f>SUM(E5:E7)</f>
        <v>100</v>
      </c>
      <c r="F9" s="13"/>
      <c r="G9" s="876">
        <f>SUM(G5:G7)</f>
        <v>4488.7895207901656</v>
      </c>
      <c r="H9" s="14"/>
      <c r="I9" s="15">
        <f>SUM(I5:I7)</f>
        <v>4766.0477025613254</v>
      </c>
      <c r="J9" s="911">
        <f>((G9/I9)*100)-100</f>
        <v>-5.8173606114382324</v>
      </c>
    </row>
    <row r="10" spans="2:10" x14ac:dyDescent="0.25">
      <c r="B10" s="16"/>
      <c r="C10" s="16"/>
      <c r="D10" s="17"/>
      <c r="E10" s="18"/>
      <c r="F10" s="18"/>
      <c r="G10" s="18"/>
      <c r="I10" s="19"/>
    </row>
    <row r="11" spans="2:10" ht="25.5" x14ac:dyDescent="0.35">
      <c r="B11" s="1827" t="s">
        <v>50</v>
      </c>
      <c r="C11" s="1828"/>
      <c r="D11" s="91"/>
      <c r="E11" s="91"/>
      <c r="F11" s="91"/>
      <c r="G11" s="91"/>
      <c r="H11" s="91"/>
      <c r="I11" s="91"/>
    </row>
    <row r="12" spans="2:10" x14ac:dyDescent="0.25">
      <c r="B12" s="20" t="s">
        <v>38</v>
      </c>
      <c r="C12" s="21" t="s">
        <v>294</v>
      </c>
    </row>
    <row r="13" spans="2:10" x14ac:dyDescent="0.25">
      <c r="B13" s="20" t="s">
        <v>39</v>
      </c>
      <c r="C13" s="21" t="s">
        <v>295</v>
      </c>
    </row>
    <row r="14" spans="2:10" x14ac:dyDescent="0.25">
      <c r="B14" s="20" t="s">
        <v>40</v>
      </c>
      <c r="C14" s="21">
        <v>900</v>
      </c>
    </row>
    <row r="15" spans="2:10" x14ac:dyDescent="0.25">
      <c r="B15" s="20" t="s">
        <v>41</v>
      </c>
      <c r="C15" s="21">
        <v>0</v>
      </c>
    </row>
    <row r="16" spans="2:10" x14ac:dyDescent="0.25">
      <c r="B16" s="20" t="s">
        <v>42</v>
      </c>
      <c r="C16" s="21">
        <v>0</v>
      </c>
      <c r="I16" s="1" t="s">
        <v>85</v>
      </c>
    </row>
    <row r="17" spans="2:11" x14ac:dyDescent="0.25">
      <c r="B17" s="20" t="s">
        <v>43</v>
      </c>
      <c r="C17" s="21">
        <v>0</v>
      </c>
    </row>
    <row r="18" spans="2:11" x14ac:dyDescent="0.25">
      <c r="B18" s="20" t="s">
        <v>44</v>
      </c>
      <c r="C18" s="21">
        <v>0</v>
      </c>
    </row>
    <row r="19" spans="2:11" x14ac:dyDescent="0.25">
      <c r="B19" s="20" t="s">
        <v>45</v>
      </c>
      <c r="C19" s="21">
        <v>0</v>
      </c>
    </row>
    <row r="20" spans="2:11" x14ac:dyDescent="0.25">
      <c r="B20" s="20" t="s">
        <v>46</v>
      </c>
      <c r="C20" s="21">
        <f>C19+C18+C17+C16</f>
        <v>0</v>
      </c>
    </row>
    <row r="22" spans="2:11" ht="25.5" x14ac:dyDescent="0.35">
      <c r="B22" s="1857" t="s">
        <v>47</v>
      </c>
      <c r="C22" s="1857"/>
      <c r="D22" s="1857"/>
      <c r="E22" s="1857"/>
      <c r="F22" s="1857"/>
      <c r="G22" s="1857"/>
      <c r="H22" s="1857"/>
      <c r="I22" s="1857"/>
    </row>
    <row r="23" spans="2:11" ht="25.5" x14ac:dyDescent="0.25">
      <c r="B23" s="474" t="s">
        <v>0</v>
      </c>
      <c r="C23" s="474" t="s">
        <v>1</v>
      </c>
      <c r="D23" s="474" t="s">
        <v>2</v>
      </c>
      <c r="E23" s="129" t="str">
        <f>+'CIF Y PV'!$F$4</f>
        <v xml:space="preserve">JUN-COP/UMB </v>
      </c>
      <c r="F23" s="129" t="str">
        <f>+'CIF Y PV'!$G$4</f>
        <v>JUN-COP/APP</v>
      </c>
      <c r="G23" s="129" t="str">
        <f>+'CIF Y PV'!$H$4</f>
        <v xml:space="preserve">MAY-COP/UMB </v>
      </c>
      <c r="H23" s="129" t="str">
        <f>+'CIF Y PV'!$I$4</f>
        <v>MAY-COP/APP</v>
      </c>
      <c r="I23" s="144" t="s">
        <v>3</v>
      </c>
      <c r="J23" s="38">
        <v>15199</v>
      </c>
    </row>
    <row r="24" spans="2:11" x14ac:dyDescent="0.25">
      <c r="B24" s="4">
        <v>1310031</v>
      </c>
      <c r="C24" s="4" t="s">
        <v>1088</v>
      </c>
      <c r="D24" s="103">
        <v>1.09E-2</v>
      </c>
      <c r="E24" s="24">
        <f>VLOOKUP(B24,[6]Hoja1!$C$2:$E$295,3,FALSE)</f>
        <v>24980</v>
      </c>
      <c r="F24" s="5">
        <f>E24*D24</f>
        <v>272.28199999999998</v>
      </c>
      <c r="G24" s="24">
        <v>24980</v>
      </c>
      <c r="H24" s="5">
        <v>272.28199999999998</v>
      </c>
      <c r="I24" s="643">
        <f>((F24/H24)*100)-100</f>
        <v>0</v>
      </c>
      <c r="J24" s="38">
        <f>$J$23*D24</f>
        <v>165.66909999999999</v>
      </c>
      <c r="K24" s="1" t="s">
        <v>829</v>
      </c>
    </row>
    <row r="25" spans="2:11" x14ac:dyDescent="0.25">
      <c r="B25" s="22"/>
      <c r="C25" s="22" t="s">
        <v>37</v>
      </c>
      <c r="D25" s="26"/>
      <c r="E25" s="23"/>
      <c r="F25" s="651">
        <f>F24</f>
        <v>272.28199999999998</v>
      </c>
      <c r="G25" s="23"/>
      <c r="H25" s="23">
        <f>SUM(H24:H24)</f>
        <v>272.28199999999998</v>
      </c>
      <c r="I25" s="651">
        <f>((F25/H25)*100)-100</f>
        <v>0</v>
      </c>
    </row>
    <row r="27" spans="2:11" x14ac:dyDescent="0.25">
      <c r="H27" s="1" t="str">
        <f>+'CIF Y PV'!$G$1</f>
        <v>MAYO</v>
      </c>
      <c r="I27" s="182"/>
      <c r="K27" s="182"/>
    </row>
    <row r="28" spans="2:11" x14ac:dyDescent="0.25">
      <c r="B28" s="1825" t="s">
        <v>301</v>
      </c>
      <c r="C28" s="1825"/>
      <c r="E28" s="881"/>
      <c r="F28" s="881"/>
      <c r="G28" s="881"/>
      <c r="H28" s="881">
        <f>+F25+G9</f>
        <v>4761.0715207901658</v>
      </c>
      <c r="I28" s="181"/>
      <c r="J28" s="881"/>
      <c r="K28" s="181"/>
    </row>
    <row r="29" spans="2:11" x14ac:dyDescent="0.25">
      <c r="B29" s="1830" t="s">
        <v>48</v>
      </c>
      <c r="C29" s="1831"/>
      <c r="E29" s="881"/>
      <c r="F29" s="881"/>
      <c r="G29" s="881"/>
      <c r="H29" s="881">
        <v>0</v>
      </c>
      <c r="I29" s="182"/>
      <c r="J29" s="881"/>
      <c r="K29" s="182"/>
    </row>
    <row r="30" spans="2:11" x14ac:dyDescent="0.25">
      <c r="B30" s="1830" t="s">
        <v>302</v>
      </c>
      <c r="C30" s="1831"/>
      <c r="E30" s="881"/>
      <c r="F30" s="881"/>
      <c r="G30" s="881"/>
      <c r="H30" s="881">
        <f>+H28+H29</f>
        <v>4761.0715207901658</v>
      </c>
      <c r="I30" s="152"/>
      <c r="J30" s="881"/>
      <c r="K30" s="152"/>
    </row>
    <row r="31" spans="2:11" x14ac:dyDescent="0.25">
      <c r="B31" s="1825" t="s">
        <v>49</v>
      </c>
      <c r="C31" s="1825"/>
      <c r="E31" s="881"/>
      <c r="F31" s="881"/>
      <c r="G31" s="881"/>
      <c r="H31" s="881" t="e">
        <f>'CIF Y PV'!#REF!</f>
        <v>#REF!</v>
      </c>
      <c r="J31" s="881"/>
      <c r="K31" s="339"/>
    </row>
    <row r="32" spans="2:11" x14ac:dyDescent="0.25">
      <c r="B32" s="1825" t="s">
        <v>805</v>
      </c>
      <c r="C32" s="1825"/>
      <c r="E32" s="881"/>
      <c r="F32" s="881"/>
      <c r="G32" s="881"/>
      <c r="H32" s="928" t="e">
        <f>+(H31-H30)/H31</f>
        <v>#REF!</v>
      </c>
      <c r="I32" s="137"/>
      <c r="K32" s="137"/>
    </row>
    <row r="33" spans="9:9" x14ac:dyDescent="0.25">
      <c r="I33" s="182"/>
    </row>
    <row r="34" spans="9:9" x14ac:dyDescent="0.25">
      <c r="I34" s="182"/>
    </row>
    <row r="73" spans="6:6" x14ac:dyDescent="0.25">
      <c r="F73" s="318">
        <v>0.29880000000000001</v>
      </c>
    </row>
  </sheetData>
  <mergeCells count="9">
    <mergeCell ref="B30:C30"/>
    <mergeCell ref="B31:C31"/>
    <mergeCell ref="B32:C32"/>
    <mergeCell ref="B2:I2"/>
    <mergeCell ref="B9:C9"/>
    <mergeCell ref="B11:C11"/>
    <mergeCell ref="B22:I22"/>
    <mergeCell ref="B28:C28"/>
    <mergeCell ref="B29:C29"/>
  </mergeCells>
  <pageMargins left="0.7" right="0.7" top="0.75" bottom="0.75" header="0.3" footer="0.3"/>
  <pageSetup scale="46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4117-2A8A-4C91-BD5F-91FC58D0B70F}">
  <sheetPr codeName="Hoja65"/>
  <dimension ref="B2:M58"/>
  <sheetViews>
    <sheetView view="pageBreakPreview" topLeftCell="A12" zoomScaleNormal="100" zoomScaleSheetLayoutView="100" workbookViewId="0">
      <selection activeCell="C19" sqref="C19"/>
    </sheetView>
  </sheetViews>
  <sheetFormatPr baseColWidth="10" defaultColWidth="11.5703125" defaultRowHeight="13.5" x14ac:dyDescent="0.25"/>
  <cols>
    <col min="1" max="1" width="4.7109375" style="1" customWidth="1"/>
    <col min="2" max="2" width="11.5703125" style="1"/>
    <col min="3" max="3" width="67.42578125" style="1" bestFit="1" customWidth="1"/>
    <col min="4" max="4" width="13.7109375" style="1" customWidth="1"/>
    <col min="5" max="5" width="11.5703125" style="1"/>
    <col min="6" max="6" width="12.85546875" style="107" bestFit="1" customWidth="1"/>
    <col min="7" max="7" width="13.5703125" style="1" customWidth="1"/>
    <col min="8" max="8" width="12.5703125" style="1" bestFit="1" customWidth="1"/>
    <col min="9" max="9" width="14.42578125" style="1" bestFit="1" customWidth="1"/>
    <col min="10" max="10" width="13.42578125" style="1" bestFit="1" customWidth="1"/>
    <col min="11" max="11" width="11.5703125" style="853"/>
    <col min="12" max="12" width="16.85546875" style="1" customWidth="1"/>
    <col min="13" max="13" width="19.7109375" style="1" bestFit="1" customWidth="1"/>
    <col min="14" max="16384" width="11.5703125" style="1"/>
  </cols>
  <sheetData>
    <row r="2" spans="2:13" s="42" customFormat="1" ht="26.25" customHeight="1" x14ac:dyDescent="0.25">
      <c r="B2" s="1743" t="s">
        <v>403</v>
      </c>
      <c r="C2" s="1743"/>
      <c r="D2" s="1743"/>
      <c r="E2" s="1743"/>
      <c r="F2" s="1743"/>
      <c r="G2" s="1743"/>
      <c r="H2" s="1743"/>
      <c r="I2" s="1743"/>
      <c r="J2" s="89"/>
      <c r="K2" s="1035"/>
      <c r="L2" s="89"/>
    </row>
    <row r="4" spans="2:13" s="180" customFormat="1" ht="23.25" customHeight="1" x14ac:dyDescent="0.25">
      <c r="B4" s="1271" t="s">
        <v>0</v>
      </c>
      <c r="C4" s="1271" t="s">
        <v>1</v>
      </c>
      <c r="D4" s="1271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21" t="s">
        <v>3</v>
      </c>
      <c r="K4" s="1471">
        <f>+D33/1000</f>
        <v>0.55000000000000004</v>
      </c>
      <c r="L4" s="1471">
        <v>500</v>
      </c>
      <c r="M4" s="1339" t="s">
        <v>1128</v>
      </c>
    </row>
    <row r="5" spans="2:13" s="42" customFormat="1" ht="16.5" x14ac:dyDescent="0.25">
      <c r="B5" s="6">
        <v>1122006</v>
      </c>
      <c r="C5" s="6" t="s">
        <v>972</v>
      </c>
      <c r="D5" s="189">
        <v>0.10450020900000001</v>
      </c>
      <c r="E5" s="72">
        <v>19.000038</v>
      </c>
      <c r="F5" s="245">
        <f>VLOOKUP(B5,[2]Hoja1!$C$2:$E$279,3,FALSE)</f>
        <v>12955.53</v>
      </c>
      <c r="G5" s="270">
        <f>F5*D5</f>
        <v>1353.8555927057703</v>
      </c>
      <c r="H5" s="245">
        <v>14266.27</v>
      </c>
      <c r="I5" s="73">
        <f>H5*D5</f>
        <v>1490.8281966504303</v>
      </c>
      <c r="J5" s="536">
        <f>((F5/H5)*100)-100</f>
        <v>-9.1876853585415148</v>
      </c>
      <c r="K5" s="282">
        <f>$K$4*E5%</f>
        <v>0.10450020900000001</v>
      </c>
      <c r="L5" s="67">
        <f>$L$4*E5%</f>
        <v>95.000190000000003</v>
      </c>
      <c r="M5" s="1403">
        <f>L5*F5</f>
        <v>1230777.8115507001</v>
      </c>
    </row>
    <row r="6" spans="2:13" s="42" customFormat="1" ht="16.5" x14ac:dyDescent="0.25">
      <c r="B6" s="6">
        <v>1112001</v>
      </c>
      <c r="C6" s="6" t="s">
        <v>797</v>
      </c>
      <c r="D6" s="190">
        <v>8.2500165000000014E-2</v>
      </c>
      <c r="E6" s="72">
        <v>15.000030000000001</v>
      </c>
      <c r="F6" s="245">
        <f>VLOOKUP(B6,[2]Hoja1!$C$2:$E$279,3,FALSE)</f>
        <v>3663.96</v>
      </c>
      <c r="G6" s="270">
        <f t="shared" ref="G6:G30" si="0">F6*D6</f>
        <v>302.27730455340003</v>
      </c>
      <c r="H6" s="245">
        <v>4222.72</v>
      </c>
      <c r="I6" s="73">
        <f t="shared" ref="I6:I29" si="1">H6*D6</f>
        <v>348.3750967488001</v>
      </c>
      <c r="J6" s="536">
        <f t="shared" ref="J6:J29" si="2">((F6/H6)*100)-100</f>
        <v>-13.232229463473786</v>
      </c>
      <c r="K6" s="282">
        <f>$K$4*E6%</f>
        <v>8.2500165000000014E-2</v>
      </c>
      <c r="L6" s="67">
        <f t="shared" ref="L6:L30" si="3">$L$4*E6%</f>
        <v>75.000150000000005</v>
      </c>
      <c r="M6" s="1403">
        <f t="shared" ref="M6:M29" si="4">L6*F6</f>
        <v>274797.54959400004</v>
      </c>
    </row>
    <row r="7" spans="2:13" s="42" customFormat="1" ht="16.5" x14ac:dyDescent="0.25">
      <c r="B7" s="6">
        <v>1122002</v>
      </c>
      <c r="C7" s="6" t="s">
        <v>242</v>
      </c>
      <c r="D7" s="190">
        <v>4.9500099000000013E-2</v>
      </c>
      <c r="E7" s="72">
        <v>9.0000180000000007</v>
      </c>
      <c r="F7" s="245">
        <f>VLOOKUP(B7,[2]Hoja1!$C$2:$E$279,3,FALSE)</f>
        <v>12500</v>
      </c>
      <c r="G7" s="270">
        <f t="shared" si="0"/>
        <v>618.75123750000012</v>
      </c>
      <c r="H7" s="896">
        <v>15000</v>
      </c>
      <c r="I7" s="73">
        <f t="shared" si="1"/>
        <v>742.50148500000023</v>
      </c>
      <c r="J7" s="536">
        <f t="shared" si="2"/>
        <v>-16.666666666666657</v>
      </c>
      <c r="K7" s="282">
        <f t="shared" ref="K7:K30" si="5">$K$4*E7%</f>
        <v>4.9500099000000013E-2</v>
      </c>
      <c r="L7" s="67">
        <f t="shared" si="3"/>
        <v>45.000090000000007</v>
      </c>
      <c r="M7" s="1403">
        <f t="shared" si="4"/>
        <v>562501.12500000012</v>
      </c>
    </row>
    <row r="8" spans="2:13" s="42" customFormat="1" ht="16.5" x14ac:dyDescent="0.25">
      <c r="B8" s="6">
        <v>2906001</v>
      </c>
      <c r="C8" s="6" t="s">
        <v>831</v>
      </c>
      <c r="D8" s="190">
        <v>3.3000066000000002E-2</v>
      </c>
      <c r="E8" s="72">
        <v>6.0000119999999999</v>
      </c>
      <c r="F8" s="245">
        <f>VLOOKUP(B8,[2]Hoja1!$C$2:$E$279,3,FALSE)</f>
        <v>1956.71</v>
      </c>
      <c r="G8" s="270">
        <f t="shared" si="0"/>
        <v>64.571559142860011</v>
      </c>
      <c r="H8" s="896">
        <v>2033.73</v>
      </c>
      <c r="I8" s="73">
        <f t="shared" si="1"/>
        <v>67.113224226180009</v>
      </c>
      <c r="J8" s="536">
        <f t="shared" si="2"/>
        <v>-3.7871300516784459</v>
      </c>
      <c r="K8" s="282">
        <f t="shared" si="5"/>
        <v>3.3000066000000002E-2</v>
      </c>
      <c r="L8" s="67">
        <f t="shared" si="3"/>
        <v>30.000059999999998</v>
      </c>
      <c r="M8" s="1403">
        <f t="shared" si="4"/>
        <v>58701.417402599996</v>
      </c>
    </row>
    <row r="9" spans="2:13" s="42" customFormat="1" ht="16.5" x14ac:dyDescent="0.25">
      <c r="B9" s="6">
        <v>1121009</v>
      </c>
      <c r="C9" s="6" t="s">
        <v>1272</v>
      </c>
      <c r="D9" s="190">
        <v>2.2550045100000006E-2</v>
      </c>
      <c r="E9" s="72">
        <v>4.1000082000000004</v>
      </c>
      <c r="F9" s="245">
        <f>VLOOKUP(B9,[2]Hoja1!$C$2:$E$279,3,FALSE)</f>
        <v>8741.6200000000008</v>
      </c>
      <c r="G9" s="270">
        <f t="shared" si="0"/>
        <v>197.12392524706206</v>
      </c>
      <c r="H9" s="245">
        <v>8754.2800000000007</v>
      </c>
      <c r="I9" s="73">
        <f t="shared" si="1"/>
        <v>197.40940881802806</v>
      </c>
      <c r="J9" s="536">
        <f t="shared" si="2"/>
        <v>-0.14461497690273006</v>
      </c>
      <c r="K9" s="282">
        <f t="shared" si="5"/>
        <v>2.2550045100000006E-2</v>
      </c>
      <c r="L9" s="67">
        <f t="shared" si="3"/>
        <v>20.500041000000003</v>
      </c>
      <c r="M9" s="1403">
        <f t="shared" si="4"/>
        <v>179203.56840642003</v>
      </c>
    </row>
    <row r="10" spans="2:13" s="42" customFormat="1" ht="16.5" x14ac:dyDescent="0.25">
      <c r="B10" s="6">
        <v>1111002</v>
      </c>
      <c r="C10" s="6" t="s">
        <v>1170</v>
      </c>
      <c r="D10" s="190">
        <v>1.6500033000000001E-2</v>
      </c>
      <c r="E10" s="72">
        <v>3.000006</v>
      </c>
      <c r="F10" s="245">
        <f>VLOOKUP(B10,[2]Hoja1!$C$2:$E$279,3,FALSE)</f>
        <v>2800</v>
      </c>
      <c r="G10" s="270">
        <f t="shared" si="0"/>
        <v>46.200092400000003</v>
      </c>
      <c r="H10" s="896">
        <v>2803.03</v>
      </c>
      <c r="I10" s="73">
        <f t="shared" si="1"/>
        <v>46.250087499990002</v>
      </c>
      <c r="J10" s="536">
        <f>((F10/H10)*100)-100</f>
        <v>-0.10809730898350267</v>
      </c>
      <c r="K10" s="282">
        <f t="shared" si="5"/>
        <v>1.6500033000000001E-2</v>
      </c>
      <c r="L10" s="67">
        <f t="shared" si="3"/>
        <v>15.000029999999999</v>
      </c>
      <c r="M10" s="1403">
        <f t="shared" si="4"/>
        <v>42000.083999999995</v>
      </c>
    </row>
    <row r="11" spans="2:13" s="42" customFormat="1" ht="16.5" x14ac:dyDescent="0.25">
      <c r="B11" s="6">
        <v>1131002</v>
      </c>
      <c r="C11" s="6" t="s">
        <v>663</v>
      </c>
      <c r="D11" s="189">
        <v>0.15515500000000002</v>
      </c>
      <c r="E11" s="72">
        <v>28.21</v>
      </c>
      <c r="F11" s="245">
        <f>VLOOKUP(B11,[2]Hoja1!$C$2:$E$279,3,FALSE)</f>
        <v>0</v>
      </c>
      <c r="G11" s="270">
        <f t="shared" si="0"/>
        <v>0</v>
      </c>
      <c r="H11" s="245">
        <v>0</v>
      </c>
      <c r="I11" s="73">
        <f t="shared" si="1"/>
        <v>0</v>
      </c>
      <c r="J11" s="536" t="e">
        <f t="shared" si="2"/>
        <v>#DIV/0!</v>
      </c>
      <c r="K11" s="282">
        <f t="shared" si="5"/>
        <v>0.15515500000000002</v>
      </c>
      <c r="L11" s="67">
        <f t="shared" si="3"/>
        <v>141.05000000000001</v>
      </c>
      <c r="M11" s="1403">
        <f t="shared" si="4"/>
        <v>0</v>
      </c>
    </row>
    <row r="12" spans="2:13" s="42" customFormat="1" ht="16.5" x14ac:dyDescent="0.25">
      <c r="B12" s="6">
        <v>1250003</v>
      </c>
      <c r="C12" s="6" t="s">
        <v>914</v>
      </c>
      <c r="D12" s="189">
        <v>2.4200048400000005E-4</v>
      </c>
      <c r="E12" s="72">
        <v>4.4000088E-2</v>
      </c>
      <c r="F12" s="245">
        <f>VLOOKUP(B12,[2]Hoja1!$C$2:$E$279,3,FALSE)</f>
        <v>50952.79</v>
      </c>
      <c r="G12" s="270">
        <f t="shared" si="0"/>
        <v>12.330599841150363</v>
      </c>
      <c r="H12" s="95">
        <v>47385.41</v>
      </c>
      <c r="I12" s="73">
        <f t="shared" si="1"/>
        <v>11.467292154538443</v>
      </c>
      <c r="J12" s="536">
        <f>((F12/H12)*100)-100</f>
        <v>7.5284354403602123</v>
      </c>
      <c r="K12" s="282">
        <f t="shared" si="5"/>
        <v>2.4200048400000005E-4</v>
      </c>
      <c r="L12" s="67">
        <f t="shared" si="3"/>
        <v>0.22000044000000002</v>
      </c>
      <c r="M12" s="1403">
        <f t="shared" si="4"/>
        <v>11209.636219227601</v>
      </c>
    </row>
    <row r="13" spans="2:13" s="42" customFormat="1" ht="16.5" x14ac:dyDescent="0.25">
      <c r="B13" s="6">
        <v>1250009</v>
      </c>
      <c r="C13" s="6" t="s">
        <v>1279</v>
      </c>
      <c r="D13" s="190">
        <v>6.6000132000000006E-5</v>
      </c>
      <c r="E13" s="72">
        <v>1.2000024E-2</v>
      </c>
      <c r="F13" s="245">
        <f>VLOOKUP(B13,[2]Hoja1!$C$2:$E$279,3,FALSE)</f>
        <v>83551.55</v>
      </c>
      <c r="G13" s="270">
        <f t="shared" si="0"/>
        <v>5.5144133288046007</v>
      </c>
      <c r="H13" s="880">
        <v>71910.02</v>
      </c>
      <c r="I13" s="73">
        <f t="shared" si="1"/>
        <v>4.7460708121226407</v>
      </c>
      <c r="J13" s="536">
        <f t="shared" si="2"/>
        <v>16.18902344902699</v>
      </c>
      <c r="K13" s="282">
        <f t="shared" si="5"/>
        <v>6.6000132000000006E-5</v>
      </c>
      <c r="L13" s="67">
        <f t="shared" si="3"/>
        <v>6.0000119999999997E-2</v>
      </c>
      <c r="M13" s="1403">
        <f t="shared" si="4"/>
        <v>5013.1030261859996</v>
      </c>
    </row>
    <row r="14" spans="2:13" s="42" customFormat="1" ht="16.5" x14ac:dyDescent="0.25">
      <c r="B14" s="6">
        <v>1210005</v>
      </c>
      <c r="C14" s="6" t="s">
        <v>1155</v>
      </c>
      <c r="D14" s="190">
        <v>3.3000000000000004E-3</v>
      </c>
      <c r="E14" s="72">
        <v>0.6</v>
      </c>
      <c r="F14" s="245">
        <f>VLOOKUP(B14,[2]Hoja1!$C$2:$E$279,3,FALSE)</f>
        <v>1356</v>
      </c>
      <c r="G14" s="270">
        <f t="shared" si="0"/>
        <v>4.474800000000001</v>
      </c>
      <c r="H14" s="914">
        <v>8910.1</v>
      </c>
      <c r="I14" s="73">
        <f t="shared" si="1"/>
        <v>29.403330000000004</v>
      </c>
      <c r="J14" s="536">
        <f t="shared" si="2"/>
        <v>-84.781315585683672</v>
      </c>
      <c r="K14" s="282">
        <f>$K$4*E14%</f>
        <v>3.3000000000000004E-3</v>
      </c>
      <c r="L14" s="67">
        <f t="shared" si="3"/>
        <v>3</v>
      </c>
      <c r="M14" s="1403">
        <f t="shared" si="4"/>
        <v>4068</v>
      </c>
    </row>
    <row r="15" spans="2:13" s="42" customFormat="1" ht="16.5" x14ac:dyDescent="0.25">
      <c r="B15" s="6">
        <v>1210010</v>
      </c>
      <c r="C15" s="6" t="s">
        <v>1351</v>
      </c>
      <c r="D15" s="190">
        <v>2.2000000000000001E-3</v>
      </c>
      <c r="E15" s="72">
        <v>0.4</v>
      </c>
      <c r="F15" s="245">
        <f>VLOOKUP(B15,[2]Hoja1!$C$2:$E$279,3,FALSE)</f>
        <v>11600</v>
      </c>
      <c r="G15" s="270"/>
      <c r="H15" s="950"/>
      <c r="I15" s="73"/>
      <c r="J15" s="536"/>
      <c r="K15" s="282">
        <f>$K$4*E15%</f>
        <v>2.2000000000000001E-3</v>
      </c>
      <c r="L15" s="67">
        <f t="shared" si="3"/>
        <v>2</v>
      </c>
      <c r="M15" s="1403"/>
    </row>
    <row r="16" spans="2:13" s="42" customFormat="1" ht="16.5" x14ac:dyDescent="0.25">
      <c r="B16" s="6">
        <v>1210004</v>
      </c>
      <c r="C16" s="6" t="s">
        <v>1131</v>
      </c>
      <c r="D16" s="190">
        <v>4.7300094600000007E-4</v>
      </c>
      <c r="E16" s="72">
        <v>8.6000172E-2</v>
      </c>
      <c r="F16" s="245">
        <f>VLOOKUP(B16,[2]Hoja1!$C$2:$E$279,3,FALSE)</f>
        <v>3841</v>
      </c>
      <c r="G16" s="270">
        <f t="shared" si="0"/>
        <v>1.8167966335860002</v>
      </c>
      <c r="H16" s="866">
        <v>3508.01</v>
      </c>
      <c r="I16" s="73">
        <f t="shared" si="1"/>
        <v>1.6592920485774603</v>
      </c>
      <c r="J16" s="536">
        <f t="shared" si="2"/>
        <v>9.4922762477871885</v>
      </c>
      <c r="K16" s="282">
        <f>$K$4*E16%</f>
        <v>4.7300094600000007E-4</v>
      </c>
      <c r="L16" s="67">
        <f t="shared" si="3"/>
        <v>0.43000086000000004</v>
      </c>
      <c r="M16" s="1403">
        <f t="shared" si="4"/>
        <v>1651.63330326</v>
      </c>
    </row>
    <row r="17" spans="2:13" s="42" customFormat="1" ht="16.5" x14ac:dyDescent="0.25">
      <c r="B17" s="6">
        <v>121007</v>
      </c>
      <c r="C17" s="6" t="s">
        <v>821</v>
      </c>
      <c r="D17" s="190">
        <v>2.7280054559999998E-3</v>
      </c>
      <c r="E17" s="72">
        <v>0.49600099199999997</v>
      </c>
      <c r="F17" s="245">
        <f>VLOOKUP(B17,[2]Hoja1!$C$2:$E$279,3,FALSE)</f>
        <v>16905</v>
      </c>
      <c r="G17" s="270">
        <f t="shared" si="0"/>
        <v>46.116932233679997</v>
      </c>
      <c r="H17" s="245">
        <v>16100</v>
      </c>
      <c r="I17" s="73">
        <f t="shared" si="1"/>
        <v>43.920887841599999</v>
      </c>
      <c r="J17" s="536">
        <f t="shared" si="2"/>
        <v>5</v>
      </c>
      <c r="K17" s="282">
        <f t="shared" si="5"/>
        <v>2.7280054559999998E-3</v>
      </c>
      <c r="L17" s="67">
        <f t="shared" si="3"/>
        <v>2.4800049599999996</v>
      </c>
      <c r="M17" s="1403">
        <f t="shared" si="4"/>
        <v>41924.483848799995</v>
      </c>
    </row>
    <row r="18" spans="2:13" s="42" customFormat="1" ht="16.5" x14ac:dyDescent="0.25">
      <c r="B18" s="6">
        <v>1210003</v>
      </c>
      <c r="C18" s="6" t="s">
        <v>1143</v>
      </c>
      <c r="D18" s="190">
        <v>2.7500055000000004E-4</v>
      </c>
      <c r="E18" s="72">
        <v>5.0000099999999999E-2</v>
      </c>
      <c r="F18" s="245">
        <f>VLOOKUP(B18,[2]Hoja1!$C$2:$E$279,3,FALSE)</f>
        <v>16235.45</v>
      </c>
      <c r="G18" s="270">
        <f t="shared" si="0"/>
        <v>4.4647576794975006</v>
      </c>
      <c r="H18" s="880">
        <v>12852.58</v>
      </c>
      <c r="I18" s="73">
        <f t="shared" si="1"/>
        <v>3.5344665689190005</v>
      </c>
      <c r="J18" s="536">
        <f t="shared" si="2"/>
        <v>26.320551982559152</v>
      </c>
      <c r="K18" s="282">
        <f t="shared" si="5"/>
        <v>2.7500055000000004E-4</v>
      </c>
      <c r="L18" s="67">
        <f t="shared" si="3"/>
        <v>0.25000050000000001</v>
      </c>
      <c r="M18" s="1403">
        <f t="shared" si="4"/>
        <v>4058.8706177250006</v>
      </c>
    </row>
    <row r="19" spans="2:13" s="42" customFormat="1" ht="16.5" x14ac:dyDescent="0.25">
      <c r="B19" s="6">
        <v>1240007</v>
      </c>
      <c r="C19" s="6" t="s">
        <v>1352</v>
      </c>
      <c r="D19" s="189">
        <v>2.2000000000000001E-3</v>
      </c>
      <c r="E19" s="72">
        <v>0.4</v>
      </c>
      <c r="F19" s="245">
        <f>VLOOKUP(B19,[2]Hoja1!$C$2:$E$279,3,FALSE)</f>
        <v>25921.42</v>
      </c>
      <c r="G19" s="270">
        <f t="shared" si="0"/>
        <v>57.027124000000001</v>
      </c>
      <c r="H19" s="914">
        <v>47900</v>
      </c>
      <c r="I19" s="73">
        <f t="shared" si="1"/>
        <v>105.38000000000001</v>
      </c>
      <c r="J19" s="536">
        <f t="shared" si="2"/>
        <v>-45.884300626304807</v>
      </c>
      <c r="K19" s="282">
        <f t="shared" si="5"/>
        <v>2.2000000000000001E-3</v>
      </c>
      <c r="L19" s="67">
        <f t="shared" si="3"/>
        <v>2</v>
      </c>
      <c r="M19" s="1403">
        <f t="shared" si="4"/>
        <v>51842.84</v>
      </c>
    </row>
    <row r="20" spans="2:13" s="42" customFormat="1" ht="16.5" x14ac:dyDescent="0.25">
      <c r="B20" s="6">
        <v>1230008</v>
      </c>
      <c r="C20" s="6" t="s">
        <v>1183</v>
      </c>
      <c r="D20" s="189">
        <v>4.0920081840000004E-3</v>
      </c>
      <c r="E20" s="72">
        <v>0.74400148799999999</v>
      </c>
      <c r="F20" s="245">
        <f>VLOOKUP(B20,[2]Hoja1!$C$2:$E$279,3,FALSE)</f>
        <v>26735</v>
      </c>
      <c r="G20" s="270">
        <f t="shared" si="0"/>
        <v>109.39983879924002</v>
      </c>
      <c r="H20" s="950">
        <v>25396</v>
      </c>
      <c r="I20" s="73">
        <f t="shared" si="1"/>
        <v>103.92063984086401</v>
      </c>
      <c r="J20" s="536">
        <f t="shared" si="2"/>
        <v>5.2724838557253122</v>
      </c>
      <c r="K20" s="282">
        <f t="shared" si="5"/>
        <v>4.0920081840000004E-3</v>
      </c>
      <c r="L20" s="67">
        <f t="shared" si="3"/>
        <v>3.7200074399999998</v>
      </c>
      <c r="M20" s="1403">
        <f t="shared" si="4"/>
        <v>99454.398908399991</v>
      </c>
    </row>
    <row r="21" spans="2:13" s="42" customFormat="1" ht="16.5" x14ac:dyDescent="0.25">
      <c r="B21" s="6">
        <v>1230010</v>
      </c>
      <c r="C21" s="6" t="s">
        <v>1164</v>
      </c>
      <c r="D21" s="189">
        <v>2.2000044000000003E-3</v>
      </c>
      <c r="E21" s="72">
        <v>0.40000079999999999</v>
      </c>
      <c r="F21" s="245">
        <f>VLOOKUP(B21,[2]Hoja1!$C$2:$E$279,3,FALSE)</f>
        <v>53831</v>
      </c>
      <c r="G21" s="270">
        <f t="shared" si="0"/>
        <v>118.42843685640001</v>
      </c>
      <c r="H21" s="950">
        <v>50310</v>
      </c>
      <c r="I21" s="73">
        <f t="shared" si="1"/>
        <v>110.68222136400001</v>
      </c>
      <c r="J21" s="536">
        <f t="shared" si="2"/>
        <v>6.9986086265156047</v>
      </c>
      <c r="K21" s="282">
        <f t="shared" si="5"/>
        <v>2.2000044000000003E-3</v>
      </c>
      <c r="L21" s="67">
        <f t="shared" si="3"/>
        <v>2.0000040000000001</v>
      </c>
      <c r="M21" s="1403">
        <f t="shared" si="4"/>
        <v>107662.215324</v>
      </c>
    </row>
    <row r="22" spans="2:13" s="42" customFormat="1" ht="16.5" x14ac:dyDescent="0.25">
      <c r="B22" s="6">
        <v>1220010</v>
      </c>
      <c r="C22" s="6" t="s">
        <v>1144</v>
      </c>
      <c r="D22" s="189">
        <v>2.7500055000000004E-3</v>
      </c>
      <c r="E22" s="72">
        <v>0.50000100000000003</v>
      </c>
      <c r="F22" s="245">
        <f>VLOOKUP(B22,[2]Hoja1!$C$2:$E$279,3,FALSE)</f>
        <v>4744.72</v>
      </c>
      <c r="G22" s="270">
        <f t="shared" si="0"/>
        <v>13.048006095960003</v>
      </c>
      <c r="H22" s="950">
        <v>9381</v>
      </c>
      <c r="I22" s="73">
        <f t="shared" si="1"/>
        <v>25.797801595500005</v>
      </c>
      <c r="J22" s="536">
        <f t="shared" si="2"/>
        <v>-49.42202323846071</v>
      </c>
      <c r="K22" s="282">
        <f t="shared" si="5"/>
        <v>2.7500055000000004E-3</v>
      </c>
      <c r="L22" s="67">
        <f t="shared" si="3"/>
        <v>2.5000049999999998</v>
      </c>
      <c r="M22" s="1403">
        <f t="shared" si="4"/>
        <v>11861.8237236</v>
      </c>
    </row>
    <row r="23" spans="2:13" s="42" customFormat="1" ht="16.5" x14ac:dyDescent="0.25">
      <c r="B23" s="6">
        <v>1270009</v>
      </c>
      <c r="C23" s="30" t="s">
        <v>1225</v>
      </c>
      <c r="D23" s="189">
        <v>3.3000065999999996E-4</v>
      </c>
      <c r="E23" s="72">
        <v>6.0000119999999997E-2</v>
      </c>
      <c r="F23" s="245">
        <f>VLOOKUP(B23,[2]Hoja1!$C$2:$E$279,3,FALSE)</f>
        <v>57046.53</v>
      </c>
      <c r="G23" s="270">
        <f t="shared" si="0"/>
        <v>18.825392550709797</v>
      </c>
      <c r="H23" s="178">
        <v>60863.23</v>
      </c>
      <c r="I23" s="73">
        <f t="shared" si="1"/>
        <v>20.084906069731797</v>
      </c>
      <c r="J23" s="536">
        <f t="shared" si="2"/>
        <v>-6.2709455281949431</v>
      </c>
      <c r="K23" s="282">
        <f t="shared" si="5"/>
        <v>3.3000065999999996E-4</v>
      </c>
      <c r="L23" s="67">
        <f t="shared" si="3"/>
        <v>0.30000059999999995</v>
      </c>
      <c r="M23" s="1403">
        <f t="shared" si="4"/>
        <v>17113.993227917996</v>
      </c>
    </row>
    <row r="24" spans="2:13" s="42" customFormat="1" ht="16.5" x14ac:dyDescent="0.25">
      <c r="B24" s="6">
        <v>1260014</v>
      </c>
      <c r="C24" s="6" t="s">
        <v>825</v>
      </c>
      <c r="D24" s="190">
        <v>5.5000110000000008E-3</v>
      </c>
      <c r="E24" s="72">
        <v>1.0000020000000001</v>
      </c>
      <c r="F24" s="245">
        <f>VLOOKUP(B24,[2]Hoja1!$C$2:$E$279,3,FALSE)</f>
        <v>28083.42</v>
      </c>
      <c r="G24" s="270">
        <f t="shared" si="0"/>
        <v>154.45911891762</v>
      </c>
      <c r="H24" s="8">
        <v>40834.379999999997</v>
      </c>
      <c r="I24" s="73">
        <f t="shared" si="1"/>
        <v>224.58953917818002</v>
      </c>
      <c r="J24" s="536">
        <f t="shared" si="2"/>
        <v>-31.226040410066219</v>
      </c>
      <c r="K24" s="282">
        <f t="shared" si="5"/>
        <v>5.5000110000000008E-3</v>
      </c>
      <c r="L24" s="67">
        <f t="shared" si="3"/>
        <v>5.0000099999999996</v>
      </c>
      <c r="M24" s="1403">
        <f t="shared" si="4"/>
        <v>140417.38083419998</v>
      </c>
    </row>
    <row r="25" spans="2:13" s="42" customFormat="1" ht="16.5" x14ac:dyDescent="0.25">
      <c r="B25" s="6">
        <v>1260009</v>
      </c>
      <c r="C25" s="6" t="s">
        <v>1027</v>
      </c>
      <c r="D25" s="190">
        <v>1.5950031900000002E-2</v>
      </c>
      <c r="E25" s="72">
        <v>2.9000058000000002</v>
      </c>
      <c r="F25" s="245">
        <f>VLOOKUP(B25,[2]Hoja1!$C$2:$E$279,3,FALSE)</f>
        <v>7033.69</v>
      </c>
      <c r="G25" s="270">
        <f t="shared" si="0"/>
        <v>112.18757987471101</v>
      </c>
      <c r="H25" s="153">
        <v>9565.2099999999991</v>
      </c>
      <c r="I25" s="73">
        <f t="shared" si="1"/>
        <v>152.565404630199</v>
      </c>
      <c r="J25" s="536">
        <f t="shared" si="2"/>
        <v>-26.465911360022403</v>
      </c>
      <c r="K25" s="282">
        <f t="shared" si="5"/>
        <v>1.5950031900000002E-2</v>
      </c>
      <c r="L25" s="67">
        <f t="shared" si="3"/>
        <v>14.500029000000001</v>
      </c>
      <c r="M25" s="1403">
        <f t="shared" si="4"/>
        <v>101988.70897701</v>
      </c>
    </row>
    <row r="26" spans="2:13" s="42" customFormat="1" ht="16.5" x14ac:dyDescent="0.25">
      <c r="B26" s="6">
        <v>1260017</v>
      </c>
      <c r="C26" s="6" t="s">
        <v>832</v>
      </c>
      <c r="D26" s="190">
        <v>2.0900041800000001E-2</v>
      </c>
      <c r="E26" s="72">
        <v>3.8000075999999998</v>
      </c>
      <c r="F26" s="245">
        <f>VLOOKUP(B26,[2]Hoja1!$C$2:$E$279,3,FALSE)</f>
        <v>4500</v>
      </c>
      <c r="G26" s="270">
        <f t="shared" si="0"/>
        <v>94.0501881</v>
      </c>
      <c r="H26" s="880">
        <v>4500</v>
      </c>
      <c r="I26" s="73">
        <f t="shared" si="1"/>
        <v>94.0501881</v>
      </c>
      <c r="J26" s="536">
        <f>((F26/H26)*100)-100</f>
        <v>0</v>
      </c>
      <c r="K26" s="282">
        <f t="shared" si="5"/>
        <v>2.0900041800000001E-2</v>
      </c>
      <c r="L26" s="67">
        <f t="shared" si="3"/>
        <v>19.000038</v>
      </c>
      <c r="M26" s="1403">
        <f t="shared" si="4"/>
        <v>85500.171000000002</v>
      </c>
    </row>
    <row r="27" spans="2:13" s="42" customFormat="1" ht="16.5" x14ac:dyDescent="0.25">
      <c r="B27" s="6">
        <v>1260010</v>
      </c>
      <c r="C27" s="6" t="s">
        <v>1043</v>
      </c>
      <c r="D27" s="190">
        <v>9.3500187000000005E-3</v>
      </c>
      <c r="E27" s="72">
        <v>1.7000033999999999</v>
      </c>
      <c r="F27" s="245">
        <f>VLOOKUP(B27,[2]Hoja1!$C$2:$E$279,3,FALSE)</f>
        <v>6959.71</v>
      </c>
      <c r="G27" s="270">
        <f t="shared" si="0"/>
        <v>65.073418646577011</v>
      </c>
      <c r="H27" s="880">
        <v>8234.27</v>
      </c>
      <c r="I27" s="73">
        <f t="shared" si="1"/>
        <v>76.99057848084901</v>
      </c>
      <c r="J27" s="536"/>
      <c r="K27" s="282">
        <f t="shared" si="5"/>
        <v>9.3500187000000005E-3</v>
      </c>
      <c r="L27" s="67">
        <f t="shared" si="3"/>
        <v>8.5000169999999997</v>
      </c>
      <c r="M27" s="1403">
        <f t="shared" si="4"/>
        <v>59157.653315069998</v>
      </c>
    </row>
    <row r="28" spans="2:13" s="42" customFormat="1" ht="16.5" x14ac:dyDescent="0.25">
      <c r="B28" s="6">
        <v>1260005</v>
      </c>
      <c r="C28" s="6" t="s">
        <v>811</v>
      </c>
      <c r="D28" s="190">
        <v>6.6000132000000001E-3</v>
      </c>
      <c r="E28" s="72">
        <v>1.2000024</v>
      </c>
      <c r="F28" s="245">
        <f>VLOOKUP(B28,[2]Hoja1!$C$2:$E$279,3,FALSE)</f>
        <v>26429</v>
      </c>
      <c r="G28" s="270">
        <f t="shared" si="0"/>
        <v>174.43174886279999</v>
      </c>
      <c r="H28" s="896">
        <v>25850</v>
      </c>
      <c r="I28" s="73">
        <f t="shared" si="1"/>
        <v>170.61034122000001</v>
      </c>
      <c r="J28" s="536">
        <f t="shared" si="2"/>
        <v>2.2398452611218715</v>
      </c>
      <c r="K28" s="282">
        <f t="shared" si="5"/>
        <v>6.6000132000000001E-3</v>
      </c>
      <c r="L28" s="67">
        <f t="shared" si="3"/>
        <v>6.0000119999999999</v>
      </c>
      <c r="M28" s="1403">
        <f t="shared" si="4"/>
        <v>158574.317148</v>
      </c>
    </row>
    <row r="29" spans="2:13" s="42" customFormat="1" ht="16.5" x14ac:dyDescent="0.25">
      <c r="B29" s="6">
        <v>1260022</v>
      </c>
      <c r="C29" s="6" t="s">
        <v>974</v>
      </c>
      <c r="D29" s="190">
        <v>5.5000110000000008E-3</v>
      </c>
      <c r="E29" s="72">
        <v>1.0000020000000001</v>
      </c>
      <c r="F29" s="245">
        <f>VLOOKUP(B29,[2]Hoja1!$C$2:$E$279,3,FALSE)</f>
        <v>22988.01</v>
      </c>
      <c r="G29" s="270">
        <f t="shared" si="0"/>
        <v>126.43430786811001</v>
      </c>
      <c r="H29" s="25">
        <v>27066.49</v>
      </c>
      <c r="I29" s="73">
        <f t="shared" si="1"/>
        <v>148.86599273139004</v>
      </c>
      <c r="J29" s="536">
        <f t="shared" si="2"/>
        <v>-15.068374214757824</v>
      </c>
      <c r="K29" s="282">
        <f t="shared" si="5"/>
        <v>5.5000110000000008E-3</v>
      </c>
      <c r="L29" s="67">
        <f t="shared" si="3"/>
        <v>5.0000099999999996</v>
      </c>
      <c r="M29" s="1403">
        <f t="shared" si="4"/>
        <v>114940.27988009999</v>
      </c>
    </row>
    <row r="30" spans="2:13" s="42" customFormat="1" ht="16.5" x14ac:dyDescent="0.25">
      <c r="B30" s="6">
        <v>1260025</v>
      </c>
      <c r="C30" s="6" t="s">
        <v>1261</v>
      </c>
      <c r="D30" s="190">
        <v>1.6500000000000002E-3</v>
      </c>
      <c r="E30" s="72">
        <v>0.3</v>
      </c>
      <c r="F30" s="245">
        <f>VLOOKUP(B30,[2]Hoja1!$C$2:$E$279,3,FALSE)</f>
        <v>60648.01</v>
      </c>
      <c r="G30" s="270">
        <f t="shared" si="0"/>
        <v>100.06921650000001</v>
      </c>
      <c r="H30" s="25"/>
      <c r="I30" s="73"/>
      <c r="J30" s="536"/>
      <c r="K30" s="282">
        <f t="shared" si="5"/>
        <v>1.6500000000000002E-3</v>
      </c>
      <c r="L30" s="67">
        <f t="shared" si="3"/>
        <v>1.5</v>
      </c>
      <c r="M30" s="1403"/>
    </row>
    <row r="31" spans="2:13" s="42" customFormat="1" ht="16.5" x14ac:dyDescent="0.25">
      <c r="B31" s="1777"/>
      <c r="C31" s="1778"/>
      <c r="D31" s="1381">
        <f>SUM(D5:D30)</f>
        <v>0.55001177101200027</v>
      </c>
      <c r="E31" s="1382">
        <f>SUM(E5:E30)</f>
        <v>100.002140184</v>
      </c>
      <c r="F31" s="1354"/>
      <c r="G31" s="1382">
        <f>SUM(G5:G30)</f>
        <v>3800.9323883379379</v>
      </c>
      <c r="H31" s="1383"/>
      <c r="I31" s="1354">
        <f>SUM(I5:I30)</f>
        <v>4220.7464515799002</v>
      </c>
      <c r="J31" s="1331">
        <f>((G31/I31)*100)-100</f>
        <v>-9.9464411818629515</v>
      </c>
      <c r="K31" s="1470"/>
      <c r="L31" s="1337">
        <f>SUM(L5:L30)</f>
        <v>500.01070091999986</v>
      </c>
      <c r="M31" s="1472">
        <f>SUM(M5:M30)</f>
        <v>3364421.0653072163</v>
      </c>
    </row>
    <row r="33" spans="2:11" ht="25.5" x14ac:dyDescent="0.35">
      <c r="B33" s="1760" t="s">
        <v>50</v>
      </c>
      <c r="C33" s="1754"/>
      <c r="D33" s="38">
        <f>+C36+(C36*C42%)</f>
        <v>550</v>
      </c>
      <c r="E33" s="91"/>
      <c r="F33" s="186"/>
      <c r="G33" s="91"/>
      <c r="H33" s="91"/>
      <c r="I33" s="91"/>
    </row>
    <row r="34" spans="2:11" x14ac:dyDescent="0.25">
      <c r="B34" s="1264" t="s">
        <v>38</v>
      </c>
      <c r="C34" s="93" t="s">
        <v>113</v>
      </c>
      <c r="D34" s="38"/>
      <c r="H34" s="38"/>
    </row>
    <row r="35" spans="2:11" x14ac:dyDescent="0.25">
      <c r="B35" s="1265" t="s">
        <v>39</v>
      </c>
      <c r="C35" s="21" t="s">
        <v>408</v>
      </c>
      <c r="D35" s="38"/>
      <c r="H35" s="38"/>
    </row>
    <row r="36" spans="2:11" x14ac:dyDescent="0.25">
      <c r="B36" s="1265" t="s">
        <v>40</v>
      </c>
      <c r="C36" s="21">
        <v>500</v>
      </c>
      <c r="D36" s="38"/>
      <c r="H36" s="38"/>
    </row>
    <row r="37" spans="2:11" x14ac:dyDescent="0.25">
      <c r="B37" s="1265" t="s">
        <v>41</v>
      </c>
      <c r="C37" s="21">
        <v>0</v>
      </c>
      <c r="D37" s="38"/>
      <c r="H37" s="38"/>
    </row>
    <row r="38" spans="2:11" x14ac:dyDescent="0.25">
      <c r="B38" s="1265" t="s">
        <v>42</v>
      </c>
      <c r="C38" s="21">
        <v>0.5</v>
      </c>
      <c r="D38" s="38"/>
      <c r="H38" s="38"/>
    </row>
    <row r="39" spans="2:11" x14ac:dyDescent="0.25">
      <c r="B39" s="1265" t="s">
        <v>43</v>
      </c>
      <c r="C39" s="21">
        <v>0.5</v>
      </c>
      <c r="D39" s="38"/>
      <c r="H39" s="38"/>
    </row>
    <row r="40" spans="2:11" x14ac:dyDescent="0.25">
      <c r="B40" s="1265" t="s">
        <v>44</v>
      </c>
      <c r="C40" s="21">
        <v>7</v>
      </c>
      <c r="D40" s="38"/>
      <c r="H40" s="38"/>
    </row>
    <row r="41" spans="2:11" x14ac:dyDescent="0.25">
      <c r="B41" s="1265" t="s">
        <v>45</v>
      </c>
      <c r="C41" s="21">
        <v>2</v>
      </c>
      <c r="D41" s="38"/>
      <c r="H41" s="38"/>
    </row>
    <row r="42" spans="2:11" x14ac:dyDescent="0.25">
      <c r="B42" s="1265" t="s">
        <v>46</v>
      </c>
      <c r="C42" s="21">
        <f>C41+C40+C39+C38</f>
        <v>10</v>
      </c>
      <c r="D42" s="38"/>
      <c r="H42" s="38"/>
    </row>
    <row r="44" spans="2:11" ht="25.5" x14ac:dyDescent="0.35">
      <c r="B44" s="1805" t="s">
        <v>47</v>
      </c>
      <c r="C44" s="1806"/>
      <c r="D44" s="1806"/>
      <c r="E44" s="1806"/>
      <c r="F44" s="1806"/>
      <c r="G44" s="1806"/>
      <c r="H44" s="1806"/>
      <c r="I44" s="1806"/>
      <c r="J44" s="146"/>
    </row>
    <row r="45" spans="2:11" s="120" customFormat="1" ht="25.5" x14ac:dyDescent="0.25">
      <c r="B45" s="1266" t="s">
        <v>0</v>
      </c>
      <c r="C45" s="1266" t="s">
        <v>1</v>
      </c>
      <c r="D45" s="1286" t="s">
        <v>2</v>
      </c>
      <c r="E45" s="1243" t="str">
        <f>+'CIF Y PV'!$F$4</f>
        <v xml:space="preserve">JUN-COP/UMB </v>
      </c>
      <c r="F45" s="1243" t="str">
        <f>+'CIF Y PV'!$G$4</f>
        <v>JUN-COP/APP</v>
      </c>
      <c r="G45" s="1243" t="str">
        <f>+'CIF Y PV'!$H$4</f>
        <v xml:space="preserve">MAY-COP/UMB </v>
      </c>
      <c r="H45" s="1243" t="str">
        <f>+'CIF Y PV'!$I$4</f>
        <v>MAY-COP/APP</v>
      </c>
      <c r="I45" s="1326" t="s">
        <v>3</v>
      </c>
      <c r="J45" s="146">
        <v>2961</v>
      </c>
      <c r="K45" s="1037"/>
    </row>
    <row r="46" spans="2:11" x14ac:dyDescent="0.25">
      <c r="B46" s="4">
        <v>1370002</v>
      </c>
      <c r="C46" s="4" t="s">
        <v>1165</v>
      </c>
      <c r="D46" s="103">
        <v>5.3999999999999999E-2</v>
      </c>
      <c r="E46" s="5">
        <f>VLOOKUP(B46,[2]Hoja1!$C$2:$E$279,3,FALSE)</f>
        <v>5325.93</v>
      </c>
      <c r="F46" s="103">
        <f>E46*D46</f>
        <v>287.60022000000004</v>
      </c>
      <c r="G46" s="5">
        <v>4879.67</v>
      </c>
      <c r="H46" s="5">
        <f>G46*D46</f>
        <v>263.50218000000001</v>
      </c>
      <c r="I46" s="643">
        <f>((E46/G46)*100)-100</f>
        <v>9.1452905626814953</v>
      </c>
      <c r="J46" s="38">
        <f>J45*D46</f>
        <v>159.89400000000001</v>
      </c>
    </row>
    <row r="47" spans="2:11" x14ac:dyDescent="0.25">
      <c r="B47" s="4">
        <v>1380002</v>
      </c>
      <c r="C47" s="4" t="s">
        <v>1051</v>
      </c>
      <c r="D47" s="103">
        <v>0.108</v>
      </c>
      <c r="E47" s="5">
        <f>VLOOKUP(B47,[2]Hoja1!$C$2:$E$279,3,FALSE)</f>
        <v>73.33</v>
      </c>
      <c r="F47" s="24">
        <f>E47*D47</f>
        <v>7.9196399999999993</v>
      </c>
      <c r="G47" s="5">
        <v>76.61</v>
      </c>
      <c r="H47" s="24">
        <f>G47*D47</f>
        <v>8.2738800000000001</v>
      </c>
      <c r="I47" s="643">
        <f>((E47/G47)*100)-100</f>
        <v>-4.281425401383629</v>
      </c>
      <c r="J47" s="38">
        <f>J45*D47</f>
        <v>319.78800000000001</v>
      </c>
    </row>
    <row r="48" spans="2:11" x14ac:dyDescent="0.25">
      <c r="B48" s="4">
        <v>1330010</v>
      </c>
      <c r="C48" s="4" t="s">
        <v>1226</v>
      </c>
      <c r="D48" s="103">
        <v>1</v>
      </c>
      <c r="E48" s="5">
        <f>VLOOKUP(B48,[2]Hoja1!$C$2:$E$279,3,FALSE)</f>
        <v>114</v>
      </c>
      <c r="F48" s="24">
        <f>E48*D48</f>
        <v>114</v>
      </c>
      <c r="G48" s="5">
        <v>114</v>
      </c>
      <c r="H48" s="24">
        <f>G48*D48</f>
        <v>114</v>
      </c>
      <c r="I48" s="643"/>
      <c r="J48" s="38"/>
    </row>
    <row r="49" spans="2:11" x14ac:dyDescent="0.25">
      <c r="B49" s="4">
        <v>1320006</v>
      </c>
      <c r="C49" s="4" t="s">
        <v>1224</v>
      </c>
      <c r="D49" s="103">
        <v>4.7E-2</v>
      </c>
      <c r="E49" s="5">
        <f>VLOOKUP(B49,[2]Hoja1!$C$2:$E$279,3,FALSE)</f>
        <v>963.65</v>
      </c>
      <c r="F49" s="24">
        <f>E49*D49</f>
        <v>45.291550000000001</v>
      </c>
      <c r="G49" s="5">
        <v>1017.07</v>
      </c>
      <c r="H49" s="24">
        <f>G49*D49</f>
        <v>47.802289999999999</v>
      </c>
      <c r="I49" s="643">
        <f>((E49/G49)*100)-100</f>
        <v>-5.2523425132980179</v>
      </c>
      <c r="J49" s="38">
        <f>J45*D49</f>
        <v>139.167</v>
      </c>
    </row>
    <row r="50" spans="2:11" x14ac:dyDescent="0.25">
      <c r="B50" s="4">
        <v>1320006</v>
      </c>
      <c r="C50" s="1548" t="s">
        <v>1228</v>
      </c>
      <c r="D50" s="103">
        <v>4.7E-2</v>
      </c>
      <c r="E50" s="5">
        <f>VLOOKUP(B50,[2]Hoja1!$C$2:$E$279,3,FALSE)</f>
        <v>963.65</v>
      </c>
      <c r="F50" s="24">
        <f>E50*D50</f>
        <v>45.291550000000001</v>
      </c>
      <c r="G50" s="5">
        <v>1017.07</v>
      </c>
      <c r="H50" s="24">
        <f>G50*D50</f>
        <v>47.802289999999999</v>
      </c>
      <c r="I50" s="643">
        <f>((E50/G50)*100)-100</f>
        <v>-5.2523425132980179</v>
      </c>
      <c r="J50" s="38">
        <f>J45*D50</f>
        <v>139.167</v>
      </c>
    </row>
    <row r="52" spans="2:11" s="268" customFormat="1" x14ac:dyDescent="0.25">
      <c r="B52" s="1256"/>
      <c r="C52" s="1256" t="s">
        <v>37</v>
      </c>
      <c r="D52" s="1318"/>
      <c r="E52" s="1257"/>
      <c r="F52" s="1318">
        <f>SUM(F46:F50)</f>
        <v>500.10296000000005</v>
      </c>
      <c r="G52" s="1386"/>
      <c r="H52" s="1386">
        <f>SUM(H46:H50)</f>
        <v>481.38063999999997</v>
      </c>
      <c r="I52" s="1268">
        <f>((F52/H52)*100)-100</f>
        <v>3.8892964203961498</v>
      </c>
      <c r="K52" s="1038"/>
    </row>
    <row r="53" spans="2:11" x14ac:dyDescent="0.25">
      <c r="H53" s="1" t="str">
        <f>+'CIF Y PV'!$G$1</f>
        <v>MAYO</v>
      </c>
      <c r="I53" s="873"/>
      <c r="K53" s="1039"/>
    </row>
    <row r="54" spans="2:11" x14ac:dyDescent="0.25">
      <c r="B54" s="1750" t="s">
        <v>410</v>
      </c>
      <c r="C54" s="1750"/>
      <c r="E54" s="881"/>
      <c r="F54" s="881"/>
      <c r="G54" s="881"/>
      <c r="H54" s="1269">
        <f>+F52+G31</f>
        <v>4301.0353483379376</v>
      </c>
      <c r="I54" s="181"/>
      <c r="J54" s="881"/>
      <c r="K54" s="1040"/>
    </row>
    <row r="55" spans="2:11" x14ac:dyDescent="0.25">
      <c r="B55" s="1758" t="s">
        <v>48</v>
      </c>
      <c r="C55" s="1759"/>
      <c r="E55" s="881"/>
      <c r="F55" s="881"/>
      <c r="G55" s="881"/>
      <c r="H55" s="1269">
        <f>+('CIF Y PV'!C3/1000)*500</f>
        <v>945</v>
      </c>
      <c r="I55" s="182"/>
      <c r="J55" s="881"/>
      <c r="K55" s="1041"/>
    </row>
    <row r="56" spans="2:11" x14ac:dyDescent="0.25">
      <c r="B56" s="1758" t="s">
        <v>92</v>
      </c>
      <c r="C56" s="1759"/>
      <c r="E56" s="881"/>
      <c r="F56" s="881"/>
      <c r="G56" s="881"/>
      <c r="H56" s="1269">
        <f>+H55+H54</f>
        <v>5246.0353483379376</v>
      </c>
      <c r="I56" s="152"/>
      <c r="J56" s="881"/>
      <c r="K56" s="1042"/>
    </row>
    <row r="57" spans="2:11" x14ac:dyDescent="0.25">
      <c r="B57" s="1750" t="s">
        <v>49</v>
      </c>
      <c r="C57" s="1750"/>
      <c r="E57" s="881"/>
      <c r="F57" s="881"/>
      <c r="G57" s="881"/>
      <c r="H57" s="1269">
        <f>'CIF Y PV'!C32</f>
        <v>9525.0329999999994</v>
      </c>
      <c r="I57" s="263">
        <f>H57/500</f>
        <v>19.050065999999998</v>
      </c>
      <c r="J57" s="881"/>
      <c r="K57" s="1043"/>
    </row>
    <row r="58" spans="2:11" x14ac:dyDescent="0.25">
      <c r="B58" s="1750" t="s">
        <v>805</v>
      </c>
      <c r="C58" s="1750"/>
      <c r="E58" s="881"/>
      <c r="F58" s="881"/>
      <c r="G58" s="881"/>
      <c r="H58" s="928">
        <f>+(H57-H56)/H57</f>
        <v>0.44923704218789184</v>
      </c>
      <c r="I58" s="137"/>
      <c r="J58" s="38"/>
      <c r="K58" s="1044">
        <f>1-K57</f>
        <v>1</v>
      </c>
    </row>
  </sheetData>
  <mergeCells count="9">
    <mergeCell ref="B58:C58"/>
    <mergeCell ref="B55:C55"/>
    <mergeCell ref="B56:C56"/>
    <mergeCell ref="B57:C57"/>
    <mergeCell ref="B2:I2"/>
    <mergeCell ref="B31:C31"/>
    <mergeCell ref="B33:C33"/>
    <mergeCell ref="B44:I44"/>
    <mergeCell ref="B54:C54"/>
  </mergeCells>
  <pageMargins left="0.7" right="0.7" top="0.75" bottom="0.75" header="0.3" footer="0.3"/>
  <pageSetup scale="38" orientation="portrait" r:id="rId1"/>
  <colBreaks count="1" manualBreakCount="1">
    <brk id="14" max="57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0C2-F449-4F90-88E0-FED38A5C563C}">
  <sheetPr codeName="Hoja66"/>
  <dimension ref="B2:L58"/>
  <sheetViews>
    <sheetView view="pageBreakPreview" topLeftCell="A39" zoomScale="90" zoomScaleNormal="100" zoomScaleSheetLayoutView="90" workbookViewId="0">
      <selection activeCell="H33" sqref="H33"/>
    </sheetView>
  </sheetViews>
  <sheetFormatPr baseColWidth="10" defaultColWidth="11.5703125" defaultRowHeight="13.5" x14ac:dyDescent="0.25"/>
  <cols>
    <col min="1" max="1" width="12.140625" style="1" customWidth="1"/>
    <col min="2" max="2" width="11.5703125" style="1"/>
    <col min="3" max="3" width="67.42578125" style="1" bestFit="1" customWidth="1"/>
    <col min="4" max="5" width="11.5703125" style="1"/>
    <col min="6" max="6" width="12.85546875" style="107" bestFit="1" customWidth="1"/>
    <col min="7" max="7" width="13.5703125" style="1" bestFit="1" customWidth="1"/>
    <col min="8" max="8" width="12.5703125" style="1" bestFit="1" customWidth="1"/>
    <col min="9" max="9" width="14.42578125" style="1" bestFit="1" customWidth="1"/>
    <col min="10" max="10" width="13.42578125" style="1" bestFit="1" customWidth="1"/>
    <col min="11" max="11" width="11.5703125" style="139"/>
    <col min="12" max="16384" width="11.5703125" style="1"/>
  </cols>
  <sheetData>
    <row r="2" spans="2:12" s="42" customFormat="1" ht="26.25" customHeight="1" x14ac:dyDescent="0.25">
      <c r="B2" s="1743" t="s">
        <v>790</v>
      </c>
      <c r="C2" s="1743"/>
      <c r="D2" s="1743"/>
      <c r="E2" s="1743"/>
      <c r="F2" s="1743"/>
      <c r="G2" s="1743"/>
      <c r="H2" s="1743"/>
      <c r="I2" s="1743"/>
      <c r="J2" s="89"/>
      <c r="K2" s="195"/>
      <c r="L2" s="89"/>
    </row>
    <row r="4" spans="2:12" s="180" customFormat="1" ht="25.5" x14ac:dyDescent="0.25">
      <c r="B4" s="1271" t="s">
        <v>0</v>
      </c>
      <c r="C4" s="1271" t="s">
        <v>1</v>
      </c>
      <c r="D4" s="1271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21" t="s">
        <v>3</v>
      </c>
      <c r="K4" s="1388">
        <f>+D33/1000</f>
        <v>0.495</v>
      </c>
    </row>
    <row r="5" spans="2:12" s="42" customFormat="1" ht="16.5" x14ac:dyDescent="0.25">
      <c r="B5" s="6">
        <v>1122006</v>
      </c>
      <c r="C5" s="6" t="s">
        <v>972</v>
      </c>
      <c r="D5" s="71">
        <v>9.4050188100000001E-2</v>
      </c>
      <c r="E5" s="72">
        <v>19.000038</v>
      </c>
      <c r="F5" s="245">
        <f>VLOOKUP(B5,[2]Hoja1!$C$2:$E$279,3,FALSE)</f>
        <v>12955.53</v>
      </c>
      <c r="G5" s="270">
        <f>F5*D5</f>
        <v>1218.470033435193</v>
      </c>
      <c r="H5" s="245">
        <v>14266.27</v>
      </c>
      <c r="I5" s="73">
        <f>H5*D5</f>
        <v>1341.7453769853871</v>
      </c>
      <c r="J5" s="536">
        <f>((F5/H5)*100)-100</f>
        <v>-9.1876853585415148</v>
      </c>
      <c r="K5" s="489">
        <f>$K$4*E5%</f>
        <v>9.4050188100000001E-2</v>
      </c>
    </row>
    <row r="6" spans="2:12" s="42" customFormat="1" ht="16.5" x14ac:dyDescent="0.25">
      <c r="B6" s="6">
        <v>1112001</v>
      </c>
      <c r="C6" s="6" t="s">
        <v>797</v>
      </c>
      <c r="D6" s="70">
        <v>7.4250148500000002E-2</v>
      </c>
      <c r="E6" s="72">
        <v>15.000030000000001</v>
      </c>
      <c r="F6" s="245">
        <f>VLOOKUP(B6,[2]Hoja1!$C$2:$E$279,3,FALSE)</f>
        <v>3663.96</v>
      </c>
      <c r="G6" s="270">
        <f t="shared" ref="G6:G14" si="0">F6*D6</f>
        <v>272.04957409806002</v>
      </c>
      <c r="H6" s="245">
        <v>4222.72</v>
      </c>
      <c r="I6" s="73">
        <f t="shared" ref="I6:I29" si="1">H6*D6</f>
        <v>313.53758707392001</v>
      </c>
      <c r="J6" s="536">
        <f t="shared" ref="J6:J29" si="2">((F6/H6)*100)-100</f>
        <v>-13.232229463473786</v>
      </c>
      <c r="K6" s="489">
        <f t="shared" ref="K6:K14" si="3">$K$4*E6%</f>
        <v>7.4250148500000002E-2</v>
      </c>
    </row>
    <row r="7" spans="2:12" s="42" customFormat="1" ht="16.5" x14ac:dyDescent="0.25">
      <c r="B7" s="6">
        <v>1122002</v>
      </c>
      <c r="C7" s="6" t="s">
        <v>242</v>
      </c>
      <c r="D7" s="70">
        <v>4.4550089100000009E-2</v>
      </c>
      <c r="E7" s="72">
        <v>9.0000180000000007</v>
      </c>
      <c r="F7" s="245">
        <f>VLOOKUP(B7,[2]Hoja1!$C$2:$E$279,3,FALSE)</f>
        <v>12500</v>
      </c>
      <c r="G7" s="270">
        <f t="shared" si="0"/>
        <v>556.87611375000017</v>
      </c>
      <c r="H7" s="896">
        <v>15000</v>
      </c>
      <c r="I7" s="73">
        <f t="shared" si="1"/>
        <v>668.25133650000009</v>
      </c>
      <c r="J7" s="536">
        <f t="shared" si="2"/>
        <v>-16.666666666666657</v>
      </c>
      <c r="K7" s="489">
        <f t="shared" si="3"/>
        <v>4.4550089100000009E-2</v>
      </c>
    </row>
    <row r="8" spans="2:12" s="42" customFormat="1" ht="16.5" x14ac:dyDescent="0.25">
      <c r="B8" s="6">
        <v>2906001</v>
      </c>
      <c r="C8" s="6" t="s">
        <v>831</v>
      </c>
      <c r="D8" s="70">
        <v>2.9700059399999999E-2</v>
      </c>
      <c r="E8" s="72">
        <v>6.0000119999999999</v>
      </c>
      <c r="F8" s="245">
        <f>VLOOKUP(B8,[2]Hoja1!$C$2:$E$279,3,FALSE)</f>
        <v>1956.71</v>
      </c>
      <c r="G8" s="270">
        <f t="shared" si="0"/>
        <v>58.114403228573998</v>
      </c>
      <c r="H8" s="896">
        <v>2033.73</v>
      </c>
      <c r="I8" s="73">
        <f t="shared" si="1"/>
        <v>60.401901803561998</v>
      </c>
      <c r="J8" s="536">
        <f t="shared" si="2"/>
        <v>-3.7871300516784459</v>
      </c>
      <c r="K8" s="489">
        <f t="shared" si="3"/>
        <v>2.9700059399999999E-2</v>
      </c>
    </row>
    <row r="9" spans="2:12" s="42" customFormat="1" ht="16.5" x14ac:dyDescent="0.25">
      <c r="B9" s="6">
        <v>1121009</v>
      </c>
      <c r="C9" s="6" t="s">
        <v>1272</v>
      </c>
      <c r="D9" s="70">
        <v>2.0295040590000004E-2</v>
      </c>
      <c r="E9" s="72">
        <v>4.1000082000000004</v>
      </c>
      <c r="F9" s="245">
        <f>VLOOKUP(B9,[2]Hoja1!$C$2:$E$279,3,FALSE)</f>
        <v>8741.6200000000008</v>
      </c>
      <c r="G9" s="270">
        <f t="shared" si="0"/>
        <v>177.41153272235584</v>
      </c>
      <c r="H9" s="245">
        <v>8754.2800000000007</v>
      </c>
      <c r="I9" s="73">
        <f t="shared" si="1"/>
        <v>177.66846793622526</v>
      </c>
      <c r="J9" s="536">
        <f t="shared" si="2"/>
        <v>-0.14461497690273006</v>
      </c>
      <c r="K9" s="489">
        <f t="shared" si="3"/>
        <v>2.0295040590000004E-2</v>
      </c>
    </row>
    <row r="10" spans="2:12" s="42" customFormat="1" ht="16.5" x14ac:dyDescent="0.25">
      <c r="B10" s="6">
        <v>1111002</v>
      </c>
      <c r="C10" s="6" t="s">
        <v>1170</v>
      </c>
      <c r="D10" s="70">
        <v>1.48500297E-2</v>
      </c>
      <c r="E10" s="72">
        <v>3.000006</v>
      </c>
      <c r="F10" s="245">
        <f>VLOOKUP(B10,[2]Hoja1!$C$2:$E$279,3,FALSE)</f>
        <v>2800</v>
      </c>
      <c r="G10" s="270">
        <f t="shared" si="0"/>
        <v>41.580083160000001</v>
      </c>
      <c r="H10" s="896">
        <v>2803.03</v>
      </c>
      <c r="I10" s="73">
        <f t="shared" si="1"/>
        <v>41.625078749991005</v>
      </c>
      <c r="J10" s="536">
        <f>((F10/H10)*100)-100</f>
        <v>-0.10809730898350267</v>
      </c>
      <c r="K10" s="489">
        <f t="shared" si="3"/>
        <v>1.48500297E-2</v>
      </c>
    </row>
    <row r="11" spans="2:12" s="42" customFormat="1" ht="16.5" x14ac:dyDescent="0.25">
      <c r="B11" s="6">
        <v>1131002</v>
      </c>
      <c r="C11" s="6" t="s">
        <v>663</v>
      </c>
      <c r="D11" s="71">
        <v>0.1396395</v>
      </c>
      <c r="E11" s="72">
        <v>28.21</v>
      </c>
      <c r="F11" s="245">
        <f>VLOOKUP(B11,[2]Hoja1!$C$2:$E$279,3,FALSE)</f>
        <v>0</v>
      </c>
      <c r="G11" s="270">
        <f t="shared" si="0"/>
        <v>0</v>
      </c>
      <c r="H11" s="245">
        <v>0</v>
      </c>
      <c r="I11" s="73">
        <f t="shared" si="1"/>
        <v>0</v>
      </c>
      <c r="J11" s="536" t="e">
        <f t="shared" si="2"/>
        <v>#DIV/0!</v>
      </c>
      <c r="K11" s="489">
        <f t="shared" si="3"/>
        <v>0.1396395</v>
      </c>
    </row>
    <row r="12" spans="2:12" s="42" customFormat="1" ht="16.5" x14ac:dyDescent="0.25">
      <c r="B12" s="6">
        <v>1250003</v>
      </c>
      <c r="C12" s="6" t="s">
        <v>914</v>
      </c>
      <c r="D12" s="71">
        <v>2.1780043560000001E-4</v>
      </c>
      <c r="E12" s="72">
        <v>4.4000088E-2</v>
      </c>
      <c r="F12" s="245">
        <f>VLOOKUP(B12,[2]Hoja1!$C$2:$E$279,3,FALSE)</f>
        <v>50952.79</v>
      </c>
      <c r="G12" s="270">
        <f t="shared" si="0"/>
        <v>11.097539857035324</v>
      </c>
      <c r="H12" s="95">
        <v>47385.41</v>
      </c>
      <c r="I12" s="73">
        <f t="shared" si="1"/>
        <v>10.320562939084597</v>
      </c>
      <c r="J12" s="536">
        <f>((F12/H12)*100)-100</f>
        <v>7.5284354403602123</v>
      </c>
      <c r="K12" s="489">
        <f t="shared" si="3"/>
        <v>2.1780043560000001E-4</v>
      </c>
    </row>
    <row r="13" spans="2:12" s="42" customFormat="1" ht="16.5" x14ac:dyDescent="0.25">
      <c r="B13" s="6">
        <v>1250009</v>
      </c>
      <c r="C13" s="1627" t="s">
        <v>1279</v>
      </c>
      <c r="D13" s="70">
        <v>5.9400118799999996E-5</v>
      </c>
      <c r="E13" s="72">
        <v>1.2000024E-2</v>
      </c>
      <c r="F13" s="245">
        <f>VLOOKUP(B13,[2]Hoja1!$C$2:$E$279,3,FALSE)</f>
        <v>83551.55</v>
      </c>
      <c r="G13" s="270">
        <f t="shared" si="0"/>
        <v>4.9629719959241401</v>
      </c>
      <c r="H13" s="880">
        <v>71910.02</v>
      </c>
      <c r="I13" s="73">
        <f t="shared" si="1"/>
        <v>4.2714637309103756</v>
      </c>
      <c r="J13" s="536">
        <f t="shared" si="2"/>
        <v>16.18902344902699</v>
      </c>
      <c r="K13" s="489">
        <f t="shared" si="3"/>
        <v>5.9400118799999996E-5</v>
      </c>
    </row>
    <row r="14" spans="2:12" s="42" customFormat="1" ht="16.5" x14ac:dyDescent="0.25">
      <c r="B14" s="6">
        <v>1210005</v>
      </c>
      <c r="C14" s="6" t="s">
        <v>1155</v>
      </c>
      <c r="D14" s="70">
        <v>2.97E-3</v>
      </c>
      <c r="E14" s="72">
        <v>0.6</v>
      </c>
      <c r="F14" s="245">
        <f>VLOOKUP(B14,[2]Hoja1!$C$2:$E$279,3,FALSE)</f>
        <v>1356</v>
      </c>
      <c r="G14" s="270">
        <f t="shared" si="0"/>
        <v>4.0273199999999996</v>
      </c>
      <c r="H14" s="880">
        <v>8910.1</v>
      </c>
      <c r="I14" s="73">
        <f t="shared" si="1"/>
        <v>26.462997000000001</v>
      </c>
      <c r="J14" s="536">
        <f t="shared" si="2"/>
        <v>-84.781315585683672</v>
      </c>
      <c r="K14" s="489">
        <f t="shared" si="3"/>
        <v>2.97E-3</v>
      </c>
    </row>
    <row r="15" spans="2:12" s="42" customFormat="1" ht="16.5" x14ac:dyDescent="0.25">
      <c r="B15" s="6">
        <v>1210010</v>
      </c>
      <c r="C15" s="6" t="s">
        <v>1351</v>
      </c>
      <c r="D15" s="70">
        <v>1.98E-3</v>
      </c>
      <c r="E15" s="72">
        <v>0.4</v>
      </c>
      <c r="F15" s="245">
        <f>VLOOKUP(B15,[2]Hoja1!$C$2:$E$279,3,FALSE)</f>
        <v>11600</v>
      </c>
      <c r="G15" s="270">
        <f>F15*D15</f>
        <v>22.968</v>
      </c>
      <c r="H15" s="880"/>
      <c r="I15" s="73"/>
      <c r="J15" s="536"/>
      <c r="K15" s="489">
        <f>$K$4*E15%</f>
        <v>1.98E-3</v>
      </c>
    </row>
    <row r="16" spans="2:12" s="42" customFormat="1" ht="16.5" x14ac:dyDescent="0.25">
      <c r="B16" s="6">
        <v>1210004</v>
      </c>
      <c r="C16" s="6" t="s">
        <v>1131</v>
      </c>
      <c r="D16" s="70">
        <v>4.2570085140000003E-4</v>
      </c>
      <c r="E16" s="72">
        <v>8.6000172E-2</v>
      </c>
      <c r="F16" s="245">
        <f>VLOOKUP(B16,[2]Hoja1!$C$2:$E$279,3,FALSE)</f>
        <v>3841</v>
      </c>
      <c r="G16" s="270">
        <f t="shared" ref="G16:G30" si="4">F16*D16</f>
        <v>1.6351169702274002</v>
      </c>
      <c r="H16" s="880">
        <v>3508.01</v>
      </c>
      <c r="I16" s="73">
        <f t="shared" si="1"/>
        <v>1.4933628437197142</v>
      </c>
      <c r="J16" s="536">
        <f t="shared" si="2"/>
        <v>9.4922762477871885</v>
      </c>
      <c r="K16" s="489">
        <f t="shared" ref="K16:K30" si="5">$K$4*E16%</f>
        <v>4.2570085140000003E-4</v>
      </c>
    </row>
    <row r="17" spans="2:11" s="42" customFormat="1" ht="16.5" x14ac:dyDescent="0.25">
      <c r="B17" s="6">
        <v>121007</v>
      </c>
      <c r="C17" s="6" t="s">
        <v>821</v>
      </c>
      <c r="D17" s="70">
        <v>2.4552049103999996E-3</v>
      </c>
      <c r="E17" s="72">
        <v>0.49600099199999997</v>
      </c>
      <c r="F17" s="245">
        <f>VLOOKUP(B17,[2]Hoja1!$C$2:$E$279,3,FALSE)</f>
        <v>16905</v>
      </c>
      <c r="G17" s="270">
        <f t="shared" si="4"/>
        <v>41.505239010311996</v>
      </c>
      <c r="H17" s="880">
        <v>16100</v>
      </c>
      <c r="I17" s="73">
        <f t="shared" si="1"/>
        <v>39.528799057439997</v>
      </c>
      <c r="J17" s="536">
        <f t="shared" si="2"/>
        <v>5</v>
      </c>
      <c r="K17" s="489">
        <f t="shared" si="5"/>
        <v>2.4552049103999996E-3</v>
      </c>
    </row>
    <row r="18" spans="2:11" s="42" customFormat="1" ht="16.5" x14ac:dyDescent="0.25">
      <c r="B18" s="6">
        <v>1210003</v>
      </c>
      <c r="C18" s="6" t="s">
        <v>1143</v>
      </c>
      <c r="D18" s="70">
        <v>2.4750049500000003E-4</v>
      </c>
      <c r="E18" s="72">
        <v>5.0000099999999999E-2</v>
      </c>
      <c r="F18" s="245">
        <f>VLOOKUP(B18,[2]Hoja1!$C$2:$E$279,3,FALSE)</f>
        <v>16235.45</v>
      </c>
      <c r="G18" s="270">
        <f t="shared" si="4"/>
        <v>4.0182819115477511</v>
      </c>
      <c r="H18" s="914">
        <v>12852.58</v>
      </c>
      <c r="I18" s="73">
        <f t="shared" si="1"/>
        <v>3.1810199120271001</v>
      </c>
      <c r="J18" s="536">
        <f t="shared" si="2"/>
        <v>26.320551982559152</v>
      </c>
      <c r="K18" s="489">
        <f t="shared" si="5"/>
        <v>2.4750049500000003E-4</v>
      </c>
    </row>
    <row r="19" spans="2:11" s="42" customFormat="1" ht="16.5" x14ac:dyDescent="0.25">
      <c r="B19" s="6">
        <v>1240007</v>
      </c>
      <c r="C19" s="6" t="s">
        <v>1352</v>
      </c>
      <c r="D19" s="70">
        <v>1.98E-3</v>
      </c>
      <c r="E19" s="72">
        <v>0.4</v>
      </c>
      <c r="F19" s="245">
        <f>VLOOKUP(B19,[2]Hoja1!$C$2:$E$279,3,FALSE)</f>
        <v>25921.42</v>
      </c>
      <c r="G19" s="270">
        <f t="shared" si="4"/>
        <v>51.324411599999998</v>
      </c>
      <c r="H19" s="866">
        <v>47900</v>
      </c>
      <c r="I19" s="73">
        <f t="shared" si="1"/>
        <v>94.841999999999999</v>
      </c>
      <c r="J19" s="536">
        <f t="shared" si="2"/>
        <v>-45.884300626304807</v>
      </c>
      <c r="K19" s="489">
        <f t="shared" si="5"/>
        <v>1.98E-3</v>
      </c>
    </row>
    <row r="20" spans="2:11" s="42" customFormat="1" ht="16.5" x14ac:dyDescent="0.25">
      <c r="B20" s="6">
        <v>1230008</v>
      </c>
      <c r="C20" s="6" t="s">
        <v>1183</v>
      </c>
      <c r="D20" s="70">
        <v>3.6828073656000001E-3</v>
      </c>
      <c r="E20" s="72">
        <v>0.74400148799999999</v>
      </c>
      <c r="F20" s="245">
        <f>VLOOKUP(B20,[2]Hoja1!$C$2:$E$279,3,FALSE)</f>
        <v>26735</v>
      </c>
      <c r="G20" s="270">
        <f t="shared" si="4"/>
        <v>98.459854919316001</v>
      </c>
      <c r="H20" s="245">
        <v>25396</v>
      </c>
      <c r="I20" s="73">
        <f t="shared" si="1"/>
        <v>93.528575856777607</v>
      </c>
      <c r="J20" s="536">
        <f t="shared" si="2"/>
        <v>5.2724838557253122</v>
      </c>
      <c r="K20" s="489">
        <f t="shared" si="5"/>
        <v>3.6828073656000001E-3</v>
      </c>
    </row>
    <row r="21" spans="2:11" s="42" customFormat="1" ht="16.5" x14ac:dyDescent="0.25">
      <c r="B21" s="6">
        <v>1230010</v>
      </c>
      <c r="C21" s="6" t="s">
        <v>1164</v>
      </c>
      <c r="D21" s="70">
        <v>1.9800039600000002E-3</v>
      </c>
      <c r="E21" s="72">
        <v>0.40000079999999999</v>
      </c>
      <c r="F21" s="245">
        <f>VLOOKUP(B21,[2]Hoja1!$C$2:$E$279,3,FALSE)</f>
        <v>53831</v>
      </c>
      <c r="G21" s="270">
        <f t="shared" si="4"/>
        <v>106.58559317076001</v>
      </c>
      <c r="H21" s="880">
        <v>50310</v>
      </c>
      <c r="I21" s="73">
        <f t="shared" si="1"/>
        <v>99.613999227600004</v>
      </c>
      <c r="J21" s="536">
        <f t="shared" si="2"/>
        <v>6.9986086265156047</v>
      </c>
      <c r="K21" s="489">
        <f t="shared" si="5"/>
        <v>1.9800039600000002E-3</v>
      </c>
    </row>
    <row r="22" spans="2:11" s="42" customFormat="1" ht="16.5" x14ac:dyDescent="0.25">
      <c r="B22" s="6">
        <v>1220010</v>
      </c>
      <c r="C22" s="6" t="s">
        <v>1144</v>
      </c>
      <c r="D22" s="70">
        <v>2.4750049499999999E-3</v>
      </c>
      <c r="E22" s="72">
        <v>0.50000100000000003</v>
      </c>
      <c r="F22" s="245">
        <f>VLOOKUP(B22,[2]Hoja1!$C$2:$E$279,3,FALSE)</f>
        <v>4744.72</v>
      </c>
      <c r="G22" s="270">
        <f t="shared" si="4"/>
        <v>11.743205486364001</v>
      </c>
      <c r="H22" s="914">
        <v>9381</v>
      </c>
      <c r="I22" s="73">
        <f t="shared" si="1"/>
        <v>23.21802143595</v>
      </c>
      <c r="J22" s="536">
        <f t="shared" si="2"/>
        <v>-49.42202323846071</v>
      </c>
      <c r="K22" s="489">
        <f t="shared" si="5"/>
        <v>2.4750049499999999E-3</v>
      </c>
    </row>
    <row r="23" spans="2:11" s="42" customFormat="1" ht="16.5" x14ac:dyDescent="0.25">
      <c r="B23" s="6">
        <v>1270009</v>
      </c>
      <c r="C23" s="30" t="s">
        <v>1225</v>
      </c>
      <c r="D23" s="70">
        <v>2.9700059399999997E-4</v>
      </c>
      <c r="E23" s="72">
        <v>6.0000119999999997E-2</v>
      </c>
      <c r="F23" s="245">
        <f>VLOOKUP(B23,[2]Hoja1!$C$2:$E$279,3,FALSE)</f>
        <v>57046.53</v>
      </c>
      <c r="G23" s="270">
        <f t="shared" si="4"/>
        <v>16.942853295638816</v>
      </c>
      <c r="H23" s="178">
        <v>60863.23</v>
      </c>
      <c r="I23" s="73">
        <f t="shared" si="1"/>
        <v>18.076415462758618</v>
      </c>
      <c r="J23" s="536">
        <f t="shared" si="2"/>
        <v>-6.2709455281949431</v>
      </c>
      <c r="K23" s="489">
        <f t="shared" si="5"/>
        <v>2.9700059399999997E-4</v>
      </c>
    </row>
    <row r="24" spans="2:11" s="42" customFormat="1" ht="16.5" x14ac:dyDescent="0.25">
      <c r="B24" s="6">
        <v>1260014</v>
      </c>
      <c r="C24" s="6" t="s">
        <v>825</v>
      </c>
      <c r="D24" s="70">
        <v>4.9500098999999999E-3</v>
      </c>
      <c r="E24" s="72">
        <v>1.0000020000000001</v>
      </c>
      <c r="F24" s="245">
        <f>VLOOKUP(B24,[2]Hoja1!$C$2:$E$279,3,FALSE)</f>
        <v>28083.42</v>
      </c>
      <c r="G24" s="270">
        <f t="shared" si="4"/>
        <v>139.01320702585798</v>
      </c>
      <c r="H24" s="8">
        <v>40834.379999999997</v>
      </c>
      <c r="I24" s="73">
        <f t="shared" si="1"/>
        <v>202.13058526036198</v>
      </c>
      <c r="J24" s="536">
        <f t="shared" si="2"/>
        <v>-31.226040410066219</v>
      </c>
      <c r="K24" s="489">
        <f t="shared" si="5"/>
        <v>4.9500098999999999E-3</v>
      </c>
    </row>
    <row r="25" spans="2:11" s="42" customFormat="1" ht="16.5" x14ac:dyDescent="0.25">
      <c r="B25" s="6">
        <v>1260009</v>
      </c>
      <c r="C25" s="6" t="s">
        <v>1027</v>
      </c>
      <c r="D25" s="70">
        <v>1.435502871E-2</v>
      </c>
      <c r="E25" s="72">
        <v>2.9000058000000002</v>
      </c>
      <c r="F25" s="245">
        <f>VLOOKUP(B25,[2]Hoja1!$C$2:$E$279,3,FALSE)</f>
        <v>7033.69</v>
      </c>
      <c r="G25" s="270">
        <f t="shared" si="4"/>
        <v>100.9688218872399</v>
      </c>
      <c r="H25" s="153">
        <v>9565.2099999999991</v>
      </c>
      <c r="I25" s="73">
        <f t="shared" si="1"/>
        <v>137.30886416717908</v>
      </c>
      <c r="J25" s="536">
        <f t="shared" si="2"/>
        <v>-26.465911360022403</v>
      </c>
      <c r="K25" s="489">
        <f t="shared" si="5"/>
        <v>1.435502871E-2</v>
      </c>
    </row>
    <row r="26" spans="2:11" s="42" customFormat="1" ht="16.5" x14ac:dyDescent="0.25">
      <c r="B26" s="6">
        <v>1260017</v>
      </c>
      <c r="C26" s="6" t="s">
        <v>832</v>
      </c>
      <c r="D26" s="70">
        <v>1.8810037620000001E-2</v>
      </c>
      <c r="E26" s="72">
        <v>3.8000075999999998</v>
      </c>
      <c r="F26" s="245">
        <f>VLOOKUP(B26,[2]Hoja1!$C$2:$E$279,3,FALSE)</f>
        <v>4500</v>
      </c>
      <c r="G26" s="270">
        <f t="shared" si="4"/>
        <v>84.645169289999998</v>
      </c>
      <c r="H26" s="880">
        <v>4500</v>
      </c>
      <c r="I26" s="73">
        <f t="shared" si="1"/>
        <v>84.645169289999998</v>
      </c>
      <c r="J26" s="536">
        <f t="shared" si="2"/>
        <v>0</v>
      </c>
      <c r="K26" s="489">
        <f t="shared" si="5"/>
        <v>1.8810037620000001E-2</v>
      </c>
    </row>
    <row r="27" spans="2:11" s="42" customFormat="1" ht="16.5" x14ac:dyDescent="0.25">
      <c r="B27" s="6">
        <v>1260010</v>
      </c>
      <c r="C27" s="6" t="s">
        <v>1043</v>
      </c>
      <c r="D27" s="70">
        <v>8.4150168300000001E-3</v>
      </c>
      <c r="E27" s="72">
        <v>1.7000033999999999</v>
      </c>
      <c r="F27" s="245">
        <f>VLOOKUP(B27,[2]Hoja1!$C$2:$E$279,3,FALSE)</f>
        <v>6959.71</v>
      </c>
      <c r="G27" s="270">
        <f t="shared" si="4"/>
        <v>58.5660767819193</v>
      </c>
      <c r="H27" s="880">
        <v>8234.27</v>
      </c>
      <c r="I27" s="73">
        <f t="shared" si="1"/>
        <v>69.291520632764104</v>
      </c>
      <c r="J27" s="536"/>
      <c r="K27" s="489">
        <f t="shared" si="5"/>
        <v>8.4150168300000001E-3</v>
      </c>
    </row>
    <row r="28" spans="2:11" s="42" customFormat="1" ht="16.5" x14ac:dyDescent="0.25">
      <c r="B28" s="6">
        <v>1260005</v>
      </c>
      <c r="C28" s="6" t="s">
        <v>811</v>
      </c>
      <c r="D28" s="71">
        <v>5.9400118800000002E-3</v>
      </c>
      <c r="E28" s="72">
        <v>1.2000024</v>
      </c>
      <c r="F28" s="245">
        <f>VLOOKUP(B28,[2]Hoja1!$C$2:$E$279,3,FALSE)</f>
        <v>26429</v>
      </c>
      <c r="G28" s="270">
        <f t="shared" si="4"/>
        <v>156.98857397652</v>
      </c>
      <c r="H28" s="896">
        <v>25850</v>
      </c>
      <c r="I28" s="73">
        <f t="shared" si="1"/>
        <v>153.54930709800001</v>
      </c>
      <c r="J28" s="536">
        <f t="shared" si="2"/>
        <v>2.2398452611218715</v>
      </c>
      <c r="K28" s="489">
        <f t="shared" si="5"/>
        <v>5.9400118800000002E-3</v>
      </c>
    </row>
    <row r="29" spans="2:11" s="42" customFormat="1" ht="16.5" x14ac:dyDescent="0.25">
      <c r="B29" s="6">
        <v>1260022</v>
      </c>
      <c r="C29" s="6" t="s">
        <v>974</v>
      </c>
      <c r="D29" s="70">
        <v>4.9500098999999999E-3</v>
      </c>
      <c r="E29" s="72">
        <v>1.0000020000000001</v>
      </c>
      <c r="F29" s="245">
        <f>VLOOKUP(B29,[2]Hoja1!$C$2:$E$279,3,FALSE)</f>
        <v>22988.01</v>
      </c>
      <c r="G29" s="270">
        <f t="shared" si="4"/>
        <v>113.79087708129899</v>
      </c>
      <c r="H29" s="25">
        <v>27066.49</v>
      </c>
      <c r="I29" s="73">
        <f t="shared" si="1"/>
        <v>133.979393458251</v>
      </c>
      <c r="J29" s="536">
        <f t="shared" si="2"/>
        <v>-15.068374214757824</v>
      </c>
      <c r="K29" s="489">
        <f t="shared" si="5"/>
        <v>4.9500098999999999E-3</v>
      </c>
    </row>
    <row r="30" spans="2:11" s="42" customFormat="1" ht="16.5" x14ac:dyDescent="0.25">
      <c r="B30" s="6">
        <v>1260025</v>
      </c>
      <c r="C30" s="6" t="s">
        <v>1261</v>
      </c>
      <c r="D30" s="70">
        <v>1.485E-3</v>
      </c>
      <c r="E30" s="72">
        <v>0.3</v>
      </c>
      <c r="F30" s="245">
        <f>VLOOKUP(B30,[2]Hoja1!$C$2:$E$279,3,FALSE)</f>
        <v>60648.01</v>
      </c>
      <c r="G30" s="270">
        <f t="shared" si="4"/>
        <v>90.062294850000001</v>
      </c>
      <c r="H30" s="25"/>
      <c r="I30" s="73"/>
      <c r="J30" s="536"/>
      <c r="K30" s="489">
        <f t="shared" si="5"/>
        <v>1.485E-3</v>
      </c>
    </row>
    <row r="31" spans="2:11" s="42" customFormat="1" ht="16.5" x14ac:dyDescent="0.25">
      <c r="B31" s="1777"/>
      <c r="C31" s="1778"/>
      <c r="D31" s="1381">
        <f>SUM(D5:D30)</f>
        <v>0.49501059391079999</v>
      </c>
      <c r="E31" s="1382">
        <f>SUM(E5:E30)</f>
        <v>100.002140184</v>
      </c>
      <c r="F31" s="1354"/>
      <c r="G31" s="1382">
        <f>SUM(G5:G30)</f>
        <v>3443.8071495041449</v>
      </c>
      <c r="H31" s="1383"/>
      <c r="I31" s="1354">
        <f>SUM(I5:I30)</f>
        <v>3798.6718064219099</v>
      </c>
      <c r="J31" s="1331">
        <f>((G31/I31)*100)-100</f>
        <v>-9.3418087953226774</v>
      </c>
      <c r="K31" s="488"/>
    </row>
    <row r="33" spans="2:11" ht="25.5" x14ac:dyDescent="0.35">
      <c r="B33" s="1760" t="s">
        <v>50</v>
      </c>
      <c r="C33" s="1754"/>
      <c r="D33" s="38">
        <f>+C36+(C36*C42%)</f>
        <v>495</v>
      </c>
      <c r="E33" s="91"/>
      <c r="F33" s="186"/>
      <c r="G33" s="91"/>
      <c r="H33" s="91"/>
      <c r="I33" s="91"/>
    </row>
    <row r="34" spans="2:11" x14ac:dyDescent="0.25">
      <c r="B34" s="1264" t="s">
        <v>38</v>
      </c>
      <c r="C34" s="93" t="s">
        <v>113</v>
      </c>
      <c r="D34" s="38"/>
      <c r="H34" s="38"/>
    </row>
    <row r="35" spans="2:11" x14ac:dyDescent="0.25">
      <c r="B35" s="1265" t="s">
        <v>39</v>
      </c>
      <c r="C35" s="21" t="s">
        <v>408</v>
      </c>
      <c r="D35" s="38"/>
      <c r="H35" s="38"/>
    </row>
    <row r="36" spans="2:11" x14ac:dyDescent="0.25">
      <c r="B36" s="1265" t="s">
        <v>40</v>
      </c>
      <c r="C36" s="21">
        <v>450</v>
      </c>
      <c r="D36" s="38"/>
      <c r="H36" s="38"/>
    </row>
    <row r="37" spans="2:11" x14ac:dyDescent="0.25">
      <c r="B37" s="1265" t="s">
        <v>41</v>
      </c>
      <c r="C37" s="21">
        <v>0</v>
      </c>
      <c r="D37" s="38"/>
      <c r="H37" s="38"/>
    </row>
    <row r="38" spans="2:11" x14ac:dyDescent="0.25">
      <c r="B38" s="1265" t="s">
        <v>42</v>
      </c>
      <c r="C38" s="21">
        <v>0.5</v>
      </c>
      <c r="D38" s="38"/>
      <c r="H38" s="38"/>
    </row>
    <row r="39" spans="2:11" x14ac:dyDescent="0.25">
      <c r="B39" s="1265" t="s">
        <v>43</v>
      </c>
      <c r="C39" s="21">
        <v>0.5</v>
      </c>
      <c r="D39" s="38"/>
      <c r="H39" s="38"/>
    </row>
    <row r="40" spans="2:11" x14ac:dyDescent="0.25">
      <c r="B40" s="1265" t="s">
        <v>44</v>
      </c>
      <c r="C40" s="21">
        <v>7</v>
      </c>
      <c r="D40" s="38"/>
      <c r="H40" s="38"/>
    </row>
    <row r="41" spans="2:11" x14ac:dyDescent="0.25">
      <c r="B41" s="1265" t="s">
        <v>45</v>
      </c>
      <c r="C41" s="21">
        <v>2</v>
      </c>
      <c r="D41" s="38"/>
      <c r="H41" s="38"/>
    </row>
    <row r="42" spans="2:11" x14ac:dyDescent="0.25">
      <c r="B42" s="1265" t="s">
        <v>46</v>
      </c>
      <c r="C42" s="21">
        <f>C41+C40+C39+C38</f>
        <v>10</v>
      </c>
      <c r="D42" s="38"/>
      <c r="H42" s="38"/>
    </row>
    <row r="43" spans="2:11" x14ac:dyDescent="0.25">
      <c r="B43" s="1473"/>
    </row>
    <row r="44" spans="2:11" ht="25.5" x14ac:dyDescent="0.35">
      <c r="B44" s="1805" t="s">
        <v>47</v>
      </c>
      <c r="C44" s="1806"/>
      <c r="D44" s="1806"/>
      <c r="E44" s="1806"/>
      <c r="F44" s="1806"/>
      <c r="G44" s="1806"/>
      <c r="H44" s="1806"/>
      <c r="I44" s="1806"/>
      <c r="J44" s="146"/>
    </row>
    <row r="45" spans="2:11" s="120" customFormat="1" ht="25.5" x14ac:dyDescent="0.25">
      <c r="B45" s="1460" t="s">
        <v>0</v>
      </c>
      <c r="C45" s="1460" t="s">
        <v>1</v>
      </c>
      <c r="D45" s="1461" t="s">
        <v>2</v>
      </c>
      <c r="E45" s="1243" t="str">
        <f>+'CIF Y PV'!$F$4</f>
        <v xml:space="preserve">JUN-COP/UMB </v>
      </c>
      <c r="F45" s="1243" t="str">
        <f>+'CIF Y PV'!$G$4</f>
        <v>JUN-COP/APP</v>
      </c>
      <c r="G45" s="1243" t="str">
        <f>+'CIF Y PV'!$H$4</f>
        <v xml:space="preserve">MAY-COP/UMB </v>
      </c>
      <c r="H45" s="1243" t="str">
        <f>+'CIF Y PV'!$I$4</f>
        <v>MAY-COP/APP</v>
      </c>
      <c r="I45" s="1462" t="s">
        <v>3</v>
      </c>
      <c r="J45" s="146">
        <v>3285</v>
      </c>
      <c r="K45" s="176"/>
    </row>
    <row r="46" spans="2:11" x14ac:dyDescent="0.25">
      <c r="B46" s="610">
        <v>1370002</v>
      </c>
      <c r="C46" s="610" t="s">
        <v>1165</v>
      </c>
      <c r="D46" s="611">
        <v>4.8000000000000001E-2</v>
      </c>
      <c r="E46" s="24">
        <f>VLOOKUP(B46,[2]Hoja1!$C$2:$E$279,3,FALSE)</f>
        <v>5325.93</v>
      </c>
      <c r="F46" s="613">
        <f t="shared" ref="F46:F51" si="6">E46*D46</f>
        <v>255.64464000000001</v>
      </c>
      <c r="G46" s="24">
        <v>4879.67</v>
      </c>
      <c r="H46" s="613">
        <f>G46*D46</f>
        <v>234.22416000000001</v>
      </c>
      <c r="I46" s="674">
        <f>((E46/G46)*100)-100</f>
        <v>9.1452905626814953</v>
      </c>
      <c r="J46" s="38">
        <f>J45*D46</f>
        <v>157.68</v>
      </c>
    </row>
    <row r="47" spans="2:11" x14ac:dyDescent="0.25">
      <c r="B47" s="610">
        <v>1380002</v>
      </c>
      <c r="C47" s="610" t="s">
        <v>1051</v>
      </c>
      <c r="D47" s="611">
        <v>0.08</v>
      </c>
      <c r="E47" s="24">
        <f>VLOOKUP(B47,[2]Hoja1!$C$2:$E$279,3,FALSE)</f>
        <v>73.33</v>
      </c>
      <c r="F47" s="613">
        <f t="shared" si="6"/>
        <v>5.8663999999999996</v>
      </c>
      <c r="G47" s="24">
        <v>76.61</v>
      </c>
      <c r="H47" s="613">
        <f t="shared" ref="H47:H51" si="7">G47*D47</f>
        <v>6.1288</v>
      </c>
      <c r="I47" s="674">
        <f>((E47/G47)*100)-100</f>
        <v>-4.281425401383629</v>
      </c>
      <c r="J47" s="38">
        <f>J45*D47</f>
        <v>262.8</v>
      </c>
    </row>
    <row r="48" spans="2:11" x14ac:dyDescent="0.25">
      <c r="B48" s="610">
        <v>1310017</v>
      </c>
      <c r="C48" s="226" t="s">
        <v>1224</v>
      </c>
      <c r="D48" s="611">
        <v>4.7E-2</v>
      </c>
      <c r="E48" s="24">
        <f>VLOOKUP(B48,[2]Hoja1!$C$2:$E$279,3,FALSE)</f>
        <v>698.26</v>
      </c>
      <c r="F48" s="613">
        <f t="shared" si="6"/>
        <v>32.818219999999997</v>
      </c>
      <c r="G48" s="24">
        <v>771.15</v>
      </c>
      <c r="H48" s="613">
        <f t="shared" si="7"/>
        <v>36.244050000000001</v>
      </c>
      <c r="I48" s="674">
        <f>((E48/G48)*100)-100</f>
        <v>-9.4521169681644324</v>
      </c>
      <c r="J48" s="38">
        <f>J45*D48</f>
        <v>154.39500000000001</v>
      </c>
    </row>
    <row r="49" spans="2:11" ht="14.25" x14ac:dyDescent="0.25">
      <c r="B49" s="610">
        <v>1330060</v>
      </c>
      <c r="C49" s="1168" t="s">
        <v>1022</v>
      </c>
      <c r="D49" s="611">
        <v>1</v>
      </c>
      <c r="E49" s="24">
        <f>VLOOKUP(B49,[2]Hoja1!$C$2:$E$279,3,FALSE)</f>
        <v>82.1</v>
      </c>
      <c r="F49" s="613">
        <f t="shared" si="6"/>
        <v>82.1</v>
      </c>
      <c r="G49" s="123">
        <v>82.69</v>
      </c>
      <c r="H49" s="613">
        <f t="shared" si="7"/>
        <v>82.69</v>
      </c>
      <c r="I49" s="674">
        <f>((E49/G49)*100)-100</f>
        <v>-0.71350828395210897</v>
      </c>
      <c r="J49" s="38">
        <f>J45*D49</f>
        <v>3285</v>
      </c>
    </row>
    <row r="50" spans="2:11" ht="14.25" x14ac:dyDescent="0.25">
      <c r="B50" s="610">
        <v>1330028</v>
      </c>
      <c r="C50" s="1544" t="s">
        <v>1005</v>
      </c>
      <c r="D50" s="611">
        <v>1</v>
      </c>
      <c r="E50" s="24">
        <f>VLOOKUP(B50,[2]Hoja1!$C$2:$E$279,3,FALSE)</f>
        <v>144.94</v>
      </c>
      <c r="F50" s="613">
        <f t="shared" si="6"/>
        <v>144.94</v>
      </c>
      <c r="G50" s="115">
        <v>144.28</v>
      </c>
      <c r="H50" s="613">
        <f>G50*D50</f>
        <v>144.28</v>
      </c>
      <c r="I50" s="674"/>
      <c r="J50" s="38"/>
    </row>
    <row r="51" spans="2:11" x14ac:dyDescent="0.25">
      <c r="B51" s="610">
        <v>1320006</v>
      </c>
      <c r="C51" s="226" t="s">
        <v>1228</v>
      </c>
      <c r="D51" s="611">
        <v>4.7E-2</v>
      </c>
      <c r="E51" s="24">
        <f>VLOOKUP(B51,[2]Hoja1!$C$2:$E$279,3,FALSE)</f>
        <v>963.65</v>
      </c>
      <c r="F51" s="613">
        <f t="shared" si="6"/>
        <v>45.291550000000001</v>
      </c>
      <c r="G51" s="24">
        <v>1017.07</v>
      </c>
      <c r="H51" s="613">
        <f t="shared" si="7"/>
        <v>47.802289999999999</v>
      </c>
      <c r="I51" s="674">
        <f>((E51/G51)*100)-100</f>
        <v>-5.2523425132980179</v>
      </c>
      <c r="J51" s="38">
        <f>J45*D51</f>
        <v>154.39500000000001</v>
      </c>
    </row>
    <row r="52" spans="2:11" x14ac:dyDescent="0.25">
      <c r="B52" s="1463"/>
      <c r="C52" s="1463" t="s">
        <v>37</v>
      </c>
      <c r="D52" s="1464"/>
      <c r="E52" s="1465"/>
      <c r="F52" s="1466">
        <f>SUM(F46:F51)</f>
        <v>566.66080999999997</v>
      </c>
      <c r="G52" s="1466"/>
      <c r="H52" s="1466">
        <f>SUM(H46:H51)</f>
        <v>551.36929999999995</v>
      </c>
      <c r="I52" s="1467">
        <f>((F52/H52)*100)-100</f>
        <v>2.7733698629938317</v>
      </c>
    </row>
    <row r="53" spans="2:11" x14ac:dyDescent="0.25">
      <c r="H53" s="1" t="str">
        <f>+'CIF Y PV'!$G$1</f>
        <v>MAYO</v>
      </c>
      <c r="I53" s="873"/>
      <c r="K53" s="873"/>
    </row>
    <row r="54" spans="2:11" x14ac:dyDescent="0.25">
      <c r="B54" s="1750" t="s">
        <v>410</v>
      </c>
      <c r="C54" s="1750"/>
      <c r="E54" s="881"/>
      <c r="F54" s="881"/>
      <c r="G54" s="881"/>
      <c r="H54" s="1269">
        <f>+G31+F52</f>
        <v>4010.4679595041448</v>
      </c>
      <c r="I54" s="181"/>
      <c r="J54" s="881"/>
      <c r="K54" s="181"/>
    </row>
    <row r="55" spans="2:11" x14ac:dyDescent="0.25">
      <c r="B55" s="1758" t="s">
        <v>48</v>
      </c>
      <c r="C55" s="1759"/>
      <c r="E55" s="881"/>
      <c r="F55" s="881"/>
      <c r="G55" s="881"/>
      <c r="H55" s="1269">
        <f>+('CIF Y PV'!C3/1000)*450</f>
        <v>850.5</v>
      </c>
      <c r="I55" s="182"/>
      <c r="J55" s="881"/>
      <c r="K55" s="182"/>
    </row>
    <row r="56" spans="2:11" x14ac:dyDescent="0.25">
      <c r="B56" s="1758" t="s">
        <v>92</v>
      </c>
      <c r="C56" s="1759"/>
      <c r="E56" s="881"/>
      <c r="F56" s="881"/>
      <c r="G56" s="881"/>
      <c r="H56" s="1269">
        <f>+H55+H54</f>
        <v>4860.9679595041453</v>
      </c>
      <c r="I56" s="152"/>
      <c r="J56" s="881"/>
      <c r="K56" s="152"/>
    </row>
    <row r="57" spans="2:11" x14ac:dyDescent="0.25">
      <c r="B57" s="1750" t="s">
        <v>49</v>
      </c>
      <c r="C57" s="1750"/>
      <c r="E57" s="881"/>
      <c r="F57" s="881"/>
      <c r="G57" s="881"/>
      <c r="H57" s="1269">
        <f>'CIF Y PV'!C34</f>
        <v>10799.082</v>
      </c>
      <c r="J57" s="881"/>
      <c r="K57" s="339"/>
    </row>
    <row r="58" spans="2:11" x14ac:dyDescent="0.25">
      <c r="B58" s="1750" t="s">
        <v>805</v>
      </c>
      <c r="C58" s="1750"/>
      <c r="E58" s="881"/>
      <c r="F58" s="881"/>
      <c r="G58" s="881"/>
      <c r="H58" s="928">
        <f>+(H57-H56)/H57</f>
        <v>0.54987211324961283</v>
      </c>
      <c r="I58" s="137"/>
      <c r="J58" s="38"/>
      <c r="K58" s="137"/>
    </row>
  </sheetData>
  <mergeCells count="9">
    <mergeCell ref="B58:C58"/>
    <mergeCell ref="B55:C55"/>
    <mergeCell ref="B56:C56"/>
    <mergeCell ref="B57:C57"/>
    <mergeCell ref="B2:I2"/>
    <mergeCell ref="B31:C31"/>
    <mergeCell ref="B33:C33"/>
    <mergeCell ref="B44:I44"/>
    <mergeCell ref="B54:C54"/>
  </mergeCells>
  <pageMargins left="0.7" right="0.7" top="0.75" bottom="0.75" header="0.3" footer="0.3"/>
  <pageSetup scale="44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028F-9370-4899-8CF7-884505AFD547}">
  <sheetPr codeName="Hoja67"/>
  <dimension ref="B2:L58"/>
  <sheetViews>
    <sheetView view="pageBreakPreview" topLeftCell="A36" zoomScale="90" zoomScaleNormal="100" zoomScaleSheetLayoutView="90" workbookViewId="0">
      <selection activeCell="G5" sqref="G5:G30"/>
    </sheetView>
  </sheetViews>
  <sheetFormatPr baseColWidth="10" defaultColWidth="11.5703125" defaultRowHeight="13.5" x14ac:dyDescent="0.25"/>
  <cols>
    <col min="1" max="1" width="11.85546875" style="1" customWidth="1"/>
    <col min="2" max="2" width="11.5703125" style="1"/>
    <col min="3" max="3" width="50.7109375" style="1" customWidth="1"/>
    <col min="4" max="5" width="11.5703125" style="1"/>
    <col min="6" max="6" width="12.85546875" style="107" bestFit="1" customWidth="1"/>
    <col min="7" max="7" width="13.5703125" style="1" bestFit="1" customWidth="1"/>
    <col min="8" max="8" width="12.5703125" style="1" bestFit="1" customWidth="1"/>
    <col min="9" max="9" width="14.42578125" style="1" bestFit="1" customWidth="1"/>
    <col min="10" max="10" width="13.42578125" style="1" bestFit="1" customWidth="1"/>
    <col min="11" max="11" width="11.5703125" style="139"/>
    <col min="12" max="16384" width="11.5703125" style="1"/>
  </cols>
  <sheetData>
    <row r="2" spans="2:12" s="42" customFormat="1" ht="26.25" customHeight="1" x14ac:dyDescent="0.25">
      <c r="B2" s="1743" t="s">
        <v>872</v>
      </c>
      <c r="C2" s="1743"/>
      <c r="D2" s="1743"/>
      <c r="E2" s="1743"/>
      <c r="F2" s="1743"/>
      <c r="G2" s="1743"/>
      <c r="H2" s="1743"/>
      <c r="I2" s="1743"/>
      <c r="J2" s="89"/>
      <c r="K2" s="195"/>
      <c r="L2" s="89"/>
    </row>
    <row r="4" spans="2:12" s="180" customFormat="1" ht="18.75" customHeight="1" x14ac:dyDescent="0.25">
      <c r="B4" s="1271" t="s">
        <v>0</v>
      </c>
      <c r="C4" s="1271" t="s">
        <v>1</v>
      </c>
      <c r="D4" s="1271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21" t="s">
        <v>3</v>
      </c>
      <c r="K4" s="1388">
        <f>+D33/1000</f>
        <v>0.2475</v>
      </c>
    </row>
    <row r="5" spans="2:12" s="42" customFormat="1" ht="16.5" x14ac:dyDescent="0.25">
      <c r="B5" s="6">
        <v>1122006</v>
      </c>
      <c r="C5" s="6" t="s">
        <v>972</v>
      </c>
      <c r="D5" s="189">
        <v>4.7025094050000001E-2</v>
      </c>
      <c r="E5" s="72">
        <v>19.000038</v>
      </c>
      <c r="F5" s="245">
        <f>VLOOKUP(B5,[2]Hoja1!$C$2:$E$279,3,FALSE)</f>
        <v>12955.53</v>
      </c>
      <c r="G5" s="247">
        <f>F5*D5</f>
        <v>609.23501671759652</v>
      </c>
      <c r="H5" s="245">
        <v>14266.27</v>
      </c>
      <c r="I5" s="73">
        <f>H5*D5</f>
        <v>670.87268849269356</v>
      </c>
      <c r="J5" s="536">
        <f>((F5/H5)*100)-100</f>
        <v>-9.1876853585415148</v>
      </c>
      <c r="K5" s="489">
        <f>$K$4*E5%</f>
        <v>4.7025094050000001E-2</v>
      </c>
    </row>
    <row r="6" spans="2:12" s="42" customFormat="1" ht="16.5" x14ac:dyDescent="0.25">
      <c r="B6" s="6">
        <v>1112001</v>
      </c>
      <c r="C6" s="6" t="s">
        <v>797</v>
      </c>
      <c r="D6" s="190">
        <v>3.7125074250000001E-2</v>
      </c>
      <c r="E6" s="72">
        <v>15.000030000000001</v>
      </c>
      <c r="F6" s="245">
        <f>VLOOKUP(B6,[2]Hoja1!$C$2:$E$279,3,FALSE)</f>
        <v>3663.96</v>
      </c>
      <c r="G6" s="247">
        <f t="shared" ref="G6:G30" si="0">F6*D6</f>
        <v>136.02478704903001</v>
      </c>
      <c r="H6" s="245">
        <v>4222.72</v>
      </c>
      <c r="I6" s="73">
        <f t="shared" ref="I6:I29" si="1">H6*D6</f>
        <v>156.76879353696</v>
      </c>
      <c r="J6" s="536">
        <f t="shared" ref="J6:J29" si="2">((F6/H6)*100)-100</f>
        <v>-13.232229463473786</v>
      </c>
      <c r="K6" s="489">
        <f t="shared" ref="K6:K14" si="3">$K$4*E6%</f>
        <v>3.7125074250000001E-2</v>
      </c>
    </row>
    <row r="7" spans="2:12" s="42" customFormat="1" ht="16.5" x14ac:dyDescent="0.25">
      <c r="B7" s="6">
        <v>1122002</v>
      </c>
      <c r="C7" s="6" t="s">
        <v>242</v>
      </c>
      <c r="D7" s="190">
        <v>2.2275044550000005E-2</v>
      </c>
      <c r="E7" s="72">
        <v>9.0000180000000007</v>
      </c>
      <c r="F7" s="245">
        <f>VLOOKUP(B7,[2]Hoja1!$C$2:$E$279,3,FALSE)</f>
        <v>12500</v>
      </c>
      <c r="G7" s="247">
        <f t="shared" si="0"/>
        <v>278.43805687500009</v>
      </c>
      <c r="H7" s="896">
        <v>15000</v>
      </c>
      <c r="I7" s="73">
        <f t="shared" si="1"/>
        <v>334.12566825000005</v>
      </c>
      <c r="J7" s="536">
        <f t="shared" si="2"/>
        <v>-16.666666666666657</v>
      </c>
      <c r="K7" s="489">
        <f t="shared" si="3"/>
        <v>2.2275044550000005E-2</v>
      </c>
    </row>
    <row r="8" spans="2:12" s="42" customFormat="1" ht="16.5" x14ac:dyDescent="0.25">
      <c r="B8" s="6">
        <v>2906001</v>
      </c>
      <c r="C8" s="6" t="s">
        <v>831</v>
      </c>
      <c r="D8" s="190">
        <v>1.48500297E-2</v>
      </c>
      <c r="E8" s="72">
        <v>6.0000119999999999</v>
      </c>
      <c r="F8" s="245">
        <f>VLOOKUP(B8,[2]Hoja1!$C$2:$E$279,3,FALSE)</f>
        <v>1956.71</v>
      </c>
      <c r="G8" s="247">
        <f t="shared" si="0"/>
        <v>29.057201614286999</v>
      </c>
      <c r="H8" s="896">
        <v>2033.73</v>
      </c>
      <c r="I8" s="73">
        <f t="shared" si="1"/>
        <v>30.200950901780999</v>
      </c>
      <c r="J8" s="536">
        <f t="shared" si="2"/>
        <v>-3.7871300516784459</v>
      </c>
      <c r="K8" s="489">
        <f t="shared" si="3"/>
        <v>1.48500297E-2</v>
      </c>
    </row>
    <row r="9" spans="2:12" s="42" customFormat="1" ht="16.5" x14ac:dyDescent="0.25">
      <c r="B9" s="6">
        <v>1121009</v>
      </c>
      <c r="C9" s="6" t="s">
        <v>1272</v>
      </c>
      <c r="D9" s="190">
        <v>1.0147520295000002E-2</v>
      </c>
      <c r="E9" s="72">
        <v>4.1000082000000004</v>
      </c>
      <c r="F9" s="245">
        <f>VLOOKUP(B9,[2]Hoja1!$C$2:$E$279,3,FALSE)</f>
        <v>8741.6200000000008</v>
      </c>
      <c r="G9" s="247">
        <f t="shared" si="0"/>
        <v>88.705766361177922</v>
      </c>
      <c r="H9" s="245">
        <v>8754.2800000000007</v>
      </c>
      <c r="I9" s="73">
        <f t="shared" si="1"/>
        <v>88.834233968112628</v>
      </c>
      <c r="J9" s="536">
        <f t="shared" si="2"/>
        <v>-0.14461497690273006</v>
      </c>
      <c r="K9" s="489">
        <f t="shared" si="3"/>
        <v>1.0147520295000002E-2</v>
      </c>
    </row>
    <row r="10" spans="2:12" s="42" customFormat="1" ht="16.5" x14ac:dyDescent="0.25">
      <c r="B10" s="6">
        <v>1111002</v>
      </c>
      <c r="C10" s="6" t="s">
        <v>1170</v>
      </c>
      <c r="D10" s="190">
        <v>7.4250148499999998E-3</v>
      </c>
      <c r="E10" s="72">
        <v>3.000006</v>
      </c>
      <c r="F10" s="245">
        <f>VLOOKUP(B10,[2]Hoja1!$C$2:$E$279,3,FALSE)</f>
        <v>2800</v>
      </c>
      <c r="G10" s="247">
        <f t="shared" si="0"/>
        <v>20.79004158</v>
      </c>
      <c r="H10" s="896">
        <v>2803.03</v>
      </c>
      <c r="I10" s="73">
        <f t="shared" si="1"/>
        <v>20.812539374995502</v>
      </c>
      <c r="J10" s="536">
        <f>((F10/H10)*100)-100</f>
        <v>-0.10809730898350267</v>
      </c>
      <c r="K10" s="489">
        <f t="shared" si="3"/>
        <v>7.4250148499999998E-3</v>
      </c>
    </row>
    <row r="11" spans="2:12" s="42" customFormat="1" ht="16.5" x14ac:dyDescent="0.25">
      <c r="B11" s="6">
        <v>1131002</v>
      </c>
      <c r="C11" s="6" t="s">
        <v>663</v>
      </c>
      <c r="D11" s="189">
        <v>6.981975E-2</v>
      </c>
      <c r="E11" s="72">
        <v>28.21</v>
      </c>
      <c r="F11" s="245">
        <f>VLOOKUP(B11,[2]Hoja1!$C$2:$E$279,3,FALSE)</f>
        <v>0</v>
      </c>
      <c r="G11" s="247">
        <f t="shared" si="0"/>
        <v>0</v>
      </c>
      <c r="H11" s="245">
        <v>0</v>
      </c>
      <c r="I11" s="73">
        <f t="shared" si="1"/>
        <v>0</v>
      </c>
      <c r="J11" s="536" t="e">
        <f t="shared" si="2"/>
        <v>#DIV/0!</v>
      </c>
      <c r="K11" s="489">
        <f t="shared" si="3"/>
        <v>6.981975E-2</v>
      </c>
    </row>
    <row r="12" spans="2:12" s="42" customFormat="1" ht="16.5" x14ac:dyDescent="0.25">
      <c r="B12" s="6">
        <v>1250003</v>
      </c>
      <c r="C12" s="6" t="s">
        <v>914</v>
      </c>
      <c r="D12" s="189">
        <v>1.089002178E-4</v>
      </c>
      <c r="E12" s="72">
        <v>4.4000088E-2</v>
      </c>
      <c r="F12" s="245">
        <f>VLOOKUP(B12,[2]Hoja1!$C$2:$E$279,3,FALSE)</f>
        <v>50952.79</v>
      </c>
      <c r="G12" s="247">
        <f t="shared" si="0"/>
        <v>5.5487699285176619</v>
      </c>
      <c r="H12" s="95">
        <v>47385.41</v>
      </c>
      <c r="I12" s="73">
        <f t="shared" si="1"/>
        <v>5.1602814695422987</v>
      </c>
      <c r="J12" s="536">
        <f>((F12/H12)*100)-100</f>
        <v>7.5284354403602123</v>
      </c>
      <c r="K12" s="489">
        <f t="shared" si="3"/>
        <v>1.089002178E-4</v>
      </c>
    </row>
    <row r="13" spans="2:12" s="42" customFormat="1" ht="16.5" x14ac:dyDescent="0.25">
      <c r="B13" s="6">
        <v>1250009</v>
      </c>
      <c r="C13" s="6" t="s">
        <v>1279</v>
      </c>
      <c r="D13" s="189">
        <v>2.9700059399999998E-5</v>
      </c>
      <c r="E13" s="72">
        <v>1.2000024E-2</v>
      </c>
      <c r="F13" s="245">
        <f>VLOOKUP(B13,[2]Hoja1!$C$2:$E$279,3,FALSE)</f>
        <v>83551.55</v>
      </c>
      <c r="G13" s="247">
        <f t="shared" si="0"/>
        <v>2.48148599796207</v>
      </c>
      <c r="H13" s="388">
        <v>71910.02</v>
      </c>
      <c r="I13" s="73">
        <f t="shared" si="1"/>
        <v>2.1357318654551878</v>
      </c>
      <c r="J13" s="536">
        <f>((F13/H13)*100)-100</f>
        <v>16.18902344902699</v>
      </c>
      <c r="K13" s="489">
        <f t="shared" si="3"/>
        <v>2.9700059399999998E-5</v>
      </c>
    </row>
    <row r="14" spans="2:12" s="42" customFormat="1" ht="16.5" x14ac:dyDescent="0.25">
      <c r="B14" s="6">
        <v>1210005</v>
      </c>
      <c r="C14" s="6" t="s">
        <v>1155</v>
      </c>
      <c r="D14" s="189">
        <v>1.485E-3</v>
      </c>
      <c r="E14" s="72">
        <v>0.6</v>
      </c>
      <c r="F14" s="245">
        <f>VLOOKUP(B14,[2]Hoja1!$C$2:$E$279,3,FALSE)</f>
        <v>1356</v>
      </c>
      <c r="G14" s="247">
        <f t="shared" si="0"/>
        <v>2.0136599999999998</v>
      </c>
      <c r="H14" s="388">
        <v>8910.1</v>
      </c>
      <c r="I14" s="73">
        <f t="shared" si="1"/>
        <v>13.231498500000001</v>
      </c>
      <c r="J14" s="536">
        <f>((F14/H14)*100)-100</f>
        <v>-84.781315585683672</v>
      </c>
      <c r="K14" s="489">
        <f t="shared" si="3"/>
        <v>1.485E-3</v>
      </c>
    </row>
    <row r="15" spans="2:12" s="42" customFormat="1" ht="16.5" x14ac:dyDescent="0.25">
      <c r="B15" s="6">
        <v>1210010</v>
      </c>
      <c r="C15" s="6" t="s">
        <v>1351</v>
      </c>
      <c r="D15" s="189">
        <v>9.8999999999999999E-4</v>
      </c>
      <c r="E15" s="72">
        <v>0.4</v>
      </c>
      <c r="F15" s="245">
        <f>VLOOKUP(B15,[2]Hoja1!$C$2:$E$279,3,FALSE)</f>
        <v>11600</v>
      </c>
      <c r="G15" s="247">
        <f t="shared" si="0"/>
        <v>11.484</v>
      </c>
      <c r="H15" s="388"/>
      <c r="I15" s="73"/>
      <c r="J15" s="536"/>
      <c r="K15" s="489">
        <f>$K$4*E15%</f>
        <v>9.8999999999999999E-4</v>
      </c>
    </row>
    <row r="16" spans="2:12" s="42" customFormat="1" ht="16.5" x14ac:dyDescent="0.25">
      <c r="B16" s="6">
        <v>1210004</v>
      </c>
      <c r="C16" s="6" t="s">
        <v>1131</v>
      </c>
      <c r="D16" s="189">
        <v>2.1285042570000001E-4</v>
      </c>
      <c r="E16" s="72">
        <v>8.6000172E-2</v>
      </c>
      <c r="F16" s="245">
        <f>VLOOKUP(B16,[2]Hoja1!$C$2:$E$279,3,FALSE)</f>
        <v>3841</v>
      </c>
      <c r="G16" s="247">
        <f t="shared" si="0"/>
        <v>0.81755848511370011</v>
      </c>
      <c r="H16" s="388">
        <v>3508.01</v>
      </c>
      <c r="I16" s="73">
        <f t="shared" si="1"/>
        <v>0.74668142185985709</v>
      </c>
      <c r="J16" s="536">
        <f>((F16/H16)*100)-100</f>
        <v>9.4922762477871885</v>
      </c>
      <c r="K16" s="489">
        <f t="shared" ref="K16:K30" si="4">$K$4*E16%</f>
        <v>2.1285042570000001E-4</v>
      </c>
    </row>
    <row r="17" spans="2:11" s="42" customFormat="1" ht="16.5" x14ac:dyDescent="0.25">
      <c r="B17" s="6">
        <v>121007</v>
      </c>
      <c r="C17" s="6" t="s">
        <v>821</v>
      </c>
      <c r="D17" s="190">
        <v>1.2276024551999998E-3</v>
      </c>
      <c r="E17" s="72">
        <v>0.49600099199999997</v>
      </c>
      <c r="F17" s="245">
        <f>VLOOKUP(B17,[2]Hoja1!$C$2:$E$279,3,FALSE)</f>
        <v>16905</v>
      </c>
      <c r="G17" s="247">
        <f t="shared" si="0"/>
        <v>20.752619505155998</v>
      </c>
      <c r="H17" s="880">
        <v>16100</v>
      </c>
      <c r="I17" s="73">
        <f t="shared" si="1"/>
        <v>19.764399528719999</v>
      </c>
      <c r="J17" s="536">
        <f>((F17/H17)*100)-100</f>
        <v>5</v>
      </c>
      <c r="K17" s="489">
        <f t="shared" si="4"/>
        <v>1.2276024551999998E-3</v>
      </c>
    </row>
    <row r="18" spans="2:11" s="42" customFormat="1" ht="16.5" x14ac:dyDescent="0.25">
      <c r="B18" s="6">
        <v>1210003</v>
      </c>
      <c r="C18" s="6" t="s">
        <v>1143</v>
      </c>
      <c r="D18" s="190">
        <v>1.2375024750000001E-4</v>
      </c>
      <c r="E18" s="72">
        <v>5.0000099999999999E-2</v>
      </c>
      <c r="F18" s="245">
        <f>VLOOKUP(B18,[2]Hoja1!$C$2:$E$279,3,FALSE)</f>
        <v>16235.45</v>
      </c>
      <c r="G18" s="247">
        <f t="shared" si="0"/>
        <v>2.0091409557738755</v>
      </c>
      <c r="H18" s="914">
        <v>12852.58</v>
      </c>
      <c r="I18" s="73">
        <f t="shared" si="1"/>
        <v>1.5905099560135501</v>
      </c>
      <c r="J18" s="536">
        <f t="shared" si="2"/>
        <v>26.320551982559152</v>
      </c>
      <c r="K18" s="489">
        <f t="shared" si="4"/>
        <v>1.2375024750000001E-4</v>
      </c>
    </row>
    <row r="19" spans="2:11" s="42" customFormat="1" ht="16.5" x14ac:dyDescent="0.25">
      <c r="B19" s="6">
        <v>1240007</v>
      </c>
      <c r="C19" s="6" t="s">
        <v>1352</v>
      </c>
      <c r="D19" s="190">
        <v>9.8999999999999999E-4</v>
      </c>
      <c r="E19" s="72">
        <v>0.4</v>
      </c>
      <c r="F19" s="245">
        <f>VLOOKUP(B19,[2]Hoja1!$C$2:$E$279,3,FALSE)</f>
        <v>25921.42</v>
      </c>
      <c r="G19" s="247">
        <f t="shared" si="0"/>
        <v>25.662205799999999</v>
      </c>
      <c r="H19" s="866">
        <v>47900</v>
      </c>
      <c r="I19" s="73">
        <f t="shared" si="1"/>
        <v>47.420999999999999</v>
      </c>
      <c r="J19" s="536">
        <f t="shared" si="2"/>
        <v>-45.884300626304807</v>
      </c>
      <c r="K19" s="489">
        <f t="shared" si="4"/>
        <v>9.8999999999999999E-4</v>
      </c>
    </row>
    <row r="20" spans="2:11" s="42" customFormat="1" ht="16.5" x14ac:dyDescent="0.25">
      <c r="B20" s="6">
        <v>1230008</v>
      </c>
      <c r="C20" s="6" t="s">
        <v>1183</v>
      </c>
      <c r="D20" s="190">
        <v>1.8414036828000001E-3</v>
      </c>
      <c r="E20" s="72">
        <v>0.74400148799999999</v>
      </c>
      <c r="F20" s="245">
        <f>VLOOKUP(B20,[2]Hoja1!$C$2:$E$279,3,FALSE)</f>
        <v>26735</v>
      </c>
      <c r="G20" s="247">
        <f t="shared" si="0"/>
        <v>49.229927459658001</v>
      </c>
      <c r="H20" s="245">
        <v>25396</v>
      </c>
      <c r="I20" s="73">
        <f t="shared" si="1"/>
        <v>46.764287928388804</v>
      </c>
      <c r="J20" s="536">
        <f t="shared" si="2"/>
        <v>5.2724838557253122</v>
      </c>
      <c r="K20" s="489">
        <f t="shared" si="4"/>
        <v>1.8414036828000001E-3</v>
      </c>
    </row>
    <row r="21" spans="2:11" s="42" customFormat="1" ht="16.5" x14ac:dyDescent="0.25">
      <c r="B21" s="6">
        <v>1230010</v>
      </c>
      <c r="C21" s="6" t="s">
        <v>1164</v>
      </c>
      <c r="D21" s="190">
        <v>9.9000198000000011E-4</v>
      </c>
      <c r="E21" s="72">
        <v>0.40000079999999999</v>
      </c>
      <c r="F21" s="245">
        <f>VLOOKUP(B21,[2]Hoja1!$C$2:$E$279,3,FALSE)</f>
        <v>53831</v>
      </c>
      <c r="G21" s="247">
        <f t="shared" si="0"/>
        <v>53.292796585380003</v>
      </c>
      <c r="H21" s="880">
        <v>50310</v>
      </c>
      <c r="I21" s="73">
        <f t="shared" si="1"/>
        <v>49.806999613800002</v>
      </c>
      <c r="J21" s="536">
        <f t="shared" si="2"/>
        <v>6.9986086265156047</v>
      </c>
      <c r="K21" s="489">
        <f t="shared" si="4"/>
        <v>9.9000198000000011E-4</v>
      </c>
    </row>
    <row r="22" spans="2:11" s="42" customFormat="1" ht="16.5" x14ac:dyDescent="0.25">
      <c r="B22" s="6">
        <v>1220010</v>
      </c>
      <c r="C22" s="6" t="s">
        <v>1144</v>
      </c>
      <c r="D22" s="190">
        <v>1.237502475E-3</v>
      </c>
      <c r="E22" s="72">
        <v>0.50000100000000003</v>
      </c>
      <c r="F22" s="245">
        <f>VLOOKUP(B22,[2]Hoja1!$C$2:$E$279,3,FALSE)</f>
        <v>4744.72</v>
      </c>
      <c r="G22" s="247">
        <f t="shared" si="0"/>
        <v>5.8716027431820006</v>
      </c>
      <c r="H22" s="914">
        <v>9381</v>
      </c>
      <c r="I22" s="73">
        <f t="shared" si="1"/>
        <v>11.609010717975</v>
      </c>
      <c r="J22" s="536">
        <f t="shared" si="2"/>
        <v>-49.42202323846071</v>
      </c>
      <c r="K22" s="489">
        <f t="shared" si="4"/>
        <v>1.237502475E-3</v>
      </c>
    </row>
    <row r="23" spans="2:11" s="42" customFormat="1" ht="16.5" x14ac:dyDescent="0.25">
      <c r="B23" s="6">
        <v>1270009</v>
      </c>
      <c r="C23" s="30" t="s">
        <v>1225</v>
      </c>
      <c r="D23" s="190">
        <v>1.4850029699999998E-4</v>
      </c>
      <c r="E23" s="72">
        <v>6.0000119999999997E-2</v>
      </c>
      <c r="F23" s="245">
        <f>VLOOKUP(B23,[2]Hoja1!$C$2:$E$279,3,FALSE)</f>
        <v>57046.53</v>
      </c>
      <c r="G23" s="247">
        <f t="shared" si="0"/>
        <v>8.471426647819408</v>
      </c>
      <c r="H23" s="178">
        <v>60863.23</v>
      </c>
      <c r="I23" s="73">
        <f t="shared" si="1"/>
        <v>9.038207731379309</v>
      </c>
      <c r="J23" s="536">
        <f t="shared" si="2"/>
        <v>-6.2709455281949431</v>
      </c>
      <c r="K23" s="489">
        <f t="shared" si="4"/>
        <v>1.4850029699999998E-4</v>
      </c>
    </row>
    <row r="24" spans="2:11" s="42" customFormat="1" ht="16.5" x14ac:dyDescent="0.25">
      <c r="B24" s="6">
        <v>1260014</v>
      </c>
      <c r="C24" s="6" t="s">
        <v>825</v>
      </c>
      <c r="D24" s="190">
        <v>2.4750049499999999E-3</v>
      </c>
      <c r="E24" s="72">
        <v>1.0000020000000001</v>
      </c>
      <c r="F24" s="245">
        <f>VLOOKUP(B24,[2]Hoja1!$C$2:$E$279,3,FALSE)</f>
        <v>28083.42</v>
      </c>
      <c r="G24" s="247">
        <f t="shared" si="0"/>
        <v>69.50660351292899</v>
      </c>
      <c r="H24" s="8">
        <v>40834.379999999997</v>
      </c>
      <c r="I24" s="73">
        <f t="shared" si="1"/>
        <v>101.06529263018099</v>
      </c>
      <c r="J24" s="536">
        <f t="shared" si="2"/>
        <v>-31.226040410066219</v>
      </c>
      <c r="K24" s="489">
        <f t="shared" si="4"/>
        <v>2.4750049499999999E-3</v>
      </c>
    </row>
    <row r="25" spans="2:11" s="42" customFormat="1" ht="16.5" x14ac:dyDescent="0.25">
      <c r="B25" s="6">
        <v>1260009</v>
      </c>
      <c r="C25" s="6" t="s">
        <v>1027</v>
      </c>
      <c r="D25" s="190">
        <v>7.1775143550000002E-3</v>
      </c>
      <c r="E25" s="72">
        <v>2.9000058000000002</v>
      </c>
      <c r="F25" s="245">
        <f>VLOOKUP(B25,[2]Hoja1!$C$2:$E$279,3,FALSE)</f>
        <v>7033.69</v>
      </c>
      <c r="G25" s="247">
        <f t="shared" si="0"/>
        <v>50.484410943619949</v>
      </c>
      <c r="H25" s="153">
        <v>9565.2099999999991</v>
      </c>
      <c r="I25" s="73">
        <f t="shared" si="1"/>
        <v>68.654432083589541</v>
      </c>
      <c r="J25" s="536">
        <f t="shared" si="2"/>
        <v>-26.465911360022403</v>
      </c>
      <c r="K25" s="489">
        <f t="shared" si="4"/>
        <v>7.1775143550000002E-3</v>
      </c>
    </row>
    <row r="26" spans="2:11" s="42" customFormat="1" ht="16.5" x14ac:dyDescent="0.25">
      <c r="B26" s="6">
        <v>1260017</v>
      </c>
      <c r="C26" s="6" t="s">
        <v>832</v>
      </c>
      <c r="D26" s="190">
        <v>9.4050188100000005E-3</v>
      </c>
      <c r="E26" s="72">
        <v>3.8000075999999998</v>
      </c>
      <c r="F26" s="245">
        <f>VLOOKUP(B26,[2]Hoja1!$C$2:$E$279,3,FALSE)</f>
        <v>4500</v>
      </c>
      <c r="G26" s="247">
        <f t="shared" si="0"/>
        <v>42.322584644999999</v>
      </c>
      <c r="H26" s="880">
        <v>4500</v>
      </c>
      <c r="I26" s="73">
        <f t="shared" si="1"/>
        <v>42.322584644999999</v>
      </c>
      <c r="J26" s="536">
        <f t="shared" si="2"/>
        <v>0</v>
      </c>
      <c r="K26" s="489">
        <f t="shared" si="4"/>
        <v>9.4050188100000005E-3</v>
      </c>
    </row>
    <row r="27" spans="2:11" s="42" customFormat="1" ht="16.5" x14ac:dyDescent="0.25">
      <c r="B27" s="6">
        <v>1260010</v>
      </c>
      <c r="C27" s="6" t="s">
        <v>1043</v>
      </c>
      <c r="D27" s="190">
        <v>4.2075084150000001E-3</v>
      </c>
      <c r="E27" s="72">
        <v>1.7000033999999999</v>
      </c>
      <c r="F27" s="245">
        <f>VLOOKUP(B27,[2]Hoja1!$C$2:$E$279,3,FALSE)</f>
        <v>6959.71</v>
      </c>
      <c r="G27" s="247">
        <f t="shared" si="0"/>
        <v>29.28303839095965</v>
      </c>
      <c r="H27" s="880">
        <v>8234.27</v>
      </c>
      <c r="I27" s="73">
        <f t="shared" si="1"/>
        <v>34.645760316382052</v>
      </c>
      <c r="J27" s="536">
        <f t="shared" si="2"/>
        <v>-15.478724890002397</v>
      </c>
      <c r="K27" s="489">
        <f t="shared" si="4"/>
        <v>4.2075084150000001E-3</v>
      </c>
    </row>
    <row r="28" spans="2:11" s="42" customFormat="1" ht="16.5" x14ac:dyDescent="0.25">
      <c r="B28" s="6">
        <v>1260005</v>
      </c>
      <c r="C28" s="6" t="s">
        <v>811</v>
      </c>
      <c r="D28" s="189">
        <v>2.9700059400000001E-3</v>
      </c>
      <c r="E28" s="72">
        <v>1.2000024</v>
      </c>
      <c r="F28" s="245">
        <f>VLOOKUP(B28,[2]Hoja1!$C$2:$E$279,3,FALSE)</f>
        <v>26429</v>
      </c>
      <c r="G28" s="247">
        <f t="shared" si="0"/>
        <v>78.494286988260001</v>
      </c>
      <c r="H28" s="896">
        <v>25850</v>
      </c>
      <c r="I28" s="73">
        <f t="shared" si="1"/>
        <v>76.774653549000007</v>
      </c>
      <c r="J28" s="536">
        <f t="shared" si="2"/>
        <v>2.2398452611218715</v>
      </c>
      <c r="K28" s="489">
        <f t="shared" si="4"/>
        <v>2.9700059400000001E-3</v>
      </c>
    </row>
    <row r="29" spans="2:11" s="42" customFormat="1" ht="16.5" x14ac:dyDescent="0.25">
      <c r="B29" s="6">
        <v>1260022</v>
      </c>
      <c r="C29" s="6" t="s">
        <v>974</v>
      </c>
      <c r="D29" s="190">
        <v>2.4750049499999999E-3</v>
      </c>
      <c r="E29" s="72">
        <v>1.0000020000000001</v>
      </c>
      <c r="F29" s="245">
        <f>VLOOKUP(B29,[2]Hoja1!$C$2:$E$279,3,FALSE)</f>
        <v>22988.01</v>
      </c>
      <c r="G29" s="247">
        <f t="shared" si="0"/>
        <v>56.895438540649494</v>
      </c>
      <c r="H29" s="25">
        <v>27066.49</v>
      </c>
      <c r="I29" s="73">
        <f t="shared" si="1"/>
        <v>66.989696729125498</v>
      </c>
      <c r="J29" s="536">
        <f t="shared" si="2"/>
        <v>-15.068374214757824</v>
      </c>
      <c r="K29" s="489">
        <f t="shared" si="4"/>
        <v>2.4750049499999999E-3</v>
      </c>
    </row>
    <row r="30" spans="2:11" s="42" customFormat="1" ht="16.5" x14ac:dyDescent="0.25">
      <c r="B30" s="6">
        <v>1260025</v>
      </c>
      <c r="C30" s="6" t="s">
        <v>1261</v>
      </c>
      <c r="D30" s="190">
        <v>7.425E-4</v>
      </c>
      <c r="E30" s="72">
        <v>0.3</v>
      </c>
      <c r="F30" s="245">
        <f>VLOOKUP(B30,[2]Hoja1!$C$2:$E$279,3,FALSE)</f>
        <v>60648.01</v>
      </c>
      <c r="G30" s="247">
        <f t="shared" si="0"/>
        <v>45.031147425</v>
      </c>
      <c r="H30" s="25"/>
      <c r="I30" s="73"/>
      <c r="J30" s="536"/>
      <c r="K30" s="489">
        <f t="shared" si="4"/>
        <v>7.425E-4</v>
      </c>
    </row>
    <row r="31" spans="2:11" s="42" customFormat="1" ht="16.5" x14ac:dyDescent="0.25">
      <c r="B31" s="1777"/>
      <c r="C31" s="1778"/>
      <c r="D31" s="1381">
        <f>SUM(D5:D30)</f>
        <v>0.24750529695539999</v>
      </c>
      <c r="E31" s="1382">
        <f>SUM(E5:E30)</f>
        <v>100.002140184</v>
      </c>
      <c r="F31" s="1354"/>
      <c r="G31" s="1354">
        <f>SUM(G5:G30)</f>
        <v>1721.9035747520725</v>
      </c>
      <c r="H31" s="1383"/>
      <c r="I31" s="1354">
        <f>SUM(I5:I30)</f>
        <v>1899.3359032109549</v>
      </c>
      <c r="J31" s="1331">
        <f>((G31/I31)*100)-100</f>
        <v>-9.3418087953226774</v>
      </c>
      <c r="K31" s="488"/>
    </row>
    <row r="33" spans="2:11" ht="25.5" x14ac:dyDescent="0.35">
      <c r="B33" s="1760" t="s">
        <v>50</v>
      </c>
      <c r="C33" s="1754"/>
      <c r="D33" s="38">
        <f>+C36+(C36*C42%)</f>
        <v>247.5</v>
      </c>
      <c r="E33" s="91"/>
      <c r="F33" s="186"/>
      <c r="G33" s="91"/>
      <c r="H33" s="91"/>
      <c r="I33" s="91"/>
    </row>
    <row r="34" spans="2:11" x14ac:dyDescent="0.25">
      <c r="B34" s="1264" t="s">
        <v>38</v>
      </c>
      <c r="C34" s="93" t="s">
        <v>113</v>
      </c>
      <c r="D34" s="38"/>
      <c r="H34" s="38"/>
    </row>
    <row r="35" spans="2:11" x14ac:dyDescent="0.25">
      <c r="B35" s="1265" t="s">
        <v>39</v>
      </c>
      <c r="C35" s="21" t="s">
        <v>408</v>
      </c>
      <c r="D35" s="38"/>
      <c r="H35" s="38"/>
    </row>
    <row r="36" spans="2:11" x14ac:dyDescent="0.25">
      <c r="B36" s="1265" t="s">
        <v>40</v>
      </c>
      <c r="C36" s="21">
        <v>225</v>
      </c>
      <c r="D36" s="38"/>
      <c r="H36" s="38"/>
    </row>
    <row r="37" spans="2:11" x14ac:dyDescent="0.25">
      <c r="B37" s="1265" t="s">
        <v>41</v>
      </c>
      <c r="C37" s="21">
        <v>0</v>
      </c>
      <c r="D37" s="38"/>
      <c r="H37" s="38"/>
    </row>
    <row r="38" spans="2:11" x14ac:dyDescent="0.25">
      <c r="B38" s="1265" t="s">
        <v>42</v>
      </c>
      <c r="C38" s="21">
        <v>0.5</v>
      </c>
      <c r="D38" s="38"/>
      <c r="H38" s="38"/>
    </row>
    <row r="39" spans="2:11" x14ac:dyDescent="0.25">
      <c r="B39" s="1265" t="s">
        <v>43</v>
      </c>
      <c r="C39" s="21">
        <v>0.5</v>
      </c>
      <c r="D39" s="38"/>
      <c r="H39" s="38"/>
    </row>
    <row r="40" spans="2:11" x14ac:dyDescent="0.25">
      <c r="B40" s="1265" t="s">
        <v>44</v>
      </c>
      <c r="C40" s="21">
        <v>7</v>
      </c>
      <c r="D40" s="38"/>
      <c r="H40" s="38"/>
    </row>
    <row r="41" spans="2:11" x14ac:dyDescent="0.25">
      <c r="B41" s="1265" t="s">
        <v>45</v>
      </c>
      <c r="C41" s="21">
        <v>2</v>
      </c>
      <c r="D41" s="38"/>
      <c r="H41" s="38"/>
    </row>
    <row r="42" spans="2:11" x14ac:dyDescent="0.25">
      <c r="B42" s="1265" t="s">
        <v>46</v>
      </c>
      <c r="C42" s="21">
        <f>C41+C40+C39+C38</f>
        <v>10</v>
      </c>
      <c r="D42" s="38"/>
      <c r="H42" s="38"/>
    </row>
    <row r="44" spans="2:11" ht="25.5" x14ac:dyDescent="0.35">
      <c r="B44" s="1805" t="s">
        <v>47</v>
      </c>
      <c r="C44" s="1806"/>
      <c r="D44" s="1806"/>
      <c r="E44" s="1806"/>
      <c r="F44" s="1806"/>
      <c r="G44" s="1806"/>
      <c r="H44" s="1806"/>
      <c r="I44" s="1806"/>
      <c r="J44" s="146"/>
    </row>
    <row r="45" spans="2:11" s="120" customFormat="1" ht="25.5" x14ac:dyDescent="0.25">
      <c r="B45" s="1460" t="s">
        <v>0</v>
      </c>
      <c r="C45" s="1460" t="s">
        <v>1</v>
      </c>
      <c r="D45" s="1461" t="s">
        <v>2</v>
      </c>
      <c r="E45" s="1243" t="str">
        <f>+'CIF Y PV'!$F$4</f>
        <v xml:space="preserve">JUN-COP/UMB </v>
      </c>
      <c r="F45" s="1243" t="str">
        <f>+'CIF Y PV'!$G$4</f>
        <v>JUN-COP/APP</v>
      </c>
      <c r="G45" s="1243" t="str">
        <f>+'CIF Y PV'!$H$4</f>
        <v xml:space="preserve">MAY-COP/UMB </v>
      </c>
      <c r="H45" s="1243" t="str">
        <f>+'CIF Y PV'!$I$4</f>
        <v>MAY-COP/APP</v>
      </c>
      <c r="I45" s="1462" t="s">
        <v>3</v>
      </c>
      <c r="J45" s="146">
        <v>3285</v>
      </c>
      <c r="K45" s="176"/>
    </row>
    <row r="46" spans="2:11" x14ac:dyDescent="0.25">
      <c r="B46" s="610">
        <v>1370002</v>
      </c>
      <c r="C46" s="610" t="s">
        <v>1165</v>
      </c>
      <c r="D46" s="611">
        <v>2.4289999999999999E-2</v>
      </c>
      <c r="E46" s="24">
        <f>VLOOKUP(B46,[2]Hoja1!$C$2:$E$279,3,FALSE)</f>
        <v>5325.93</v>
      </c>
      <c r="F46" s="1170">
        <f t="shared" ref="F46:F51" si="5">E46*D46</f>
        <v>129.36683970000001</v>
      </c>
      <c r="G46" s="24">
        <v>4879.67</v>
      </c>
      <c r="H46" s="613">
        <f>G46*D46</f>
        <v>118.5271843</v>
      </c>
      <c r="I46" s="674">
        <f>((E46/G46)*100)-100</f>
        <v>9.1452905626814953</v>
      </c>
      <c r="J46" s="38">
        <f>J45*D46</f>
        <v>79.792649999999995</v>
      </c>
    </row>
    <row r="47" spans="2:11" x14ac:dyDescent="0.25">
      <c r="B47" s="610">
        <v>1380002</v>
      </c>
      <c r="C47" s="610" t="s">
        <v>1051</v>
      </c>
      <c r="D47" s="611">
        <v>4.8000000000000001E-2</v>
      </c>
      <c r="E47" s="24">
        <f>VLOOKUP(B47,[2]Hoja1!$C$2:$E$279,3,FALSE)</f>
        <v>73.33</v>
      </c>
      <c r="F47" s="1170">
        <f t="shared" si="5"/>
        <v>3.5198399999999999</v>
      </c>
      <c r="G47" s="24">
        <v>76.61</v>
      </c>
      <c r="H47" s="613">
        <f t="shared" ref="H47:H51" si="6">G47*D47</f>
        <v>3.6772800000000001</v>
      </c>
      <c r="I47" s="674">
        <f>((E47/G47)*100)-100</f>
        <v>-4.281425401383629</v>
      </c>
      <c r="J47" s="38">
        <f>J45*D47</f>
        <v>157.68</v>
      </c>
    </row>
    <row r="48" spans="2:11" x14ac:dyDescent="0.25">
      <c r="B48" s="610">
        <v>1310018</v>
      </c>
      <c r="C48" s="226" t="s">
        <v>890</v>
      </c>
      <c r="D48" s="611">
        <v>4.7E-2</v>
      </c>
      <c r="E48" s="24">
        <f>VLOOKUP(B48,[2]Hoja1!$C$2:$E$279,3,FALSE)</f>
        <v>478.26</v>
      </c>
      <c r="F48" s="1170">
        <f t="shared" si="5"/>
        <v>22.47822</v>
      </c>
      <c r="G48" s="24">
        <v>503.51</v>
      </c>
      <c r="H48" s="613">
        <f t="shared" si="6"/>
        <v>23.66497</v>
      </c>
      <c r="I48" s="674">
        <f>((E48/G48)*100)-100</f>
        <v>-5.0147961311592582</v>
      </c>
      <c r="J48" s="38">
        <f>J45*D48</f>
        <v>154.39500000000001</v>
      </c>
    </row>
    <row r="49" spans="2:11" x14ac:dyDescent="0.25">
      <c r="B49" s="610">
        <v>1330059</v>
      </c>
      <c r="C49" s="611" t="s">
        <v>905</v>
      </c>
      <c r="D49" s="611">
        <v>1</v>
      </c>
      <c r="E49" s="24">
        <f>VLOOKUP(B49,[2]Hoja1!$C$2:$E$279,3,FALSE)</f>
        <v>88.11</v>
      </c>
      <c r="F49" s="1170">
        <f t="shared" si="5"/>
        <v>88.11</v>
      </c>
      <c r="G49" s="123">
        <v>82.36</v>
      </c>
      <c r="H49" s="613">
        <f t="shared" si="6"/>
        <v>82.36</v>
      </c>
      <c r="I49" s="674">
        <f>((E49/G49)*100)-100</f>
        <v>6.9815444390480792</v>
      </c>
      <c r="J49" s="38">
        <f>J45*D49</f>
        <v>3285</v>
      </c>
    </row>
    <row r="50" spans="2:11" x14ac:dyDescent="0.25">
      <c r="B50" s="610">
        <v>1330042</v>
      </c>
      <c r="C50" s="307" t="s">
        <v>1003</v>
      </c>
      <c r="D50" s="611">
        <v>1</v>
      </c>
      <c r="E50" s="24">
        <f>VLOOKUP(B50,[2]Hoja1!$C$2:$E$279,3,FALSE)</f>
        <v>152.19999999999999</v>
      </c>
      <c r="F50" s="1170">
        <f t="shared" si="5"/>
        <v>152.19999999999999</v>
      </c>
      <c r="G50" s="115">
        <v>144.44999999999999</v>
      </c>
      <c r="H50" s="613">
        <f t="shared" si="6"/>
        <v>144.44999999999999</v>
      </c>
      <c r="I50" s="674"/>
      <c r="J50" s="38"/>
    </row>
    <row r="51" spans="2:11" x14ac:dyDescent="0.25">
      <c r="B51" s="610">
        <v>1320003</v>
      </c>
      <c r="C51" s="226" t="s">
        <v>919</v>
      </c>
      <c r="D51" s="611">
        <v>4.7E-2</v>
      </c>
      <c r="E51" s="24">
        <f>VLOOKUP(B51,[2]Hoja1!$C$2:$E$279,3,FALSE)</f>
        <v>701.94</v>
      </c>
      <c r="F51" s="1170">
        <f t="shared" si="5"/>
        <v>32.99118</v>
      </c>
      <c r="G51" s="24">
        <v>700.44</v>
      </c>
      <c r="H51" s="613">
        <f t="shared" si="6"/>
        <v>32.920680000000004</v>
      </c>
      <c r="I51" s="674">
        <f>((E51/G51)*100)-100</f>
        <v>0.21415110501969536</v>
      </c>
      <c r="J51" s="38">
        <f>J45*D51</f>
        <v>154.39500000000001</v>
      </c>
    </row>
    <row r="52" spans="2:11" x14ac:dyDescent="0.25">
      <c r="B52" s="1463"/>
      <c r="C52" s="1463" t="s">
        <v>37</v>
      </c>
      <c r="D52" s="1464"/>
      <c r="E52" s="1465"/>
      <c r="F52" s="1466">
        <f>SUM(F46:F51)</f>
        <v>428.66607969999995</v>
      </c>
      <c r="G52" s="1466"/>
      <c r="H52" s="1466">
        <f>SUM(H46:H51)</f>
        <v>405.60011429999997</v>
      </c>
      <c r="I52" s="1467">
        <f>((F52/H52)*100)-100</f>
        <v>5.6868734960314526</v>
      </c>
    </row>
    <row r="53" spans="2:11" x14ac:dyDescent="0.25">
      <c r="H53" s="1" t="str">
        <f>+'CIF Y PV'!$G$1</f>
        <v>MAYO</v>
      </c>
      <c r="I53" s="873"/>
      <c r="K53" s="873"/>
    </row>
    <row r="54" spans="2:11" x14ac:dyDescent="0.25">
      <c r="B54" s="1750" t="s">
        <v>72</v>
      </c>
      <c r="C54" s="1750"/>
      <c r="E54" s="881"/>
      <c r="F54" s="881"/>
      <c r="G54" s="881"/>
      <c r="H54" s="1269">
        <f>SUM(G31+F52)</f>
        <v>2150.5696544520724</v>
      </c>
      <c r="I54" s="181"/>
      <c r="J54" s="881"/>
      <c r="K54" s="181"/>
    </row>
    <row r="55" spans="2:11" x14ac:dyDescent="0.25">
      <c r="B55" s="1758" t="s">
        <v>48</v>
      </c>
      <c r="C55" s="1759"/>
      <c r="E55" s="881"/>
      <c r="F55" s="881"/>
      <c r="G55" s="881"/>
      <c r="H55" s="881">
        <f>+('CIF Y PV'!C3/1000)*225</f>
        <v>425.25</v>
      </c>
      <c r="I55" s="182"/>
      <c r="J55" s="881"/>
      <c r="K55" s="182"/>
    </row>
    <row r="56" spans="2:11" x14ac:dyDescent="0.25">
      <c r="B56" s="1758" t="s">
        <v>953</v>
      </c>
      <c r="C56" s="1759"/>
      <c r="E56" s="881"/>
      <c r="F56" s="881"/>
      <c r="G56" s="881"/>
      <c r="H56" s="881">
        <f>+H55+H54</f>
        <v>2575.8196544520724</v>
      </c>
      <c r="I56" s="152"/>
      <c r="J56" s="881"/>
      <c r="K56" s="152"/>
    </row>
    <row r="57" spans="2:11" x14ac:dyDescent="0.25">
      <c r="B57" s="1750" t="s">
        <v>49</v>
      </c>
      <c r="C57" s="1750"/>
      <c r="E57" s="881"/>
      <c r="F57" s="881"/>
      <c r="G57" s="881"/>
      <c r="H57" s="881">
        <f>'CIF Y PV'!C33</f>
        <v>5702.8860000000004</v>
      </c>
      <c r="J57" s="881"/>
      <c r="K57" s="339"/>
    </row>
    <row r="58" spans="2:11" x14ac:dyDescent="0.25">
      <c r="B58" s="1750" t="s">
        <v>805</v>
      </c>
      <c r="C58" s="1750"/>
      <c r="E58" s="881"/>
      <c r="F58" s="881"/>
      <c r="G58" s="881"/>
      <c r="H58" s="928">
        <f>+(H57-H56)/H57</f>
        <v>0.54833050240666348</v>
      </c>
      <c r="I58" s="137"/>
      <c r="J58" s="38"/>
      <c r="K58" s="137"/>
    </row>
  </sheetData>
  <mergeCells count="9">
    <mergeCell ref="B56:C56"/>
    <mergeCell ref="B57:C57"/>
    <mergeCell ref="B58:C58"/>
    <mergeCell ref="B2:I2"/>
    <mergeCell ref="B31:C31"/>
    <mergeCell ref="B33:C33"/>
    <mergeCell ref="B44:I44"/>
    <mergeCell ref="B54:C54"/>
    <mergeCell ref="B55:C55"/>
  </mergeCells>
  <pageMargins left="0.7" right="0.7" top="0.75" bottom="0.75" header="0.3" footer="0.3"/>
  <pageSetup scale="42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23A8-5A41-40CF-BAA8-D7CEAEB8B11B}">
  <sheetPr codeName="Hoja120"/>
  <dimension ref="B2:L57"/>
  <sheetViews>
    <sheetView view="pageBreakPreview" topLeftCell="A38" zoomScale="90" zoomScaleNormal="100" zoomScaleSheetLayoutView="90" workbookViewId="0">
      <selection activeCell="F29" sqref="F29"/>
    </sheetView>
  </sheetViews>
  <sheetFormatPr baseColWidth="10" defaultColWidth="11.5703125" defaultRowHeight="13.5" x14ac:dyDescent="0.25"/>
  <cols>
    <col min="1" max="1" width="10.7109375" style="1" customWidth="1"/>
    <col min="2" max="2" width="11.5703125" style="1"/>
    <col min="3" max="3" width="54.7109375" style="1" customWidth="1"/>
    <col min="4" max="5" width="11.5703125" style="1"/>
    <col min="6" max="6" width="12.85546875" style="107" bestFit="1" customWidth="1"/>
    <col min="7" max="7" width="13.5703125" style="1" bestFit="1" customWidth="1"/>
    <col min="8" max="8" width="12.5703125" style="1" bestFit="1" customWidth="1"/>
    <col min="9" max="9" width="14.42578125" style="1" bestFit="1" customWidth="1"/>
    <col min="10" max="10" width="13.42578125" style="1" bestFit="1" customWidth="1"/>
    <col min="11" max="11" width="11.5703125" style="139"/>
    <col min="12" max="16384" width="11.5703125" style="1"/>
  </cols>
  <sheetData>
    <row r="2" spans="2:12" s="42" customFormat="1" ht="26.25" customHeight="1" x14ac:dyDescent="0.25">
      <c r="B2" s="1743" t="s">
        <v>1004</v>
      </c>
      <c r="C2" s="1743"/>
      <c r="D2" s="1743"/>
      <c r="E2" s="1743"/>
      <c r="F2" s="1743"/>
      <c r="G2" s="1743"/>
      <c r="H2" s="1743"/>
      <c r="I2" s="1743"/>
      <c r="J2" s="89"/>
      <c r="K2" s="195"/>
      <c r="L2" s="89"/>
    </row>
    <row r="4" spans="2:12" s="180" customFormat="1" ht="25.5" x14ac:dyDescent="0.25">
      <c r="B4" s="1271" t="s">
        <v>0</v>
      </c>
      <c r="C4" s="1271" t="s">
        <v>1</v>
      </c>
      <c r="D4" s="1271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321" t="s">
        <v>3</v>
      </c>
      <c r="K4" s="1388">
        <f>+D32/1000</f>
        <v>0.2475</v>
      </c>
    </row>
    <row r="5" spans="2:12" s="42" customFormat="1" ht="16.5" x14ac:dyDescent="0.3">
      <c r="B5" s="74">
        <v>1122006</v>
      </c>
      <c r="C5" s="74" t="s">
        <v>972</v>
      </c>
      <c r="D5" s="71">
        <v>4.7025094050000001E-2</v>
      </c>
      <c r="E5" s="72">
        <v>19.000038</v>
      </c>
      <c r="F5" s="585">
        <f>VLOOKUP(B5,[2]Hoja1!$C$2:$E$279,3,FALSE)</f>
        <v>12955.53</v>
      </c>
      <c r="G5" s="566">
        <f>F5*D5</f>
        <v>609.23501671759652</v>
      </c>
      <c r="H5" s="585">
        <v>14266.27</v>
      </c>
      <c r="I5" s="73">
        <f>H5*D5</f>
        <v>670.87268849269356</v>
      </c>
      <c r="J5" s="536">
        <f>((F5/H5)*100)-100</f>
        <v>-9.1876853585415148</v>
      </c>
      <c r="K5" s="489">
        <f>$K$4*E5%</f>
        <v>4.7025094050000001E-2</v>
      </c>
    </row>
    <row r="6" spans="2:12" s="42" customFormat="1" ht="16.5" x14ac:dyDescent="0.3">
      <c r="B6" s="74">
        <v>1112001</v>
      </c>
      <c r="C6" s="74" t="s">
        <v>797</v>
      </c>
      <c r="D6" s="70">
        <v>3.7125074250000001E-2</v>
      </c>
      <c r="E6" s="72">
        <v>15.000030000000001</v>
      </c>
      <c r="F6" s="585">
        <f>VLOOKUP(B6,[2]Hoja1!$C$2:$E$279,3,FALSE)</f>
        <v>3663.96</v>
      </c>
      <c r="G6" s="566">
        <f t="shared" ref="G6:G29" si="0">F6*D6</f>
        <v>136.02478704903001</v>
      </c>
      <c r="H6" s="585">
        <v>4222.72</v>
      </c>
      <c r="I6" s="73">
        <f t="shared" ref="I6:I28" si="1">H6*D6</f>
        <v>156.76879353696</v>
      </c>
      <c r="J6" s="536">
        <f t="shared" ref="J6:J28" si="2">((F6/H6)*100)-100</f>
        <v>-13.232229463473786</v>
      </c>
      <c r="K6" s="489">
        <f t="shared" ref="K6:K29" si="3">$K$4*E6%</f>
        <v>3.7125074250000001E-2</v>
      </c>
    </row>
    <row r="7" spans="2:12" s="42" customFormat="1" ht="16.5" x14ac:dyDescent="0.3">
      <c r="B7" s="74">
        <v>1122002</v>
      </c>
      <c r="C7" s="74" t="s">
        <v>242</v>
      </c>
      <c r="D7" s="70">
        <v>2.2275044550000005E-2</v>
      </c>
      <c r="E7" s="72">
        <v>9.0000180000000007</v>
      </c>
      <c r="F7" s="585">
        <f>VLOOKUP(B7,[2]Hoja1!$C$2:$E$279,3,FALSE)</f>
        <v>12500</v>
      </c>
      <c r="G7" s="566">
        <f t="shared" si="0"/>
        <v>278.43805687500009</v>
      </c>
      <c r="H7" s="982">
        <v>15000</v>
      </c>
      <c r="I7" s="73">
        <f t="shared" si="1"/>
        <v>334.12566825000005</v>
      </c>
      <c r="J7" s="536">
        <f t="shared" si="2"/>
        <v>-16.666666666666657</v>
      </c>
      <c r="K7" s="489">
        <f t="shared" si="3"/>
        <v>2.2275044550000005E-2</v>
      </c>
    </row>
    <row r="8" spans="2:12" s="42" customFormat="1" ht="16.5" x14ac:dyDescent="0.3">
      <c r="B8" s="74">
        <v>2906001</v>
      </c>
      <c r="C8" s="74" t="s">
        <v>831</v>
      </c>
      <c r="D8" s="70">
        <v>1.48500297E-2</v>
      </c>
      <c r="E8" s="72">
        <v>6.0000119999999999</v>
      </c>
      <c r="F8" s="585">
        <f>VLOOKUP(B8,[2]Hoja1!$C$2:$E$279,3,FALSE)</f>
        <v>1956.71</v>
      </c>
      <c r="G8" s="566">
        <f t="shared" si="0"/>
        <v>29.057201614286999</v>
      </c>
      <c r="H8" s="982">
        <v>2033.73</v>
      </c>
      <c r="I8" s="73">
        <f t="shared" si="1"/>
        <v>30.200950901780999</v>
      </c>
      <c r="J8" s="536">
        <f t="shared" si="2"/>
        <v>-3.7871300516784459</v>
      </c>
      <c r="K8" s="489">
        <f t="shared" si="3"/>
        <v>1.48500297E-2</v>
      </c>
    </row>
    <row r="9" spans="2:12" s="42" customFormat="1" ht="16.5" x14ac:dyDescent="0.3">
      <c r="B9" s="74">
        <v>1121009</v>
      </c>
      <c r="C9" s="74" t="s">
        <v>1272</v>
      </c>
      <c r="D9" s="70">
        <v>1.0147520295000002E-2</v>
      </c>
      <c r="E9" s="72">
        <v>4.1000082000000004</v>
      </c>
      <c r="F9" s="585">
        <f>VLOOKUP(B9,[2]Hoja1!$C$2:$E$279,3,FALSE)</f>
        <v>8741.6200000000008</v>
      </c>
      <c r="G9" s="566">
        <f t="shared" si="0"/>
        <v>88.705766361177922</v>
      </c>
      <c r="H9" s="585">
        <v>8754.2800000000007</v>
      </c>
      <c r="I9" s="73">
        <f t="shared" si="1"/>
        <v>88.834233968112628</v>
      </c>
      <c r="J9" s="536">
        <f t="shared" si="2"/>
        <v>-0.14461497690273006</v>
      </c>
      <c r="K9" s="489">
        <f t="shared" si="3"/>
        <v>1.0147520295000002E-2</v>
      </c>
    </row>
    <row r="10" spans="2:12" s="42" customFormat="1" ht="16.5" x14ac:dyDescent="0.3">
      <c r="B10" s="74">
        <v>1111002</v>
      </c>
      <c r="C10" s="74" t="s">
        <v>1170</v>
      </c>
      <c r="D10" s="70">
        <v>7.4250148499999998E-3</v>
      </c>
      <c r="E10" s="72">
        <v>3.000006</v>
      </c>
      <c r="F10" s="585">
        <f>VLOOKUP(B10,[2]Hoja1!$C$2:$E$279,3,FALSE)</f>
        <v>2800</v>
      </c>
      <c r="G10" s="566">
        <f t="shared" si="0"/>
        <v>20.79004158</v>
      </c>
      <c r="H10" s="982">
        <v>2803.03</v>
      </c>
      <c r="I10" s="73">
        <f t="shared" si="1"/>
        <v>20.812539374995502</v>
      </c>
      <c r="J10" s="536">
        <f>((F10/H10)*100)-100</f>
        <v>-0.10809730898350267</v>
      </c>
      <c r="K10" s="489">
        <f t="shared" si="3"/>
        <v>7.4250148499999998E-3</v>
      </c>
    </row>
    <row r="11" spans="2:12" s="42" customFormat="1" ht="16.5" x14ac:dyDescent="0.3">
      <c r="B11" s="74">
        <v>1131002</v>
      </c>
      <c r="C11" s="74" t="s">
        <v>663</v>
      </c>
      <c r="D11" s="71">
        <v>7.0314750000000009E-2</v>
      </c>
      <c r="E11" s="72">
        <v>28.41</v>
      </c>
      <c r="F11" s="585">
        <f>VLOOKUP(B11,[2]Hoja1!$C$2:$E$279,3,FALSE)</f>
        <v>0</v>
      </c>
      <c r="G11" s="566">
        <f t="shared" si="0"/>
        <v>0</v>
      </c>
      <c r="H11" s="585">
        <v>0</v>
      </c>
      <c r="I11" s="73">
        <f t="shared" si="1"/>
        <v>0</v>
      </c>
      <c r="J11" s="536" t="e">
        <f t="shared" si="2"/>
        <v>#DIV/0!</v>
      </c>
      <c r="K11" s="489">
        <f t="shared" si="3"/>
        <v>7.0314750000000009E-2</v>
      </c>
    </row>
    <row r="12" spans="2:12" s="42" customFormat="1" ht="16.5" x14ac:dyDescent="0.3">
      <c r="B12" s="74">
        <v>1250003</v>
      </c>
      <c r="C12" s="74" t="s">
        <v>914</v>
      </c>
      <c r="D12" s="71">
        <v>1.089002178E-4</v>
      </c>
      <c r="E12" s="72">
        <v>4.4000088E-2</v>
      </c>
      <c r="F12" s="585">
        <f>VLOOKUP(B12,[2]Hoja1!$C$2:$E$279,3,FALSE)</f>
        <v>50952.79</v>
      </c>
      <c r="G12" s="566">
        <f t="shared" si="0"/>
        <v>5.5487699285176619</v>
      </c>
      <c r="H12" s="88">
        <v>47385.41</v>
      </c>
      <c r="I12" s="73">
        <f t="shared" si="1"/>
        <v>5.1602814695422987</v>
      </c>
      <c r="J12" s="536">
        <f>((F12/H12)*100)-100</f>
        <v>7.5284354403602123</v>
      </c>
      <c r="K12" s="489">
        <f t="shared" si="3"/>
        <v>1.089002178E-4</v>
      </c>
    </row>
    <row r="13" spans="2:12" s="42" customFormat="1" ht="16.5" x14ac:dyDescent="0.3">
      <c r="B13" s="74">
        <v>1250009</v>
      </c>
      <c r="C13" s="74" t="s">
        <v>1279</v>
      </c>
      <c r="D13" s="71">
        <v>2.9700059399999998E-5</v>
      </c>
      <c r="E13" s="72">
        <v>1.2000024E-2</v>
      </c>
      <c r="F13" s="585">
        <f>VLOOKUP(B13,[2]Hoja1!$C$2:$E$279,3,FALSE)</f>
        <v>83551.55</v>
      </c>
      <c r="G13" s="566">
        <f t="shared" si="0"/>
        <v>2.48148599796207</v>
      </c>
      <c r="H13" s="1092">
        <v>71910.02</v>
      </c>
      <c r="I13" s="73">
        <f t="shared" si="1"/>
        <v>2.1357318654551878</v>
      </c>
      <c r="J13" s="536">
        <f>((F13/H13)*100)-100</f>
        <v>16.18902344902699</v>
      </c>
      <c r="K13" s="489">
        <f t="shared" si="3"/>
        <v>2.9700059399999998E-5</v>
      </c>
    </row>
    <row r="14" spans="2:12" s="42" customFormat="1" ht="16.5" x14ac:dyDescent="0.3">
      <c r="B14" s="74">
        <v>1210006</v>
      </c>
      <c r="C14" s="74" t="s">
        <v>1130</v>
      </c>
      <c r="D14" s="71">
        <v>2.4750049499999999E-3</v>
      </c>
      <c r="E14" s="72">
        <v>1.0000020000000001</v>
      </c>
      <c r="F14" s="585">
        <f>VLOOKUP(B14,[2]Hoja1!$C$2:$E$279,3,FALSE)</f>
        <v>8904.4500000000007</v>
      </c>
      <c r="G14" s="566">
        <f t="shared" si="0"/>
        <v>22.0385578270275</v>
      </c>
      <c r="H14" s="1092">
        <v>8910.1</v>
      </c>
      <c r="I14" s="73">
        <f t="shared" si="1"/>
        <v>22.052541604995</v>
      </c>
      <c r="J14" s="536">
        <f>((F14/H14)*100)-100</f>
        <v>-6.3411185059649711E-2</v>
      </c>
      <c r="K14" s="489">
        <f t="shared" si="3"/>
        <v>2.4750049499999999E-3</v>
      </c>
    </row>
    <row r="15" spans="2:12" s="42" customFormat="1" ht="16.5" x14ac:dyDescent="0.3">
      <c r="B15" s="74">
        <v>1210004</v>
      </c>
      <c r="C15" s="74" t="s">
        <v>1131</v>
      </c>
      <c r="D15" s="71">
        <v>2.1285042570000001E-4</v>
      </c>
      <c r="E15" s="72">
        <v>8.6000172E-2</v>
      </c>
      <c r="F15" s="585">
        <f>VLOOKUP(B15,[2]Hoja1!$C$2:$E$279,3,FALSE)</f>
        <v>3841</v>
      </c>
      <c r="G15" s="566">
        <f t="shared" si="0"/>
        <v>0.81755848511370011</v>
      </c>
      <c r="H15" s="1092">
        <v>3508.01</v>
      </c>
      <c r="I15" s="73">
        <f t="shared" si="1"/>
        <v>0.74668142185985709</v>
      </c>
      <c r="J15" s="536">
        <f>((F15/H15)*100)-100</f>
        <v>9.4922762477871885</v>
      </c>
      <c r="K15" s="489">
        <f t="shared" si="3"/>
        <v>2.1285042570000001E-4</v>
      </c>
    </row>
    <row r="16" spans="2:12" s="42" customFormat="1" ht="16.5" x14ac:dyDescent="0.3">
      <c r="B16" s="74">
        <v>121007</v>
      </c>
      <c r="C16" s="74" t="s">
        <v>821</v>
      </c>
      <c r="D16" s="70">
        <v>1.2276024551999998E-3</v>
      </c>
      <c r="E16" s="72">
        <v>0.49600099199999997</v>
      </c>
      <c r="F16" s="585">
        <f>VLOOKUP(B16,[2]Hoja1!$C$2:$E$279,3,FALSE)</f>
        <v>16905</v>
      </c>
      <c r="G16" s="566">
        <f t="shared" si="0"/>
        <v>20.752619505155998</v>
      </c>
      <c r="H16" s="964">
        <v>16100</v>
      </c>
      <c r="I16" s="73">
        <f t="shared" si="1"/>
        <v>19.764399528719999</v>
      </c>
      <c r="J16" s="536">
        <f>((F16/H16)*100)-100</f>
        <v>5</v>
      </c>
      <c r="K16" s="489">
        <f t="shared" si="3"/>
        <v>1.2276024551999998E-3</v>
      </c>
    </row>
    <row r="17" spans="2:11" s="42" customFormat="1" ht="16.5" x14ac:dyDescent="0.3">
      <c r="B17" s="74">
        <v>1210003</v>
      </c>
      <c r="C17" s="74" t="s">
        <v>1143</v>
      </c>
      <c r="D17" s="70">
        <v>1.2375024750000001E-4</v>
      </c>
      <c r="E17" s="72">
        <v>5.0000099999999999E-2</v>
      </c>
      <c r="F17" s="585">
        <f>VLOOKUP(B17,[2]Hoja1!$C$2:$E$279,3,FALSE)</f>
        <v>16235.45</v>
      </c>
      <c r="G17" s="566">
        <f t="shared" si="0"/>
        <v>2.0091409557738755</v>
      </c>
      <c r="H17" s="965">
        <v>12852.58</v>
      </c>
      <c r="I17" s="73">
        <f t="shared" si="1"/>
        <v>1.5905099560135501</v>
      </c>
      <c r="J17" s="536">
        <f t="shared" si="2"/>
        <v>26.320551982559152</v>
      </c>
      <c r="K17" s="489">
        <f t="shared" si="3"/>
        <v>1.2375024750000001E-4</v>
      </c>
    </row>
    <row r="18" spans="2:11" s="42" customFormat="1" ht="16.5" x14ac:dyDescent="0.3">
      <c r="B18" s="74">
        <v>1240007</v>
      </c>
      <c r="C18" s="74" t="s">
        <v>1352</v>
      </c>
      <c r="D18" s="70">
        <v>9.8999999999999999E-4</v>
      </c>
      <c r="E18" s="72">
        <v>0.4</v>
      </c>
      <c r="F18" s="585">
        <f>VLOOKUP(B18,[2]Hoja1!$C$2:$E$279,3,FALSE)</f>
        <v>25921.42</v>
      </c>
      <c r="G18" s="566">
        <f t="shared" si="0"/>
        <v>25.662205799999999</v>
      </c>
      <c r="H18" s="866">
        <v>47900</v>
      </c>
      <c r="I18" s="73">
        <f t="shared" si="1"/>
        <v>47.420999999999999</v>
      </c>
      <c r="J18" s="536">
        <f t="shared" si="2"/>
        <v>-45.884300626304807</v>
      </c>
      <c r="K18" s="489">
        <f t="shared" si="3"/>
        <v>9.8999999999999999E-4</v>
      </c>
    </row>
    <row r="19" spans="2:11" s="42" customFormat="1" ht="16.5" x14ac:dyDescent="0.3">
      <c r="B19" s="74">
        <v>1230008</v>
      </c>
      <c r="C19" s="74" t="s">
        <v>1183</v>
      </c>
      <c r="D19" s="70">
        <v>1.8414036828000001E-3</v>
      </c>
      <c r="E19" s="72">
        <v>0.74400148799999999</v>
      </c>
      <c r="F19" s="585">
        <f>VLOOKUP(B19,[2]Hoja1!$C$2:$E$279,3,FALSE)</f>
        <v>26735</v>
      </c>
      <c r="G19" s="566">
        <f t="shared" si="0"/>
        <v>49.229927459658001</v>
      </c>
      <c r="H19" s="585">
        <v>25396</v>
      </c>
      <c r="I19" s="73">
        <f t="shared" si="1"/>
        <v>46.764287928388804</v>
      </c>
      <c r="J19" s="536">
        <f t="shared" si="2"/>
        <v>5.2724838557253122</v>
      </c>
      <c r="K19" s="489">
        <f t="shared" si="3"/>
        <v>1.8414036828000001E-3</v>
      </c>
    </row>
    <row r="20" spans="2:11" s="42" customFormat="1" ht="16.5" x14ac:dyDescent="0.3">
      <c r="B20" s="74">
        <v>1230010</v>
      </c>
      <c r="C20" s="74" t="s">
        <v>1164</v>
      </c>
      <c r="D20" s="70">
        <v>9.9000198000000011E-4</v>
      </c>
      <c r="E20" s="72">
        <v>0.40000079999999999</v>
      </c>
      <c r="F20" s="585">
        <f>VLOOKUP(B20,[2]Hoja1!$C$2:$E$279,3,FALSE)</f>
        <v>53831</v>
      </c>
      <c r="G20" s="566">
        <f t="shared" si="0"/>
        <v>53.292796585380003</v>
      </c>
      <c r="H20" s="964">
        <v>50310</v>
      </c>
      <c r="I20" s="73">
        <f t="shared" si="1"/>
        <v>49.806999613800002</v>
      </c>
      <c r="J20" s="536">
        <f t="shared" si="2"/>
        <v>6.9986086265156047</v>
      </c>
      <c r="K20" s="489">
        <f t="shared" si="3"/>
        <v>9.9000198000000011E-4</v>
      </c>
    </row>
    <row r="21" spans="2:11" s="42" customFormat="1" ht="16.5" x14ac:dyDescent="0.3">
      <c r="B21" s="74">
        <v>1220010</v>
      </c>
      <c r="C21" s="74" t="s">
        <v>1144</v>
      </c>
      <c r="D21" s="70">
        <v>1.237502475E-3</v>
      </c>
      <c r="E21" s="72">
        <v>0.50000100000000003</v>
      </c>
      <c r="F21" s="585">
        <f>VLOOKUP(B21,[2]Hoja1!$C$2:$E$279,3,FALSE)</f>
        <v>4744.72</v>
      </c>
      <c r="G21" s="566">
        <f t="shared" si="0"/>
        <v>5.8716027431820006</v>
      </c>
      <c r="H21" s="965">
        <v>9381</v>
      </c>
      <c r="I21" s="73">
        <f t="shared" si="1"/>
        <v>11.609010717975</v>
      </c>
      <c r="J21" s="536">
        <f t="shared" si="2"/>
        <v>-49.42202323846071</v>
      </c>
      <c r="K21" s="489">
        <f t="shared" si="3"/>
        <v>1.237502475E-3</v>
      </c>
    </row>
    <row r="22" spans="2:11" s="42" customFormat="1" ht="16.5" x14ac:dyDescent="0.3">
      <c r="B22" s="74">
        <v>1270009</v>
      </c>
      <c r="C22" s="553" t="s">
        <v>1225</v>
      </c>
      <c r="D22" s="70">
        <v>1.4850029699999998E-4</v>
      </c>
      <c r="E22" s="72">
        <v>6.0000119999999997E-2</v>
      </c>
      <c r="F22" s="585">
        <f>VLOOKUP(B22,[2]Hoja1!$C$2:$E$279,3,FALSE)</f>
        <v>57046.53</v>
      </c>
      <c r="G22" s="566">
        <f t="shared" si="0"/>
        <v>8.471426647819408</v>
      </c>
      <c r="H22" s="336">
        <v>60863.23</v>
      </c>
      <c r="I22" s="73">
        <f t="shared" si="1"/>
        <v>9.038207731379309</v>
      </c>
      <c r="J22" s="536">
        <f t="shared" si="2"/>
        <v>-6.2709455281949431</v>
      </c>
      <c r="K22" s="489">
        <f t="shared" si="3"/>
        <v>1.4850029699999998E-4</v>
      </c>
    </row>
    <row r="23" spans="2:11" s="42" customFormat="1" ht="16.5" x14ac:dyDescent="0.3">
      <c r="B23" s="74">
        <v>1260014</v>
      </c>
      <c r="C23" s="74" t="s">
        <v>825</v>
      </c>
      <c r="D23" s="70">
        <v>2.4750049499999999E-3</v>
      </c>
      <c r="E23" s="72">
        <v>1.0000020000000001</v>
      </c>
      <c r="F23" s="585">
        <f>VLOOKUP(B23,[2]Hoja1!$C$2:$E$279,3,FALSE)</f>
        <v>28083.42</v>
      </c>
      <c r="G23" s="566">
        <f t="shared" si="0"/>
        <v>69.50660351292899</v>
      </c>
      <c r="H23" s="1105">
        <v>40834.379999999997</v>
      </c>
      <c r="I23" s="73">
        <f t="shared" si="1"/>
        <v>101.06529263018099</v>
      </c>
      <c r="J23" s="536">
        <f t="shared" si="2"/>
        <v>-31.226040410066219</v>
      </c>
      <c r="K23" s="489">
        <f t="shared" si="3"/>
        <v>2.4750049499999999E-3</v>
      </c>
    </row>
    <row r="24" spans="2:11" s="42" customFormat="1" ht="16.5" x14ac:dyDescent="0.3">
      <c r="B24" s="74">
        <v>1260009</v>
      </c>
      <c r="C24" s="74" t="s">
        <v>1027</v>
      </c>
      <c r="D24" s="70">
        <v>7.1775143550000002E-3</v>
      </c>
      <c r="E24" s="72">
        <v>2.9000058000000002</v>
      </c>
      <c r="F24" s="585">
        <f>VLOOKUP(B24,[2]Hoja1!$C$2:$E$279,3,FALSE)</f>
        <v>7033.69</v>
      </c>
      <c r="G24" s="566">
        <f t="shared" si="0"/>
        <v>50.484410943619949</v>
      </c>
      <c r="H24" s="526">
        <v>9565.2099999999991</v>
      </c>
      <c r="I24" s="73">
        <f t="shared" si="1"/>
        <v>68.654432083589541</v>
      </c>
      <c r="J24" s="536">
        <f t="shared" si="2"/>
        <v>-26.465911360022403</v>
      </c>
      <c r="K24" s="489">
        <f t="shared" si="3"/>
        <v>7.1775143550000002E-3</v>
      </c>
    </row>
    <row r="25" spans="2:11" s="42" customFormat="1" ht="16.5" x14ac:dyDescent="0.3">
      <c r="B25" s="74">
        <v>1260017</v>
      </c>
      <c r="C25" s="74" t="s">
        <v>832</v>
      </c>
      <c r="D25" s="70">
        <v>9.4050188100000005E-3</v>
      </c>
      <c r="E25" s="72">
        <v>3.8000075999999998</v>
      </c>
      <c r="F25" s="585">
        <f>VLOOKUP(B25,[2]Hoja1!$C$2:$E$279,3,FALSE)</f>
        <v>4500</v>
      </c>
      <c r="G25" s="566">
        <f t="shared" si="0"/>
        <v>42.322584644999999</v>
      </c>
      <c r="H25" s="964">
        <v>4500</v>
      </c>
      <c r="I25" s="73">
        <f t="shared" si="1"/>
        <v>42.322584644999999</v>
      </c>
      <c r="J25" s="536">
        <f t="shared" si="2"/>
        <v>0</v>
      </c>
      <c r="K25" s="489">
        <f t="shared" si="3"/>
        <v>9.4050188100000005E-3</v>
      </c>
    </row>
    <row r="26" spans="2:11" s="42" customFormat="1" ht="16.5" x14ac:dyDescent="0.3">
      <c r="B26" s="74">
        <v>1260010</v>
      </c>
      <c r="C26" s="74" t="s">
        <v>1043</v>
      </c>
      <c r="D26" s="70">
        <v>4.2075084150000001E-3</v>
      </c>
      <c r="E26" s="72">
        <v>1.7000033999999999</v>
      </c>
      <c r="F26" s="585">
        <f>VLOOKUP(B26,[2]Hoja1!$C$2:$E$279,3,FALSE)</f>
        <v>6959.71</v>
      </c>
      <c r="G26" s="566">
        <f t="shared" si="0"/>
        <v>29.28303839095965</v>
      </c>
      <c r="H26" s="964">
        <v>8234.27</v>
      </c>
      <c r="I26" s="73">
        <f t="shared" si="1"/>
        <v>34.645760316382052</v>
      </c>
      <c r="J26" s="536">
        <f t="shared" si="2"/>
        <v>-15.478724890002397</v>
      </c>
      <c r="K26" s="489">
        <f t="shared" si="3"/>
        <v>4.2075084150000001E-3</v>
      </c>
    </row>
    <row r="27" spans="2:11" s="42" customFormat="1" ht="16.5" x14ac:dyDescent="0.3">
      <c r="B27" s="74">
        <v>1260005</v>
      </c>
      <c r="C27" s="74" t="s">
        <v>811</v>
      </c>
      <c r="D27" s="71">
        <v>2.9700059400000001E-3</v>
      </c>
      <c r="E27" s="72">
        <v>1.2000024</v>
      </c>
      <c r="F27" s="585">
        <f>VLOOKUP(B27,[2]Hoja1!$C$2:$E$279,3,FALSE)</f>
        <v>26429</v>
      </c>
      <c r="G27" s="566">
        <f t="shared" si="0"/>
        <v>78.494286988260001</v>
      </c>
      <c r="H27" s="982">
        <v>25850</v>
      </c>
      <c r="I27" s="73">
        <f t="shared" si="1"/>
        <v>76.774653549000007</v>
      </c>
      <c r="J27" s="536">
        <f t="shared" si="2"/>
        <v>2.2398452611218715</v>
      </c>
      <c r="K27" s="489">
        <f t="shared" si="3"/>
        <v>2.9700059400000001E-3</v>
      </c>
    </row>
    <row r="28" spans="2:11" s="42" customFormat="1" ht="16.5" x14ac:dyDescent="0.3">
      <c r="B28" s="74">
        <v>1260022</v>
      </c>
      <c r="C28" s="74" t="s">
        <v>974</v>
      </c>
      <c r="D28" s="70">
        <v>2.4750049499999999E-3</v>
      </c>
      <c r="E28" s="72">
        <v>1.0000020000000001</v>
      </c>
      <c r="F28" s="585">
        <f>VLOOKUP(B28,[2]Hoja1!$C$2:$E$279,3,FALSE)</f>
        <v>22988.01</v>
      </c>
      <c r="G28" s="566">
        <f t="shared" si="0"/>
        <v>56.895438540649494</v>
      </c>
      <c r="H28" s="533">
        <v>27066.49</v>
      </c>
      <c r="I28" s="73">
        <f t="shared" si="1"/>
        <v>66.989696729125498</v>
      </c>
      <c r="J28" s="536">
        <f t="shared" si="2"/>
        <v>-15.068374214757824</v>
      </c>
      <c r="K28" s="489">
        <f t="shared" si="3"/>
        <v>2.4750049499999999E-3</v>
      </c>
    </row>
    <row r="29" spans="2:11" s="42" customFormat="1" ht="16.5" x14ac:dyDescent="0.3">
      <c r="B29" s="74">
        <v>1260025</v>
      </c>
      <c r="C29" s="74" t="s">
        <v>1261</v>
      </c>
      <c r="D29" s="70">
        <v>7.425E-4</v>
      </c>
      <c r="E29" s="72">
        <v>0.3</v>
      </c>
      <c r="F29" s="585">
        <f>VLOOKUP(B29,[2]Hoja1!$C$2:$E$279,3,FALSE)</f>
        <v>60648.01</v>
      </c>
      <c r="G29" s="566">
        <f t="shared" si="0"/>
        <v>45.031147425</v>
      </c>
      <c r="H29" s="533">
        <v>27066.49</v>
      </c>
      <c r="I29" s="73"/>
      <c r="J29" s="536"/>
      <c r="K29" s="489">
        <f t="shared" si="3"/>
        <v>7.425E-4</v>
      </c>
    </row>
    <row r="30" spans="2:11" s="42" customFormat="1" ht="16.5" x14ac:dyDescent="0.25">
      <c r="B30" s="1777"/>
      <c r="C30" s="1778"/>
      <c r="D30" s="1381">
        <f>SUM(D5:D29)</f>
        <v>0.24800030190540001</v>
      </c>
      <c r="E30" s="1382">
        <f>SUM(E5:E29)</f>
        <v>100.202142184</v>
      </c>
      <c r="F30" s="1354"/>
      <c r="G30" s="1387">
        <f>SUM(G5:G29)</f>
        <v>1730.4444725791</v>
      </c>
      <c r="H30" s="1383"/>
      <c r="I30" s="1354">
        <f>SUM(I5:I29)</f>
        <v>1908.1569463159501</v>
      </c>
      <c r="J30" s="1331">
        <f>((G30/I30)*100)-100</f>
        <v>-9.3133048662457725</v>
      </c>
      <c r="K30" s="1337"/>
    </row>
    <row r="32" spans="2:11" ht="25.5" x14ac:dyDescent="0.35">
      <c r="B32" s="1760" t="s">
        <v>50</v>
      </c>
      <c r="C32" s="1754"/>
      <c r="D32" s="38">
        <f>+C35+(C35*C41%)</f>
        <v>247.5</v>
      </c>
      <c r="E32" s="91"/>
      <c r="F32" s="186"/>
      <c r="G32" s="91"/>
      <c r="H32" s="91"/>
      <c r="I32" s="91"/>
    </row>
    <row r="33" spans="2:11" x14ac:dyDescent="0.25">
      <c r="B33" s="1264" t="s">
        <v>38</v>
      </c>
      <c r="C33" s="93" t="s">
        <v>113</v>
      </c>
      <c r="D33" s="38"/>
      <c r="H33" s="38"/>
    </row>
    <row r="34" spans="2:11" x14ac:dyDescent="0.25">
      <c r="B34" s="1265" t="s">
        <v>39</v>
      </c>
      <c r="C34" s="21" t="s">
        <v>408</v>
      </c>
      <c r="D34" s="38"/>
      <c r="H34" s="38"/>
    </row>
    <row r="35" spans="2:11" x14ac:dyDescent="0.25">
      <c r="B35" s="1265" t="s">
        <v>40</v>
      </c>
      <c r="C35" s="21">
        <v>225</v>
      </c>
      <c r="D35" s="38"/>
      <c r="H35" s="38"/>
    </row>
    <row r="36" spans="2:11" x14ac:dyDescent="0.25">
      <c r="B36" s="1265" t="s">
        <v>41</v>
      </c>
      <c r="C36" s="21">
        <v>0</v>
      </c>
      <c r="D36" s="38"/>
      <c r="H36" s="38"/>
    </row>
    <row r="37" spans="2:11" x14ac:dyDescent="0.25">
      <c r="B37" s="1265" t="s">
        <v>42</v>
      </c>
      <c r="C37" s="21">
        <v>0.5</v>
      </c>
      <c r="D37" s="38"/>
      <c r="H37" s="38"/>
    </row>
    <row r="38" spans="2:11" x14ac:dyDescent="0.25">
      <c r="B38" s="1265" t="s">
        <v>43</v>
      </c>
      <c r="C38" s="21">
        <v>0.5</v>
      </c>
      <c r="D38" s="38"/>
      <c r="H38" s="38"/>
    </row>
    <row r="39" spans="2:11" x14ac:dyDescent="0.25">
      <c r="B39" s="1265" t="s">
        <v>44</v>
      </c>
      <c r="C39" s="21">
        <v>7</v>
      </c>
      <c r="D39" s="38"/>
      <c r="H39" s="38"/>
    </row>
    <row r="40" spans="2:11" x14ac:dyDescent="0.25">
      <c r="B40" s="1265" t="s">
        <v>45</v>
      </c>
      <c r="C40" s="21">
        <v>2</v>
      </c>
      <c r="D40" s="38"/>
      <c r="H40" s="38"/>
    </row>
    <row r="41" spans="2:11" x14ac:dyDescent="0.25">
      <c r="B41" s="1265" t="s">
        <v>46</v>
      </c>
      <c r="C41" s="21">
        <f>C40+C39+C38+C37</f>
        <v>10</v>
      </c>
      <c r="D41" s="38"/>
      <c r="H41" s="38"/>
    </row>
    <row r="43" spans="2:11" ht="25.5" x14ac:dyDescent="0.35">
      <c r="B43" s="1805" t="s">
        <v>47</v>
      </c>
      <c r="C43" s="1806"/>
      <c r="D43" s="1806"/>
      <c r="E43" s="1806"/>
      <c r="F43" s="1806"/>
      <c r="G43" s="1806"/>
      <c r="H43" s="1806"/>
      <c r="I43" s="1806"/>
      <c r="J43" s="146"/>
    </row>
    <row r="44" spans="2:11" s="120" customFormat="1" ht="25.5" x14ac:dyDescent="0.25">
      <c r="B44" s="1460" t="s">
        <v>0</v>
      </c>
      <c r="C44" s="1460" t="s">
        <v>1</v>
      </c>
      <c r="D44" s="1461" t="s">
        <v>2</v>
      </c>
      <c r="E44" s="1243" t="str">
        <f>+'CIF Y PV'!$F$4</f>
        <v xml:space="preserve">JUN-COP/UMB </v>
      </c>
      <c r="F44" s="1243" t="str">
        <f>+'CIF Y PV'!$G$4</f>
        <v>JUN-COP/APP</v>
      </c>
      <c r="G44" s="1243" t="str">
        <f>+'CIF Y PV'!$H$4</f>
        <v xml:space="preserve">MAY-COP/UMB </v>
      </c>
      <c r="H44" s="1243" t="str">
        <f>+'CIF Y PV'!$I$4</f>
        <v>MAY-COP/APP</v>
      </c>
      <c r="I44" s="1462" t="s">
        <v>3</v>
      </c>
      <c r="J44" s="146">
        <v>3285</v>
      </c>
      <c r="K44" s="176"/>
    </row>
    <row r="45" spans="2:11" x14ac:dyDescent="0.25">
      <c r="B45" s="610">
        <v>1370002</v>
      </c>
      <c r="C45" s="610" t="s">
        <v>1165</v>
      </c>
      <c r="D45" s="611">
        <v>2.4289999999999999E-2</v>
      </c>
      <c r="E45" s="24">
        <f>VLOOKUP(B45,[2]Hoja1!$C$2:$E$279,3,FALSE)</f>
        <v>5325.93</v>
      </c>
      <c r="F45" s="1170">
        <f t="shared" ref="F45:F50" si="4">E45*D45</f>
        <v>129.36683970000001</v>
      </c>
      <c r="G45" s="24">
        <v>4879.67</v>
      </c>
      <c r="H45" s="1170">
        <f>G45*D45</f>
        <v>118.5271843</v>
      </c>
      <c r="I45" s="674">
        <f>((E45/G45)*100)-100</f>
        <v>9.1452905626814953</v>
      </c>
      <c r="J45" s="38">
        <f>J44*D45</f>
        <v>79.792649999999995</v>
      </c>
    </row>
    <row r="46" spans="2:11" x14ac:dyDescent="0.25">
      <c r="B46" s="610">
        <v>1380002</v>
      </c>
      <c r="C46" s="610" t="s">
        <v>1051</v>
      </c>
      <c r="D46" s="611">
        <v>4.8000000000000001E-2</v>
      </c>
      <c r="E46" s="24">
        <f>VLOOKUP(B46,[2]Hoja1!$C$2:$E$279,3,FALSE)</f>
        <v>73.33</v>
      </c>
      <c r="F46" s="1170">
        <f t="shared" si="4"/>
        <v>3.5198399999999999</v>
      </c>
      <c r="G46" s="24">
        <v>76.61</v>
      </c>
      <c r="H46" s="1170">
        <f t="shared" ref="H46:H50" si="5">G46*D46</f>
        <v>3.6772800000000001</v>
      </c>
      <c r="I46" s="674">
        <f>((E46/G46)*100)-100</f>
        <v>-4.281425401383629</v>
      </c>
      <c r="J46" s="38">
        <f>J44*D46</f>
        <v>157.68</v>
      </c>
    </row>
    <row r="47" spans="2:11" x14ac:dyDescent="0.25">
      <c r="B47" s="610">
        <v>1310018</v>
      </c>
      <c r="C47" s="226" t="s">
        <v>890</v>
      </c>
      <c r="D47" s="611">
        <v>4.7E-2</v>
      </c>
      <c r="E47" s="24">
        <f>VLOOKUP(B47,[2]Hoja1!$C$2:$E$279,3,FALSE)</f>
        <v>478.26</v>
      </c>
      <c r="F47" s="1170">
        <f t="shared" si="4"/>
        <v>22.47822</v>
      </c>
      <c r="G47" s="24">
        <v>503.51</v>
      </c>
      <c r="H47" s="1170">
        <f t="shared" si="5"/>
        <v>23.66497</v>
      </c>
      <c r="I47" s="674">
        <f>((E47/G47)*100)-100</f>
        <v>-5.0147961311592582</v>
      </c>
      <c r="J47" s="38">
        <f>J44*D47</f>
        <v>154.39500000000001</v>
      </c>
    </row>
    <row r="48" spans="2:11" x14ac:dyDescent="0.25">
      <c r="B48" s="610">
        <v>1330042</v>
      </c>
      <c r="C48" s="611" t="s">
        <v>1003</v>
      </c>
      <c r="D48" s="611">
        <v>1</v>
      </c>
      <c r="E48" s="24">
        <f>VLOOKUP(B48,[2]Hoja1!$C$2:$E$279,3,FALSE)</f>
        <v>152.19999999999999</v>
      </c>
      <c r="F48" s="1170">
        <f t="shared" si="4"/>
        <v>152.19999999999999</v>
      </c>
      <c r="G48" s="123">
        <v>144.44999999999999</v>
      </c>
      <c r="H48" s="1170">
        <f t="shared" si="5"/>
        <v>144.44999999999999</v>
      </c>
      <c r="I48" s="674">
        <f>((E48/G48)*100)-100</f>
        <v>5.3651782623745277</v>
      </c>
      <c r="J48" s="38">
        <f>J44*D48</f>
        <v>3285</v>
      </c>
    </row>
    <row r="49" spans="2:11" x14ac:dyDescent="0.25">
      <c r="B49" s="610">
        <v>1330059</v>
      </c>
      <c r="C49" s="611" t="s">
        <v>905</v>
      </c>
      <c r="D49" s="611">
        <v>1</v>
      </c>
      <c r="E49" s="24">
        <f>VLOOKUP(B49,[2]Hoja1!$C$2:$E$279,3,FALSE)</f>
        <v>88.11</v>
      </c>
      <c r="F49" s="1170">
        <f t="shared" si="4"/>
        <v>88.11</v>
      </c>
      <c r="G49" s="115">
        <v>82.36</v>
      </c>
      <c r="H49" s="1170">
        <f t="shared" si="5"/>
        <v>82.36</v>
      </c>
      <c r="I49" s="674"/>
      <c r="J49" s="38"/>
    </row>
    <row r="50" spans="2:11" x14ac:dyDescent="0.25">
      <c r="B50" s="610">
        <v>1320003</v>
      </c>
      <c r="C50" s="611" t="s">
        <v>919</v>
      </c>
      <c r="D50" s="611">
        <v>4.7E-2</v>
      </c>
      <c r="E50" s="24">
        <f>VLOOKUP(B50,[2]Hoja1!$C$2:$E$279,3,FALSE)</f>
        <v>701.94</v>
      </c>
      <c r="F50" s="1170">
        <f t="shared" si="4"/>
        <v>32.99118</v>
      </c>
      <c r="G50" s="24">
        <v>700.44</v>
      </c>
      <c r="H50" s="1170">
        <f t="shared" si="5"/>
        <v>32.920680000000004</v>
      </c>
      <c r="I50" s="674">
        <f>((E50/G50)*100)-100</f>
        <v>0.21415110501969536</v>
      </c>
      <c r="J50" s="38">
        <f>J44*D50</f>
        <v>154.39500000000001</v>
      </c>
    </row>
    <row r="51" spans="2:11" x14ac:dyDescent="0.25">
      <c r="B51" s="1463"/>
      <c r="C51" s="1463" t="s">
        <v>37</v>
      </c>
      <c r="D51" s="1464"/>
      <c r="E51" s="1465"/>
      <c r="F51" s="1466">
        <f>SUM(F45:F50)</f>
        <v>428.66607969999995</v>
      </c>
      <c r="G51" s="1466"/>
      <c r="H51" s="1466">
        <f>SUM(H45:H50)</f>
        <v>405.60011430000003</v>
      </c>
      <c r="I51" s="1467">
        <f>((F51/H51)*100)-100</f>
        <v>5.6868734960314242</v>
      </c>
    </row>
    <row r="52" spans="2:11" x14ac:dyDescent="0.25">
      <c r="H52" s="1" t="str">
        <f>+'CIF Y PV'!$G$1</f>
        <v>MAYO</v>
      </c>
      <c r="I52" s="873"/>
      <c r="K52" s="873"/>
    </row>
    <row r="53" spans="2:11" x14ac:dyDescent="0.25">
      <c r="B53" s="1750" t="s">
        <v>72</v>
      </c>
      <c r="C53" s="1750"/>
      <c r="E53" s="881"/>
      <c r="F53" s="881"/>
      <c r="G53" s="881"/>
      <c r="H53" s="881">
        <f>+G30+F51</f>
        <v>2159.1105522790999</v>
      </c>
      <c r="I53" s="181"/>
      <c r="J53" s="881"/>
      <c r="K53" s="181"/>
    </row>
    <row r="54" spans="2:11" x14ac:dyDescent="0.25">
      <c r="B54" s="1758" t="s">
        <v>48</v>
      </c>
      <c r="C54" s="1759"/>
      <c r="E54" s="881"/>
      <c r="F54" s="881"/>
      <c r="G54" s="881"/>
      <c r="H54" s="881">
        <f>+('CIF Y PV'!C3/1000)*225</f>
        <v>425.25</v>
      </c>
      <c r="I54" s="182"/>
      <c r="J54" s="881"/>
      <c r="K54" s="182"/>
    </row>
    <row r="55" spans="2:11" x14ac:dyDescent="0.25">
      <c r="B55" s="1758" t="s">
        <v>953</v>
      </c>
      <c r="C55" s="1759"/>
      <c r="E55" s="881"/>
      <c r="F55" s="881"/>
      <c r="G55" s="881"/>
      <c r="H55" s="881">
        <f>+H54+H53</f>
        <v>2584.3605522790999</v>
      </c>
      <c r="I55" s="152"/>
      <c r="J55" s="881"/>
      <c r="K55" s="152"/>
    </row>
    <row r="56" spans="2:11" x14ac:dyDescent="0.25">
      <c r="B56" s="1750" t="s">
        <v>49</v>
      </c>
      <c r="C56" s="1750"/>
      <c r="E56" s="881"/>
      <c r="F56" s="881"/>
      <c r="G56" s="881"/>
      <c r="H56" s="881">
        <f>'CIF Y PV'!C33</f>
        <v>5702.8860000000004</v>
      </c>
      <c r="J56" s="881"/>
      <c r="K56" s="339"/>
    </row>
    <row r="57" spans="2:11" x14ac:dyDescent="0.25">
      <c r="B57" s="1750" t="s">
        <v>805</v>
      </c>
      <c r="C57" s="1750"/>
      <c r="E57" s="881"/>
      <c r="F57" s="881"/>
      <c r="G57" s="881"/>
      <c r="H57" s="928">
        <f>+(H56-H55)/H56</f>
        <v>0.54683285756034761</v>
      </c>
      <c r="I57" s="137"/>
      <c r="J57" s="38"/>
      <c r="K57" s="137"/>
    </row>
  </sheetData>
  <mergeCells count="9">
    <mergeCell ref="B55:C55"/>
    <mergeCell ref="B56:C56"/>
    <mergeCell ref="B57:C57"/>
    <mergeCell ref="B2:I2"/>
    <mergeCell ref="B30:C30"/>
    <mergeCell ref="B32:C32"/>
    <mergeCell ref="B43:I43"/>
    <mergeCell ref="B53:C53"/>
    <mergeCell ref="B54:C54"/>
  </mergeCells>
  <pageMargins left="0.7" right="0.7" top="0.75" bottom="0.75" header="0.3" footer="0.3"/>
  <pageSetup scale="42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C0C8-C599-417D-B987-45A532FF2B03}">
  <sheetPr codeName="Hoja68"/>
  <dimension ref="B2:M50"/>
  <sheetViews>
    <sheetView view="pageBreakPreview" topLeftCell="A32" zoomScale="80" zoomScaleNormal="100" zoomScaleSheetLayoutView="80" workbookViewId="0">
      <selection activeCell="F23" sqref="F23"/>
    </sheetView>
  </sheetViews>
  <sheetFormatPr baseColWidth="10" defaultColWidth="11.5703125" defaultRowHeight="16.5" x14ac:dyDescent="0.3"/>
  <cols>
    <col min="1" max="1" width="12.140625" style="527" customWidth="1"/>
    <col min="2" max="2" width="19.85546875" style="527" customWidth="1"/>
    <col min="3" max="3" width="58.28515625" style="527" customWidth="1"/>
    <col min="4" max="4" width="11.5703125" style="693" customWidth="1"/>
    <col min="5" max="6" width="13.140625" style="527" customWidth="1"/>
    <col min="7" max="7" width="12.42578125" style="527" customWidth="1"/>
    <col min="8" max="8" width="14.42578125" style="527" customWidth="1"/>
    <col min="9" max="9" width="13.7109375" style="527" customWidth="1"/>
    <col min="10" max="10" width="12.28515625" style="693" customWidth="1"/>
    <col min="11" max="11" width="18.28515625" style="525" bestFit="1" customWidth="1"/>
    <col min="12" max="16384" width="11.5703125" style="527"/>
  </cols>
  <sheetData>
    <row r="2" spans="2:12" x14ac:dyDescent="0.3">
      <c r="B2" s="1859" t="s">
        <v>348</v>
      </c>
      <c r="C2" s="1859"/>
      <c r="D2" s="1859"/>
      <c r="E2" s="1859"/>
      <c r="F2" s="1859"/>
      <c r="G2" s="1859"/>
      <c r="H2" s="1859"/>
      <c r="I2" s="1859"/>
      <c r="J2" s="1859"/>
    </row>
    <row r="4" spans="2:12" s="979" customFormat="1" ht="28.5" x14ac:dyDescent="0.25">
      <c r="B4" s="1348" t="s">
        <v>0</v>
      </c>
      <c r="C4" s="1348" t="s">
        <v>1</v>
      </c>
      <c r="D4" s="1348" t="s">
        <v>2</v>
      </c>
      <c r="E4" s="1348" t="s">
        <v>3</v>
      </c>
      <c r="F4" s="1335" t="str">
        <f>+'CIF Y PV'!$F$2</f>
        <v xml:space="preserve">JUN-COP/Kg </v>
      </c>
      <c r="G4" s="1335" t="str">
        <f>+'CIF Y PV'!$G$2</f>
        <v>JUN-COP/APP</v>
      </c>
      <c r="H4" s="1335" t="str">
        <f>+'CIF Y PV'!$H$2</f>
        <v xml:space="preserve">MAY-COP/Kg </v>
      </c>
      <c r="I4" s="1335" t="str">
        <f>+'CIF Y PV'!$I$2</f>
        <v>MAY-COP/APP</v>
      </c>
      <c r="J4" s="1336" t="s">
        <v>3</v>
      </c>
      <c r="K4" s="1440">
        <f>+D27/1000</f>
        <v>0.52</v>
      </c>
    </row>
    <row r="5" spans="2:12" x14ac:dyDescent="0.3">
      <c r="B5" s="1022">
        <v>1112002</v>
      </c>
      <c r="C5" s="553" t="s">
        <v>796</v>
      </c>
      <c r="D5" s="554">
        <v>0.11798800000000001</v>
      </c>
      <c r="E5" s="561">
        <v>22.69</v>
      </c>
      <c r="F5" s="982">
        <f>VLOOKUP(B5,[2]Hoja1!$C$2:$E$279,3,FALSE)</f>
        <v>3575.02</v>
      </c>
      <c r="G5" s="561">
        <f>F5*D5</f>
        <v>421.80945976000004</v>
      </c>
      <c r="H5" s="982">
        <v>4222.72</v>
      </c>
      <c r="I5" s="574">
        <f>H5*D5</f>
        <v>498.23028736000009</v>
      </c>
      <c r="J5" s="562">
        <f t="shared" ref="J5:J23" si="0">((F5/H5)*100)-100</f>
        <v>-15.338454834798426</v>
      </c>
      <c r="K5" s="525">
        <f t="shared" ref="K5:K23" si="1">$K$4*E5%</f>
        <v>0.11798800000000001</v>
      </c>
    </row>
    <row r="6" spans="2:12" x14ac:dyDescent="0.3">
      <c r="B6" s="1022">
        <v>2906001</v>
      </c>
      <c r="C6" s="553" t="s">
        <v>831</v>
      </c>
      <c r="D6" s="554">
        <v>7.7962422112541757E-2</v>
      </c>
      <c r="E6" s="561">
        <v>14.992773483181107</v>
      </c>
      <c r="F6" s="982">
        <f>VLOOKUP(B6,[2]Hoja1!$C$2:$E$279,3,FALSE)</f>
        <v>1956.71</v>
      </c>
      <c r="G6" s="561">
        <f t="shared" ref="G6:G23" si="2">F6*D6</f>
        <v>152.54985097183157</v>
      </c>
      <c r="H6" s="982">
        <v>2033.73</v>
      </c>
      <c r="I6" s="574">
        <f t="shared" ref="I6:I23" si="3">H6*D6</f>
        <v>158.55451672293955</v>
      </c>
      <c r="J6" s="562">
        <f t="shared" si="0"/>
        <v>-3.7871300516784459</v>
      </c>
      <c r="K6" s="525">
        <f t="shared" si="1"/>
        <v>7.7962422112541757E-2</v>
      </c>
    </row>
    <row r="7" spans="2:12" x14ac:dyDescent="0.3">
      <c r="B7" s="1022"/>
      <c r="C7" s="553" t="s">
        <v>824</v>
      </c>
      <c r="D7" s="554">
        <v>5.2000000000000005E-2</v>
      </c>
      <c r="E7" s="561">
        <v>10</v>
      </c>
      <c r="F7" s="982">
        <v>0</v>
      </c>
      <c r="G7" s="561">
        <f t="shared" si="2"/>
        <v>0</v>
      </c>
      <c r="H7" s="88">
        <v>0</v>
      </c>
      <c r="I7" s="574">
        <f t="shared" si="3"/>
        <v>0</v>
      </c>
      <c r="J7" s="562"/>
      <c r="K7" s="525">
        <f t="shared" si="1"/>
        <v>5.2000000000000005E-2</v>
      </c>
    </row>
    <row r="8" spans="2:12" x14ac:dyDescent="0.3">
      <c r="B8" s="1022">
        <v>1131002</v>
      </c>
      <c r="C8" s="553" t="s">
        <v>663</v>
      </c>
      <c r="D8" s="554">
        <v>0.16905200000000001</v>
      </c>
      <c r="E8" s="561">
        <v>32.51</v>
      </c>
      <c r="F8" s="982">
        <f>VLOOKUP(B8,[2]Hoja1!$C$2:$E$279,3,FALSE)</f>
        <v>0</v>
      </c>
      <c r="G8" s="561">
        <f t="shared" si="2"/>
        <v>0</v>
      </c>
      <c r="H8" s="184">
        <v>0</v>
      </c>
      <c r="I8" s="574">
        <f t="shared" si="3"/>
        <v>0</v>
      </c>
      <c r="J8" s="562"/>
      <c r="K8" s="525">
        <f t="shared" si="1"/>
        <v>0.16905200000000001</v>
      </c>
    </row>
    <row r="9" spans="2:12" x14ac:dyDescent="0.3">
      <c r="B9" s="1022">
        <v>1250009</v>
      </c>
      <c r="C9" s="553" t="s">
        <v>1279</v>
      </c>
      <c r="D9" s="554">
        <v>5.4573695478779235E-4</v>
      </c>
      <c r="E9" s="561">
        <v>0.10494941438226775</v>
      </c>
      <c r="F9" s="982">
        <f>VLOOKUP(B9,[2]Hoja1!$C$2:$E$279,3,FALSE)</f>
        <v>83551.55</v>
      </c>
      <c r="G9" s="561">
        <f t="shared" si="2"/>
        <v>45.597168464799971</v>
      </c>
      <c r="H9" s="984">
        <v>71910.02</v>
      </c>
      <c r="I9" s="574">
        <f t="shared" si="3"/>
        <v>39.243955333529243</v>
      </c>
      <c r="J9" s="562">
        <f t="shared" si="0"/>
        <v>16.18902344902699</v>
      </c>
      <c r="K9" s="525">
        <f t="shared" si="1"/>
        <v>5.4573695478779235E-4</v>
      </c>
    </row>
    <row r="10" spans="2:12" x14ac:dyDescent="0.3">
      <c r="B10" s="1022">
        <v>1210005</v>
      </c>
      <c r="C10" s="553" t="s">
        <v>1155</v>
      </c>
      <c r="D10" s="554">
        <v>7.4360000000000008E-3</v>
      </c>
      <c r="E10" s="561">
        <v>1.43</v>
      </c>
      <c r="F10" s="982">
        <f>VLOOKUP(B10,[2]Hoja1!$C$2:$E$279,3,FALSE)</f>
        <v>1356</v>
      </c>
      <c r="G10" s="561">
        <f t="shared" si="2"/>
        <v>10.083216</v>
      </c>
      <c r="H10" s="964">
        <v>1360</v>
      </c>
      <c r="I10" s="574">
        <f t="shared" si="3"/>
        <v>10.112960000000001</v>
      </c>
      <c r="J10" s="562">
        <f t="shared" si="0"/>
        <v>-0.29411764705882604</v>
      </c>
      <c r="K10" s="525">
        <f t="shared" si="1"/>
        <v>7.4360000000000008E-3</v>
      </c>
    </row>
    <row r="11" spans="2:12" x14ac:dyDescent="0.3">
      <c r="B11" s="1022">
        <v>1210004</v>
      </c>
      <c r="C11" s="553" t="s">
        <v>1131</v>
      </c>
      <c r="D11" s="554">
        <v>4.1600000000000003E-4</v>
      </c>
      <c r="E11" s="561">
        <v>0.08</v>
      </c>
      <c r="F11" s="982">
        <f>VLOOKUP(B11,[2]Hoja1!$C$2:$E$279,3,FALSE)</f>
        <v>3841</v>
      </c>
      <c r="G11" s="561">
        <f t="shared" si="2"/>
        <v>1.5978560000000002</v>
      </c>
      <c r="H11" s="88">
        <v>3508.01</v>
      </c>
      <c r="I11" s="574">
        <f t="shared" si="3"/>
        <v>1.4593321600000002</v>
      </c>
      <c r="J11" s="562">
        <f t="shared" si="0"/>
        <v>9.4922762477871885</v>
      </c>
      <c r="K11" s="525">
        <f t="shared" si="1"/>
        <v>4.1600000000000003E-4</v>
      </c>
    </row>
    <row r="12" spans="2:12" x14ac:dyDescent="0.3">
      <c r="B12" s="1022">
        <v>121007</v>
      </c>
      <c r="C12" s="553" t="s">
        <v>821</v>
      </c>
      <c r="D12" s="554">
        <v>1.0394989615005567E-3</v>
      </c>
      <c r="E12" s="561">
        <v>0.19990364644241476</v>
      </c>
      <c r="F12" s="982">
        <f>VLOOKUP(B12,[2]Hoja1!$C$2:$E$279,3,FALSE)</f>
        <v>16905</v>
      </c>
      <c r="G12" s="561">
        <f t="shared" si="2"/>
        <v>17.572729944166912</v>
      </c>
      <c r="H12" s="964">
        <v>16100</v>
      </c>
      <c r="I12" s="574">
        <f t="shared" si="3"/>
        <v>16.735933280158964</v>
      </c>
      <c r="J12" s="562">
        <f t="shared" si="0"/>
        <v>5</v>
      </c>
      <c r="K12" s="525">
        <f t="shared" si="1"/>
        <v>1.0394989615005567E-3</v>
      </c>
    </row>
    <row r="13" spans="2:12" x14ac:dyDescent="0.3">
      <c r="B13" s="1022">
        <v>1220013</v>
      </c>
      <c r="C13" s="553" t="s">
        <v>1178</v>
      </c>
      <c r="D13" s="554">
        <v>2.5987474037513919E-3</v>
      </c>
      <c r="E13" s="561">
        <v>0.4997591161060369</v>
      </c>
      <c r="F13" s="982">
        <f>VLOOKUP(B13,[2]Hoja1!$C$2:$E$279,3,FALSE)</f>
        <v>36849.1</v>
      </c>
      <c r="G13" s="561">
        <f t="shared" si="2"/>
        <v>95.761502955575409</v>
      </c>
      <c r="H13" s="866">
        <v>35100.01</v>
      </c>
      <c r="I13" s="574">
        <f t="shared" si="3"/>
        <v>91.216059859147904</v>
      </c>
      <c r="J13" s="562">
        <f t="shared" si="0"/>
        <v>4.9831609734584106</v>
      </c>
      <c r="K13" s="525">
        <f t="shared" si="1"/>
        <v>2.5987474037513919E-3</v>
      </c>
    </row>
    <row r="14" spans="2:12" x14ac:dyDescent="0.3">
      <c r="B14" s="1022">
        <v>1220009</v>
      </c>
      <c r="C14" s="553" t="s">
        <v>1133</v>
      </c>
      <c r="D14" s="554">
        <v>3.1184968845016705E-4</v>
      </c>
      <c r="E14" s="561">
        <v>5.9971093932724429E-2</v>
      </c>
      <c r="F14" s="982">
        <f>VLOOKUP(B14,[2]Hoja1!$C$2:$E$279,3,FALSE)</f>
        <v>21312.16</v>
      </c>
      <c r="G14" s="561">
        <f t="shared" si="2"/>
        <v>6.6461904562001122</v>
      </c>
      <c r="H14" s="88">
        <v>20299</v>
      </c>
      <c r="I14" s="574">
        <f t="shared" si="3"/>
        <v>6.3302368258499406</v>
      </c>
      <c r="J14" s="562">
        <f t="shared" si="0"/>
        <v>4.9911818316173253</v>
      </c>
      <c r="K14" s="525">
        <f t="shared" si="1"/>
        <v>3.1184968845016705E-4</v>
      </c>
      <c r="L14" s="526">
        <f>K14*3</f>
        <v>9.355490653505012E-4</v>
      </c>
    </row>
    <row r="15" spans="2:12" x14ac:dyDescent="0.3">
      <c r="B15" s="1022">
        <v>1220005</v>
      </c>
      <c r="C15" s="553" t="s">
        <v>1135</v>
      </c>
      <c r="D15" s="554">
        <v>4.1579958460022273E-4</v>
      </c>
      <c r="E15" s="561">
        <v>7.9961458576965905E-2</v>
      </c>
      <c r="F15" s="982">
        <f>VLOOKUP(B15,[2]Hoja1!$C$2:$E$279,3,FALSE)</f>
        <v>17429.990000000002</v>
      </c>
      <c r="G15" s="561">
        <f t="shared" si="2"/>
        <v>7.247382601586037</v>
      </c>
      <c r="H15" s="964">
        <v>17430</v>
      </c>
      <c r="I15" s="574">
        <f t="shared" si="3"/>
        <v>7.2473867595818824</v>
      </c>
      <c r="J15" s="562">
        <f t="shared" si="0"/>
        <v>-5.7372346518036466E-5</v>
      </c>
      <c r="K15" s="525">
        <f t="shared" si="1"/>
        <v>4.1579958460022273E-4</v>
      </c>
    </row>
    <row r="16" spans="2:12" x14ac:dyDescent="0.3">
      <c r="B16" s="1022">
        <v>1220006</v>
      </c>
      <c r="C16" s="553" t="s">
        <v>1172</v>
      </c>
      <c r="D16" s="554">
        <v>3.1184968845016705E-4</v>
      </c>
      <c r="E16" s="561">
        <v>5.9971093932724429E-2</v>
      </c>
      <c r="F16" s="982">
        <f>VLOOKUP(B16,[2]Hoja1!$C$2:$E$279,3,FALSE)</f>
        <v>73448</v>
      </c>
      <c r="G16" s="561">
        <f t="shared" si="2"/>
        <v>22.904735917287869</v>
      </c>
      <c r="H16" s="72">
        <v>73448</v>
      </c>
      <c r="I16" s="574">
        <f t="shared" si="3"/>
        <v>22.904735917287869</v>
      </c>
      <c r="J16" s="562">
        <f t="shared" si="0"/>
        <v>0</v>
      </c>
      <c r="K16" s="525">
        <f t="shared" si="1"/>
        <v>3.1184968845016705E-4</v>
      </c>
    </row>
    <row r="17" spans="2:11" x14ac:dyDescent="0.3">
      <c r="B17" s="1022">
        <v>1210003</v>
      </c>
      <c r="C17" s="553" t="s">
        <v>1143</v>
      </c>
      <c r="D17" s="554">
        <v>2.5987474037513918E-4</v>
      </c>
      <c r="E17" s="561">
        <v>4.997591161060369E-2</v>
      </c>
      <c r="F17" s="982">
        <f>VLOOKUP(B17,[2]Hoja1!$C$2:$E$279,3,FALSE)</f>
        <v>16235.45</v>
      </c>
      <c r="G17" s="561">
        <f t="shared" si="2"/>
        <v>4.2191833536235537</v>
      </c>
      <c r="H17" s="965">
        <v>12852.58</v>
      </c>
      <c r="I17" s="574">
        <f t="shared" si="3"/>
        <v>3.3400608906507063</v>
      </c>
      <c r="J17" s="562">
        <f t="shared" si="0"/>
        <v>26.320551982559152</v>
      </c>
      <c r="K17" s="525">
        <f t="shared" si="1"/>
        <v>2.5987474037513918E-4</v>
      </c>
    </row>
    <row r="18" spans="2:11" x14ac:dyDescent="0.3">
      <c r="B18" s="1022">
        <v>1260005</v>
      </c>
      <c r="C18" s="553" t="s">
        <v>811</v>
      </c>
      <c r="D18" s="554">
        <v>5.1974948075027838E-3</v>
      </c>
      <c r="E18" s="561">
        <v>0.99951823221207381</v>
      </c>
      <c r="F18" s="982">
        <f>VLOOKUP(B18,[2]Hoja1!$C$2:$E$279,3,FALSE)</f>
        <v>26429</v>
      </c>
      <c r="G18" s="561">
        <f t="shared" si="2"/>
        <v>137.36459026749108</v>
      </c>
      <c r="H18" s="533">
        <v>25850</v>
      </c>
      <c r="I18" s="574">
        <f t="shared" si="3"/>
        <v>134.35524077394697</v>
      </c>
      <c r="J18" s="562">
        <f t="shared" si="0"/>
        <v>2.2398452611218715</v>
      </c>
      <c r="K18" s="525">
        <f t="shared" si="1"/>
        <v>5.1974948075027838E-3</v>
      </c>
    </row>
    <row r="19" spans="2:11" x14ac:dyDescent="0.3">
      <c r="B19" s="1022">
        <v>1260024</v>
      </c>
      <c r="C19" s="553" t="s">
        <v>1290</v>
      </c>
      <c r="D19" s="554">
        <v>3.4563340469893514E-3</v>
      </c>
      <c r="E19" s="561">
        <v>0.66467962442102912</v>
      </c>
      <c r="F19" s="982">
        <f>VLOOKUP(B19,[2]Hoja1!$C$2:$E$279,3,FALSE)</f>
        <v>12625.84</v>
      </c>
      <c r="G19" s="561">
        <f t="shared" si="2"/>
        <v>43.639120663840032</v>
      </c>
      <c r="H19" s="533">
        <v>18900</v>
      </c>
      <c r="I19" s="574">
        <f t="shared" si="3"/>
        <v>65.324713488098737</v>
      </c>
      <c r="J19" s="562">
        <f t="shared" si="0"/>
        <v>-33.196613756613758</v>
      </c>
      <c r="K19" s="525">
        <f t="shared" si="1"/>
        <v>3.4563340469893514E-3</v>
      </c>
    </row>
    <row r="20" spans="2:11" x14ac:dyDescent="0.3">
      <c r="B20" s="1022">
        <v>1260010</v>
      </c>
      <c r="C20" s="553" t="s">
        <v>1043</v>
      </c>
      <c r="D20" s="554">
        <v>2.9105970922015594E-2</v>
      </c>
      <c r="E20" s="561">
        <v>5.5973021003876138</v>
      </c>
      <c r="F20" s="982">
        <f>VLOOKUP(B20,[2]Hoja1!$C$2:$E$279,3,FALSE)</f>
        <v>6959.71</v>
      </c>
      <c r="G20" s="561">
        <f t="shared" si="2"/>
        <v>202.56911688566115</v>
      </c>
      <c r="H20" s="70">
        <v>8234.27</v>
      </c>
      <c r="I20" s="574">
        <f t="shared" si="3"/>
        <v>239.66642318402535</v>
      </c>
      <c r="J20" s="562">
        <f t="shared" si="0"/>
        <v>-15.478724890002397</v>
      </c>
      <c r="K20" s="525">
        <f t="shared" si="1"/>
        <v>2.9105970922015594E-2</v>
      </c>
    </row>
    <row r="21" spans="2:11" x14ac:dyDescent="0.3">
      <c r="B21" s="1022">
        <v>1260015</v>
      </c>
      <c r="C21" s="553" t="s">
        <v>785</v>
      </c>
      <c r="D21" s="554">
        <v>4.5478079565649365E-2</v>
      </c>
      <c r="E21" s="561">
        <v>8.7457845318556462</v>
      </c>
      <c r="F21" s="982">
        <f>VLOOKUP(B21,[2]Hoja1!$C$2:$E$279,3,FALSE)</f>
        <v>3450.01</v>
      </c>
      <c r="G21" s="561">
        <f t="shared" si="2"/>
        <v>156.89982928228596</v>
      </c>
      <c r="H21" s="70">
        <v>3400.01</v>
      </c>
      <c r="I21" s="574">
        <f t="shared" si="3"/>
        <v>154.62592530400352</v>
      </c>
      <c r="J21" s="562">
        <f t="shared" si="0"/>
        <v>1.4705839100473241</v>
      </c>
      <c r="K21" s="525">
        <f t="shared" si="1"/>
        <v>4.5478079565649365E-2</v>
      </c>
    </row>
    <row r="22" spans="2:11" ht="17.25" customHeight="1" x14ac:dyDescent="0.3">
      <c r="B22" s="1022">
        <v>1121009</v>
      </c>
      <c r="C22" s="553" t="s">
        <v>1357</v>
      </c>
      <c r="D22" s="554">
        <v>5.4573695478779228E-3</v>
      </c>
      <c r="E22" s="561">
        <v>1.0494941438226775</v>
      </c>
      <c r="F22" s="982">
        <f>VLOOKUP(B22,[2]Hoja1!$C$2:$E$279,3,FALSE)</f>
        <v>8741.6200000000008</v>
      </c>
      <c r="G22" s="561">
        <f t="shared" si="2"/>
        <v>47.706250787120609</v>
      </c>
      <c r="H22" s="73">
        <v>5801.26</v>
      </c>
      <c r="I22" s="574">
        <f t="shared" si="3"/>
        <v>31.659619663322278</v>
      </c>
      <c r="J22" s="562">
        <f t="shared" si="0"/>
        <v>50.684851221975919</v>
      </c>
      <c r="K22" s="525">
        <f t="shared" si="1"/>
        <v>5.4573695478779228E-3</v>
      </c>
    </row>
    <row r="23" spans="2:11" x14ac:dyDescent="0.3">
      <c r="B23" s="1022">
        <v>1260012</v>
      </c>
      <c r="C23" s="553" t="s">
        <v>1148</v>
      </c>
      <c r="D23" s="1045">
        <v>5.5093444959529512E-4</v>
      </c>
      <c r="E23" s="1046">
        <v>0.10594893261447982</v>
      </c>
      <c r="F23" s="982">
        <f>VLOOKUP(B23,[2]Hoja1!$C$2:$E$279,3,FALSE)</f>
        <v>46081</v>
      </c>
      <c r="G23" s="561">
        <f t="shared" si="2"/>
        <v>25.387610371800793</v>
      </c>
      <c r="H23" s="985">
        <v>46081</v>
      </c>
      <c r="I23" s="574">
        <f t="shared" si="3"/>
        <v>25.387610371800793</v>
      </c>
      <c r="J23" s="562">
        <f t="shared" si="0"/>
        <v>0</v>
      </c>
      <c r="K23" s="525">
        <f t="shared" si="1"/>
        <v>5.5093444959529512E-4</v>
      </c>
    </row>
    <row r="24" spans="2:11" x14ac:dyDescent="0.3">
      <c r="B24" s="1848" t="s">
        <v>37</v>
      </c>
      <c r="C24" s="1848"/>
      <c r="D24" s="1433">
        <f>SUM(D5:D23)</f>
        <v>0.51958396247408756</v>
      </c>
      <c r="E24" s="1435">
        <f>SUM(E5:E23)</f>
        <v>99.919992783478349</v>
      </c>
      <c r="F24" s="1435"/>
      <c r="G24" s="1455">
        <f>SUM(G5:G23)</f>
        <v>1399.555794683271</v>
      </c>
      <c r="H24" s="1474"/>
      <c r="I24" s="1475">
        <f>SUM(I5:I23)</f>
        <v>1506.3949978943438</v>
      </c>
      <c r="J24" s="1458">
        <f>((G24/I24)*100)-100</f>
        <v>-7.0923763926735006</v>
      </c>
      <c r="K24" s="1476"/>
    </row>
    <row r="25" spans="2:11" x14ac:dyDescent="0.3">
      <c r="B25" s="991"/>
      <c r="C25" s="991"/>
      <c r="D25" s="992"/>
      <c r="E25" s="993"/>
      <c r="F25" s="993"/>
      <c r="G25" s="993"/>
      <c r="I25" s="994"/>
      <c r="J25" s="1047"/>
    </row>
    <row r="26" spans="2:11" x14ac:dyDescent="0.3">
      <c r="B26" s="991"/>
      <c r="C26" s="991"/>
      <c r="D26" s="1048"/>
      <c r="E26" s="1049">
        <v>38.049999999999997</v>
      </c>
      <c r="F26" s="993"/>
      <c r="G26" s="1057"/>
      <c r="I26" s="994"/>
    </row>
    <row r="27" spans="2:11" ht="21" customHeight="1" x14ac:dyDescent="0.3">
      <c r="B27" s="1849" t="s">
        <v>50</v>
      </c>
      <c r="C27" s="1850"/>
      <c r="D27" s="693">
        <f>+C30+(C30*C36%)</f>
        <v>520</v>
      </c>
      <c r="E27" s="995"/>
      <c r="F27" s="995"/>
      <c r="G27" s="995"/>
      <c r="H27" s="995"/>
      <c r="I27" s="995"/>
    </row>
    <row r="28" spans="2:11" x14ac:dyDescent="0.3">
      <c r="B28" s="1390" t="s">
        <v>38</v>
      </c>
      <c r="C28" s="997" t="s">
        <v>69</v>
      </c>
    </row>
    <row r="29" spans="2:11" x14ac:dyDescent="0.3">
      <c r="B29" s="1390" t="s">
        <v>39</v>
      </c>
      <c r="C29" s="997" t="s">
        <v>349</v>
      </c>
    </row>
    <row r="30" spans="2:11" x14ac:dyDescent="0.3">
      <c r="B30" s="1390" t="s">
        <v>40</v>
      </c>
      <c r="C30" s="997">
        <v>500</v>
      </c>
    </row>
    <row r="31" spans="2:11" x14ac:dyDescent="0.3">
      <c r="B31" s="1390" t="s">
        <v>41</v>
      </c>
      <c r="C31" s="997">
        <v>0</v>
      </c>
    </row>
    <row r="32" spans="2:11" x14ac:dyDescent="0.3">
      <c r="B32" s="1390" t="s">
        <v>42</v>
      </c>
      <c r="C32" s="997">
        <v>0.5</v>
      </c>
    </row>
    <row r="33" spans="2:11" x14ac:dyDescent="0.3">
      <c r="B33" s="1390" t="s">
        <v>43</v>
      </c>
      <c r="C33" s="997">
        <v>0.5</v>
      </c>
      <c r="J33" s="693" t="s">
        <v>85</v>
      </c>
    </row>
    <row r="34" spans="2:11" x14ac:dyDescent="0.3">
      <c r="B34" s="1390" t="s">
        <v>44</v>
      </c>
      <c r="C34" s="997">
        <v>1</v>
      </c>
    </row>
    <row r="35" spans="2:11" x14ac:dyDescent="0.3">
      <c r="B35" s="1390" t="s">
        <v>45</v>
      </c>
      <c r="C35" s="997">
        <v>2</v>
      </c>
      <c r="D35" s="693" t="s">
        <v>85</v>
      </c>
    </row>
    <row r="36" spans="2:11" x14ac:dyDescent="0.3">
      <c r="B36" s="1390" t="s">
        <v>46</v>
      </c>
      <c r="C36" s="997">
        <f>C35+C34+C33+C32</f>
        <v>4</v>
      </c>
    </row>
    <row r="38" spans="2:11" x14ac:dyDescent="0.3">
      <c r="B38" s="1858" t="s">
        <v>47</v>
      </c>
      <c r="C38" s="1858"/>
      <c r="D38" s="1858"/>
      <c r="E38" s="1858"/>
      <c r="F38" s="1858"/>
      <c r="G38" s="1858"/>
      <c r="H38" s="1858"/>
      <c r="I38" s="1858"/>
      <c r="J38" s="527"/>
      <c r="K38" s="697"/>
    </row>
    <row r="39" spans="2:11" s="42" customFormat="1" ht="28.5" x14ac:dyDescent="0.25">
      <c r="B39" s="1478" t="s">
        <v>0</v>
      </c>
      <c r="C39" s="1478" t="s">
        <v>1</v>
      </c>
      <c r="D39" s="1355" t="s">
        <v>2</v>
      </c>
      <c r="E39" s="1335" t="str">
        <f>+'CIF Y PV'!$F$4</f>
        <v xml:space="preserve">JUN-COP/UMB </v>
      </c>
      <c r="F39" s="1335" t="str">
        <f>+'CIF Y PV'!$G$4</f>
        <v>JUN-COP/APP</v>
      </c>
      <c r="G39" s="1335" t="str">
        <f>+'CIF Y PV'!$H$4</f>
        <v xml:space="preserve">MAY-COP/UMB </v>
      </c>
      <c r="H39" s="1335" t="str">
        <f>+'CIF Y PV'!$I$4</f>
        <v>MAY-COP/APP</v>
      </c>
      <c r="I39" s="1335" t="s">
        <v>3</v>
      </c>
      <c r="J39" s="345">
        <v>400000</v>
      </c>
      <c r="K39" s="419"/>
    </row>
    <row r="40" spans="2:11" x14ac:dyDescent="0.3">
      <c r="B40" s="563">
        <v>1380005</v>
      </c>
      <c r="C40" s="563" t="s">
        <v>1029</v>
      </c>
      <c r="D40" s="582">
        <v>2</v>
      </c>
      <c r="E40" s="582">
        <f>VLOOKUP(B40,[2]Hoja1!$C$2:$E$279,3,FALSE)</f>
        <v>29.02</v>
      </c>
      <c r="F40" s="582">
        <f>E40*D40</f>
        <v>58.04</v>
      </c>
      <c r="G40" s="582">
        <v>31.68</v>
      </c>
      <c r="H40" s="1205">
        <f>G40*D40</f>
        <v>63.36</v>
      </c>
      <c r="I40" s="571">
        <f>((E40/G40)*100)-100</f>
        <v>-8.3964646464646506</v>
      </c>
      <c r="J40" s="693">
        <f>J39*D40</f>
        <v>800000</v>
      </c>
      <c r="K40" s="697"/>
    </row>
    <row r="41" spans="2:11" x14ac:dyDescent="0.3">
      <c r="B41" s="563">
        <v>1370019</v>
      </c>
      <c r="C41" s="563" t="s">
        <v>1184</v>
      </c>
      <c r="D41" s="582">
        <v>0.37</v>
      </c>
      <c r="E41" s="582">
        <f>VLOOKUP(B41,[2]Hoja1!$C$2:$E$279,3,FALSE)</f>
        <v>482.31</v>
      </c>
      <c r="F41" s="582">
        <f>E41*D41</f>
        <v>178.4547</v>
      </c>
      <c r="G41" s="866">
        <v>508.48</v>
      </c>
      <c r="H41" s="1205">
        <f>G41*D41</f>
        <v>188.13759999999999</v>
      </c>
      <c r="I41" s="571">
        <f>((E41/G41)*100)-100</f>
        <v>-5.1467117684078119</v>
      </c>
      <c r="J41" s="693">
        <f>J39*D41</f>
        <v>148000</v>
      </c>
      <c r="K41" s="697"/>
    </row>
    <row r="42" spans="2:11" x14ac:dyDescent="0.3">
      <c r="B42" s="563">
        <v>1350004</v>
      </c>
      <c r="C42" s="563" t="s">
        <v>1065</v>
      </c>
      <c r="D42" s="582">
        <v>6.6000000000000003E-2</v>
      </c>
      <c r="E42" s="582">
        <f>VLOOKUP(B42,[2]Hoja1!$C$2:$E$279,3,FALSE)</f>
        <v>2517</v>
      </c>
      <c r="F42" s="582">
        <f>E42*D42</f>
        <v>166.12200000000001</v>
      </c>
      <c r="G42" s="866">
        <v>2141</v>
      </c>
      <c r="H42" s="1205">
        <f>G42*D42</f>
        <v>141.30600000000001</v>
      </c>
      <c r="I42" s="571">
        <f>((E42/G42)*100)-100</f>
        <v>17.561886968706219</v>
      </c>
      <c r="J42" s="693">
        <f>J39*D42</f>
        <v>26400</v>
      </c>
      <c r="K42" s="697"/>
    </row>
    <row r="43" spans="2:11" x14ac:dyDescent="0.3">
      <c r="B43" s="1391"/>
      <c r="C43" s="1391" t="s">
        <v>37</v>
      </c>
      <c r="D43" s="1393"/>
      <c r="E43" s="1393"/>
      <c r="F43" s="1393">
        <f>SUM(F40:F42)</f>
        <v>402.61670000000004</v>
      </c>
      <c r="G43" s="1393"/>
      <c r="H43" s="1393">
        <f>SUM(H40:H42)</f>
        <v>392.80359999999996</v>
      </c>
      <c r="I43" s="1439">
        <f>((F43/H43)*100)-100</f>
        <v>2.4982204847409974</v>
      </c>
      <c r="J43" s="527"/>
      <c r="K43" s="697"/>
    </row>
    <row r="44" spans="2:11" x14ac:dyDescent="0.3">
      <c r="B44" s="527" t="s">
        <v>725</v>
      </c>
      <c r="I44" s="1051"/>
    </row>
    <row r="45" spans="2:11" x14ac:dyDescent="0.3">
      <c r="H45" s="527" t="str">
        <f>+'CIF Y PV'!$G$1</f>
        <v>MAYO</v>
      </c>
      <c r="I45" s="1052"/>
      <c r="J45" s="1052"/>
      <c r="K45" s="1052"/>
    </row>
    <row r="46" spans="2:11" x14ac:dyDescent="0.3">
      <c r="B46" s="1807" t="s">
        <v>155</v>
      </c>
      <c r="C46" s="1807"/>
      <c r="E46" s="1053"/>
      <c r="F46" s="1053"/>
      <c r="G46" s="1053"/>
      <c r="H46" s="1054">
        <f>F43+G24</f>
        <v>1802.172494683271</v>
      </c>
      <c r="I46" s="1018"/>
      <c r="J46" s="1054"/>
      <c r="K46" s="1018"/>
    </row>
    <row r="47" spans="2:11" x14ac:dyDescent="0.3">
      <c r="B47" s="1808" t="s">
        <v>48</v>
      </c>
      <c r="C47" s="1809"/>
      <c r="E47" s="1005"/>
      <c r="F47" s="1005"/>
      <c r="G47" s="1005"/>
      <c r="H47" s="1005">
        <f>+('CIF Y PV'!C3/1000)*450</f>
        <v>850.5</v>
      </c>
      <c r="I47" s="1004"/>
      <c r="J47" s="1005"/>
      <c r="K47" s="1004"/>
    </row>
    <row r="48" spans="2:11" x14ac:dyDescent="0.3">
      <c r="B48" s="1808" t="s">
        <v>354</v>
      </c>
      <c r="C48" s="1809"/>
      <c r="E48" s="1005"/>
      <c r="F48" s="1005"/>
      <c r="G48" s="1005"/>
      <c r="H48" s="1005">
        <f>+H46+H47</f>
        <v>2652.672494683271</v>
      </c>
      <c r="I48" s="1004"/>
      <c r="J48" s="1005"/>
      <c r="K48" s="1004"/>
    </row>
    <row r="49" spans="2:13" x14ac:dyDescent="0.3">
      <c r="B49" s="1807" t="s">
        <v>49</v>
      </c>
      <c r="C49" s="1807"/>
      <c r="E49" s="1005"/>
      <c r="F49" s="1005"/>
      <c r="G49" s="1005"/>
      <c r="H49" s="1005">
        <f>'CIF Y PV'!C60</f>
        <v>4392</v>
      </c>
      <c r="J49" s="1005"/>
      <c r="K49" s="1055"/>
      <c r="M49" s="525"/>
    </row>
    <row r="50" spans="2:13" x14ac:dyDescent="0.3">
      <c r="B50" s="1807" t="s">
        <v>805</v>
      </c>
      <c r="C50" s="1807"/>
      <c r="E50" s="1005"/>
      <c r="F50" s="1005"/>
      <c r="G50" s="1005"/>
      <c r="H50" s="976">
        <f>+(H49-H48)/H49</f>
        <v>0.39602174529069423</v>
      </c>
      <c r="I50" s="1010"/>
      <c r="J50" s="527"/>
      <c r="K50" s="1010"/>
    </row>
  </sheetData>
  <autoFilter ref="A4:K22" xr:uid="{E715C0C8-C599-417D-B987-45A532FF2B03}">
    <sortState xmlns:xlrd2="http://schemas.microsoft.com/office/spreadsheetml/2017/richdata2" ref="A5:K22">
      <sortCondition descending="1" ref="K4:K22"/>
    </sortState>
  </autoFilter>
  <mergeCells count="9">
    <mergeCell ref="B50:C50"/>
    <mergeCell ref="B49:C49"/>
    <mergeCell ref="B27:C27"/>
    <mergeCell ref="B38:I38"/>
    <mergeCell ref="B2:J2"/>
    <mergeCell ref="B24:C24"/>
    <mergeCell ref="B46:C46"/>
    <mergeCell ref="B47:C47"/>
    <mergeCell ref="B48:C48"/>
  </mergeCells>
  <pageMargins left="0.7" right="0.7" top="0.75" bottom="0.75" header="0.3" footer="0.3"/>
  <pageSetup scale="41" orientation="portrait" r:id="rId1"/>
  <colBreaks count="1" manualBreakCount="1">
    <brk id="13" max="53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2F5D2-5313-4E23-B166-B5969A74AB7A}">
  <sheetPr codeName="Hoja70"/>
  <dimension ref="B2:L47"/>
  <sheetViews>
    <sheetView view="pageBreakPreview" topLeftCell="A4" zoomScale="85" zoomScaleNormal="100" zoomScaleSheetLayoutView="85" workbookViewId="0">
      <selection activeCell="C7" sqref="C7"/>
    </sheetView>
  </sheetViews>
  <sheetFormatPr baseColWidth="10" defaultColWidth="11.5703125" defaultRowHeight="16.5" x14ac:dyDescent="0.3"/>
  <cols>
    <col min="1" max="1" width="8.85546875" style="527" customWidth="1"/>
    <col min="2" max="2" width="24.140625" style="527" bestFit="1" customWidth="1"/>
    <col min="3" max="3" width="58.28515625" style="527" customWidth="1"/>
    <col min="4" max="4" width="11.7109375" style="525" bestFit="1" customWidth="1"/>
    <col min="5" max="5" width="13.28515625" style="693" bestFit="1" customWidth="1"/>
    <col min="6" max="6" width="13.140625" style="527" customWidth="1"/>
    <col min="7" max="7" width="13.7109375" style="527" customWidth="1"/>
    <col min="8" max="8" width="12" style="527" bestFit="1" customWidth="1"/>
    <col min="9" max="9" width="12.42578125" style="527" bestFit="1" customWidth="1"/>
    <col min="10" max="10" width="12.7109375" style="693" bestFit="1" customWidth="1"/>
    <col min="11" max="11" width="15.7109375" style="527" bestFit="1" customWidth="1"/>
    <col min="12" max="12" width="11.7109375" style="527" bestFit="1" customWidth="1"/>
    <col min="13" max="16384" width="11.5703125" style="527"/>
  </cols>
  <sheetData>
    <row r="2" spans="2:12" x14ac:dyDescent="0.3">
      <c r="B2" s="1847" t="s">
        <v>339</v>
      </c>
      <c r="C2" s="1847"/>
      <c r="D2" s="1847"/>
      <c r="E2" s="1847"/>
      <c r="F2" s="1847"/>
      <c r="G2" s="1847"/>
      <c r="H2" s="1847"/>
      <c r="I2" s="1847"/>
    </row>
    <row r="3" spans="2:12" ht="10.15" customHeight="1" x14ac:dyDescent="0.3">
      <c r="B3" s="1847"/>
      <c r="C3" s="1847"/>
      <c r="D3" s="1847"/>
      <c r="E3" s="1847"/>
      <c r="F3" s="1847"/>
      <c r="G3" s="1847"/>
      <c r="H3" s="1847"/>
      <c r="I3" s="1847"/>
    </row>
    <row r="4" spans="2:12" s="979" customFormat="1" ht="28.5" x14ac:dyDescent="0.25">
      <c r="B4" s="1348" t="s">
        <v>0</v>
      </c>
      <c r="C4" s="1348" t="s">
        <v>1</v>
      </c>
      <c r="D4" s="1453" t="s">
        <v>2</v>
      </c>
      <c r="E4" s="1348" t="s">
        <v>3</v>
      </c>
      <c r="F4" s="1335" t="str">
        <f>+'CIF Y PV'!$F$2</f>
        <v xml:space="preserve">JUN-COP/Kg </v>
      </c>
      <c r="G4" s="1335" t="str">
        <f>+'CIF Y PV'!$G$2</f>
        <v>JUN-COP/APP</v>
      </c>
      <c r="H4" s="1335" t="str">
        <f>+'CIF Y PV'!$H$2</f>
        <v xml:space="preserve">MAY-COP/Kg </v>
      </c>
      <c r="I4" s="1335" t="str">
        <f>+'CIF Y PV'!$I$2</f>
        <v>MAY-COP/APP</v>
      </c>
      <c r="J4" s="1336" t="s">
        <v>3</v>
      </c>
      <c r="K4" s="1454">
        <f>+D25/1000</f>
        <v>0.232875</v>
      </c>
    </row>
    <row r="5" spans="2:12" x14ac:dyDescent="0.3">
      <c r="B5" s="1022">
        <v>1112002</v>
      </c>
      <c r="C5" s="553" t="s">
        <v>796</v>
      </c>
      <c r="D5" s="554">
        <v>5.29790625E-2</v>
      </c>
      <c r="E5" s="1058">
        <v>22.75</v>
      </c>
      <c r="F5" s="982">
        <f>VLOOKUP(B5,[2]Hoja1!$C$2:$E$279,3,FALSE)</f>
        <v>3575.02</v>
      </c>
      <c r="G5" s="1023">
        <f>F5*D5</f>
        <v>189.40120801875</v>
      </c>
      <c r="H5" s="982">
        <v>4222.72</v>
      </c>
      <c r="I5" s="574">
        <f>H5*D5</f>
        <v>223.71574680000001</v>
      </c>
      <c r="J5" s="562">
        <f>((F5/H5)*100)-100</f>
        <v>-15.338454834798426</v>
      </c>
      <c r="K5" s="525">
        <f>$K$4*E5%</f>
        <v>5.29790625E-2</v>
      </c>
    </row>
    <row r="6" spans="2:12" x14ac:dyDescent="0.3">
      <c r="B6" s="1022">
        <v>2906001</v>
      </c>
      <c r="C6" s="553" t="s">
        <v>831</v>
      </c>
      <c r="D6" s="554">
        <v>3.49079625E-2</v>
      </c>
      <c r="E6" s="1058">
        <v>14.99</v>
      </c>
      <c r="F6" s="982">
        <f>VLOOKUP(B6,[2]Hoja1!$C$2:$E$279,3,FALSE)</f>
        <v>1956.71</v>
      </c>
      <c r="G6" s="1023">
        <f t="shared" ref="G6:G22" si="0">F6*D6</f>
        <v>68.304759303375008</v>
      </c>
      <c r="H6" s="982">
        <v>2033.73</v>
      </c>
      <c r="I6" s="574">
        <f t="shared" ref="I6:I22" si="1">H6*D6</f>
        <v>70.993370575124999</v>
      </c>
      <c r="J6" s="562">
        <f t="shared" ref="J6:J22" si="2">((F6/H6)*100)-100</f>
        <v>-3.7871300516784459</v>
      </c>
      <c r="K6" s="525">
        <f t="shared" ref="K6:K22" si="3">$K$4*E6%</f>
        <v>3.49079625E-2</v>
      </c>
    </row>
    <row r="7" spans="2:12" x14ac:dyDescent="0.3">
      <c r="B7" s="1022"/>
      <c r="C7" s="553" t="s">
        <v>824</v>
      </c>
      <c r="D7" s="554">
        <v>2.3194350000000002E-2</v>
      </c>
      <c r="E7" s="1058">
        <v>9.9600000000000009</v>
      </c>
      <c r="F7" s="982">
        <v>0</v>
      </c>
      <c r="G7" s="1023">
        <f t="shared" si="0"/>
        <v>0</v>
      </c>
      <c r="H7" s="88">
        <v>0</v>
      </c>
      <c r="I7" s="574">
        <f t="shared" si="1"/>
        <v>0</v>
      </c>
      <c r="J7" s="562" t="e">
        <f t="shared" si="2"/>
        <v>#DIV/0!</v>
      </c>
      <c r="K7" s="525">
        <f t="shared" si="3"/>
        <v>2.3194350000000002E-2</v>
      </c>
    </row>
    <row r="8" spans="2:12" x14ac:dyDescent="0.3">
      <c r="B8" s="1022">
        <v>1131002</v>
      </c>
      <c r="C8" s="553" t="s">
        <v>663</v>
      </c>
      <c r="D8" s="554">
        <v>7.5707662499999995E-2</v>
      </c>
      <c r="E8" s="1058">
        <v>32.51</v>
      </c>
      <c r="F8" s="982">
        <f>VLOOKUP(B8,[2]Hoja1!$C$2:$E$279,3,FALSE)</f>
        <v>0</v>
      </c>
      <c r="G8" s="1023">
        <f t="shared" si="0"/>
        <v>0</v>
      </c>
      <c r="H8" s="184">
        <v>0</v>
      </c>
      <c r="I8" s="574">
        <f t="shared" si="1"/>
        <v>0</v>
      </c>
      <c r="J8" s="562" t="e">
        <f t="shared" si="2"/>
        <v>#DIV/0!</v>
      </c>
      <c r="K8" s="525">
        <f t="shared" si="3"/>
        <v>7.5707662499999995E-2</v>
      </c>
    </row>
    <row r="9" spans="2:12" x14ac:dyDescent="0.3">
      <c r="B9" s="1022">
        <v>1230016</v>
      </c>
      <c r="C9" s="553" t="s">
        <v>904</v>
      </c>
      <c r="D9" s="554">
        <v>9.3150000000000004E-4</v>
      </c>
      <c r="E9" s="1058">
        <v>0.4</v>
      </c>
      <c r="F9" s="982">
        <f>VLOOKUP(B9,[2]Hoja1!$C$2:$E$279,3,FALSE)</f>
        <v>91559.6</v>
      </c>
      <c r="G9" s="1023">
        <f t="shared" si="0"/>
        <v>85.287767400000007</v>
      </c>
      <c r="H9" s="73">
        <v>87200</v>
      </c>
      <c r="I9" s="574">
        <f t="shared" si="1"/>
        <v>81.226799999999997</v>
      </c>
      <c r="J9" s="562">
        <f t="shared" si="2"/>
        <v>4.9995412844036764</v>
      </c>
      <c r="K9" s="525">
        <f t="shared" si="3"/>
        <v>9.3150000000000004E-4</v>
      </c>
    </row>
    <row r="10" spans="2:12" x14ac:dyDescent="0.3">
      <c r="B10" s="1022">
        <v>1210005</v>
      </c>
      <c r="C10" s="553" t="s">
        <v>1155</v>
      </c>
      <c r="D10" s="554">
        <v>2.6082000000000002E-3</v>
      </c>
      <c r="E10" s="1058">
        <v>1.1200000000000001</v>
      </c>
      <c r="F10" s="982">
        <f>VLOOKUP(B10,[2]Hoja1!$C$2:$E$279,3,FALSE)</f>
        <v>1356</v>
      </c>
      <c r="G10" s="1023">
        <f t="shared" si="0"/>
        <v>3.5367192000000003</v>
      </c>
      <c r="H10" s="964">
        <v>1360</v>
      </c>
      <c r="I10" s="574">
        <f t="shared" si="1"/>
        <v>3.5471520000000001</v>
      </c>
      <c r="J10" s="562">
        <f t="shared" si="2"/>
        <v>-0.29411764705882604</v>
      </c>
      <c r="K10" s="525">
        <f t="shared" si="3"/>
        <v>2.6082000000000002E-3</v>
      </c>
    </row>
    <row r="11" spans="2:12" x14ac:dyDescent="0.3">
      <c r="B11" s="1022">
        <v>1210006</v>
      </c>
      <c r="C11" s="553" t="s">
        <v>1130</v>
      </c>
      <c r="D11" s="554">
        <v>8.6163750000000001E-4</v>
      </c>
      <c r="E11" s="1058">
        <v>0.37</v>
      </c>
      <c r="F11" s="982">
        <f>VLOOKUP(B11,[2]Hoja1!$C$2:$E$279,3,FALSE)</f>
        <v>8904.4500000000007</v>
      </c>
      <c r="G11" s="1023">
        <f t="shared" si="0"/>
        <v>7.6724080368750007</v>
      </c>
      <c r="H11" s="527">
        <v>8910.1</v>
      </c>
      <c r="I11" s="574">
        <f t="shared" si="1"/>
        <v>7.6772762887500008</v>
      </c>
      <c r="J11" s="562">
        <f>((F11/H12)*100)-100</f>
        <v>153.8319446067714</v>
      </c>
      <c r="K11" s="525">
        <f t="shared" si="3"/>
        <v>8.6163750000000001E-4</v>
      </c>
    </row>
    <row r="12" spans="2:12" x14ac:dyDescent="0.3">
      <c r="B12" s="1022">
        <v>1210004</v>
      </c>
      <c r="C12" s="553" t="s">
        <v>1131</v>
      </c>
      <c r="D12" s="554">
        <v>1.863E-4</v>
      </c>
      <c r="E12" s="1058">
        <v>0.08</v>
      </c>
      <c r="F12" s="982">
        <f>VLOOKUP(B12,[2]Hoja1!$C$2:$E$279,3,FALSE)</f>
        <v>3841</v>
      </c>
      <c r="G12" s="1023">
        <f t="shared" si="0"/>
        <v>0.7155783</v>
      </c>
      <c r="H12" s="88">
        <v>3508.01</v>
      </c>
      <c r="I12" s="574">
        <f t="shared" si="1"/>
        <v>0.65354226300000007</v>
      </c>
      <c r="J12" s="562"/>
      <c r="K12" s="525">
        <f t="shared" si="3"/>
        <v>1.863E-4</v>
      </c>
    </row>
    <row r="13" spans="2:12" x14ac:dyDescent="0.3">
      <c r="B13" s="1022">
        <v>1210002</v>
      </c>
      <c r="C13" s="553" t="s">
        <v>1033</v>
      </c>
      <c r="D13" s="554">
        <v>4.6575000000000002E-4</v>
      </c>
      <c r="E13" s="1058">
        <v>0.2</v>
      </c>
      <c r="F13" s="982">
        <f>VLOOKUP(B13,[2]Hoja1!$C$2:$E$279,3,FALSE)</f>
        <v>12886</v>
      </c>
      <c r="G13" s="1023">
        <f t="shared" si="0"/>
        <v>6.0016544999999999</v>
      </c>
      <c r="H13" s="73">
        <v>12858.08</v>
      </c>
      <c r="I13" s="574">
        <f t="shared" si="1"/>
        <v>5.9886507600000005</v>
      </c>
      <c r="J13" s="562">
        <f t="shared" si="2"/>
        <v>0.21713972848201024</v>
      </c>
      <c r="K13" s="525">
        <f t="shared" si="3"/>
        <v>4.6575000000000002E-4</v>
      </c>
      <c r="L13" s="526">
        <f>K13*3</f>
        <v>1.3972500000000001E-3</v>
      </c>
    </row>
    <row r="14" spans="2:12" x14ac:dyDescent="0.3">
      <c r="B14" s="1022">
        <v>1220009</v>
      </c>
      <c r="C14" s="553" t="s">
        <v>1133</v>
      </c>
      <c r="D14" s="554">
        <v>2.561625E-4</v>
      </c>
      <c r="E14" s="1058">
        <v>0.11</v>
      </c>
      <c r="F14" s="982">
        <f>VLOOKUP(B14,[2]Hoja1!$C$2:$E$279,3,FALSE)</f>
        <v>21312.16</v>
      </c>
      <c r="G14" s="1023">
        <f t="shared" si="0"/>
        <v>5.4593761860000001</v>
      </c>
      <c r="H14" s="88">
        <v>20299</v>
      </c>
      <c r="I14" s="574">
        <f t="shared" si="1"/>
        <v>5.1998425875000001</v>
      </c>
      <c r="J14" s="562">
        <f t="shared" si="2"/>
        <v>4.9911818316173253</v>
      </c>
      <c r="K14" s="525">
        <f t="shared" si="3"/>
        <v>2.561625E-4</v>
      </c>
    </row>
    <row r="15" spans="2:12" x14ac:dyDescent="0.3">
      <c r="B15" s="1022">
        <v>1220005</v>
      </c>
      <c r="C15" s="553" t="s">
        <v>1135</v>
      </c>
      <c r="D15" s="554">
        <v>3.2602500000000002E-4</v>
      </c>
      <c r="E15" s="1058">
        <v>0.14000000000000001</v>
      </c>
      <c r="F15" s="982">
        <f>VLOOKUP(B15,[2]Hoja1!$C$2:$E$279,3,FALSE)</f>
        <v>17429.990000000002</v>
      </c>
      <c r="G15" s="1023">
        <f t="shared" si="0"/>
        <v>5.6826124897500012</v>
      </c>
      <c r="H15" s="72">
        <v>17430</v>
      </c>
      <c r="I15" s="574">
        <f t="shared" si="1"/>
        <v>5.6826157500000001</v>
      </c>
      <c r="J15" s="562">
        <f t="shared" si="2"/>
        <v>-5.7372346518036466E-5</v>
      </c>
      <c r="K15" s="525">
        <f t="shared" si="3"/>
        <v>3.2602500000000002E-4</v>
      </c>
    </row>
    <row r="16" spans="2:12" x14ac:dyDescent="0.3">
      <c r="B16" s="1022">
        <v>1220006</v>
      </c>
      <c r="C16" s="553" t="s">
        <v>1172</v>
      </c>
      <c r="D16" s="554">
        <v>2.3287500000000001E-4</v>
      </c>
      <c r="E16" s="1058">
        <v>0.1</v>
      </c>
      <c r="F16" s="982">
        <f>VLOOKUP(B16,[2]Hoja1!$C$2:$E$279,3,FALSE)</f>
        <v>73448</v>
      </c>
      <c r="G16" s="1023">
        <f t="shared" si="0"/>
        <v>17.104203000000002</v>
      </c>
      <c r="H16" s="965">
        <v>73448</v>
      </c>
      <c r="I16" s="574">
        <f t="shared" si="1"/>
        <v>17.104203000000002</v>
      </c>
      <c r="J16" s="562">
        <f t="shared" si="2"/>
        <v>0</v>
      </c>
      <c r="K16" s="525">
        <f t="shared" si="3"/>
        <v>2.3287500000000001E-4</v>
      </c>
    </row>
    <row r="17" spans="2:11" x14ac:dyDescent="0.3">
      <c r="B17" s="1022">
        <v>1210003</v>
      </c>
      <c r="C17" s="553" t="s">
        <v>1143</v>
      </c>
      <c r="D17" s="554">
        <v>1.164375E-4</v>
      </c>
      <c r="E17" s="1058">
        <v>0.05</v>
      </c>
      <c r="F17" s="982">
        <f>VLOOKUP(B17,[2]Hoja1!$C$2:$E$279,3,FALSE)</f>
        <v>16235.45</v>
      </c>
      <c r="G17" s="1023">
        <f t="shared" si="0"/>
        <v>1.8904152093750002</v>
      </c>
      <c r="H17" s="533">
        <v>12852.58</v>
      </c>
      <c r="I17" s="574">
        <f t="shared" si="1"/>
        <v>1.4965222837500001</v>
      </c>
      <c r="J17" s="562">
        <f t="shared" si="2"/>
        <v>26.320551982559152</v>
      </c>
      <c r="K17" s="525">
        <f t="shared" si="3"/>
        <v>1.164375E-4</v>
      </c>
    </row>
    <row r="18" spans="2:11" x14ac:dyDescent="0.3">
      <c r="B18" s="1022">
        <v>1260005</v>
      </c>
      <c r="C18" s="553" t="s">
        <v>811</v>
      </c>
      <c r="D18" s="554">
        <v>2.3287500000000001E-3</v>
      </c>
      <c r="E18" s="1058">
        <v>1</v>
      </c>
      <c r="F18" s="982">
        <f>VLOOKUP(B18,[2]Hoja1!$C$2:$E$279,3,FALSE)</f>
        <v>26429</v>
      </c>
      <c r="G18" s="1023">
        <f t="shared" si="0"/>
        <v>61.546533750000002</v>
      </c>
      <c r="H18" s="533">
        <v>25850</v>
      </c>
      <c r="I18" s="574">
        <f t="shared" si="1"/>
        <v>60.198187500000003</v>
      </c>
      <c r="J18" s="562">
        <f t="shared" si="2"/>
        <v>2.2398452611218715</v>
      </c>
      <c r="K18" s="525">
        <f t="shared" si="3"/>
        <v>2.3287500000000001E-3</v>
      </c>
    </row>
    <row r="19" spans="2:11" x14ac:dyDescent="0.3">
      <c r="B19" s="1022">
        <v>1260024</v>
      </c>
      <c r="C19" s="553" t="s">
        <v>1290</v>
      </c>
      <c r="D19" s="554">
        <v>1.5602625000000001E-3</v>
      </c>
      <c r="E19" s="1058">
        <v>0.67</v>
      </c>
      <c r="F19" s="982">
        <f>VLOOKUP(B19,[2]Hoja1!$C$2:$E$279,3,FALSE)</f>
        <v>12625.84</v>
      </c>
      <c r="G19" s="1023">
        <f t="shared" si="0"/>
        <v>19.699624683000003</v>
      </c>
      <c r="H19" s="964">
        <v>18900</v>
      </c>
      <c r="I19" s="574">
        <f t="shared" si="1"/>
        <v>29.488961250000003</v>
      </c>
      <c r="J19" s="562">
        <f t="shared" si="2"/>
        <v>-33.196613756613758</v>
      </c>
      <c r="K19" s="525">
        <f t="shared" si="3"/>
        <v>1.5602625000000001E-3</v>
      </c>
    </row>
    <row r="20" spans="2:11" x14ac:dyDescent="0.3">
      <c r="B20" s="1022">
        <v>1260010</v>
      </c>
      <c r="C20" s="553" t="s">
        <v>1043</v>
      </c>
      <c r="D20" s="554">
        <v>1.2994425E-2</v>
      </c>
      <c r="E20" s="1058">
        <v>5.58</v>
      </c>
      <c r="F20" s="982">
        <f>VLOOKUP(B20,[2]Hoja1!$C$2:$E$279,3,FALSE)</f>
        <v>6959.71</v>
      </c>
      <c r="G20" s="1023">
        <f t="shared" si="0"/>
        <v>90.437429616750009</v>
      </c>
      <c r="H20" s="70">
        <v>8234.27</v>
      </c>
      <c r="I20" s="574">
        <f t="shared" si="1"/>
        <v>106.99960394475001</v>
      </c>
      <c r="J20" s="562">
        <f t="shared" si="2"/>
        <v>-15.478724890002397</v>
      </c>
      <c r="K20" s="525">
        <f t="shared" si="3"/>
        <v>1.2994425E-2</v>
      </c>
    </row>
    <row r="21" spans="2:11" x14ac:dyDescent="0.3">
      <c r="B21" s="1022">
        <v>1260015</v>
      </c>
      <c r="C21" s="553" t="s">
        <v>785</v>
      </c>
      <c r="D21" s="554">
        <v>2.0283412500000004E-2</v>
      </c>
      <c r="E21" s="1058">
        <v>8.7100000000000009</v>
      </c>
      <c r="F21" s="982">
        <f>VLOOKUP(B21,[2]Hoja1!$C$2:$E$279,3,FALSE)</f>
        <v>3450.01</v>
      </c>
      <c r="G21" s="1023">
        <f t="shared" si="0"/>
        <v>69.977975959125018</v>
      </c>
      <c r="H21" s="73">
        <v>3400.01</v>
      </c>
      <c r="I21" s="574">
        <f t="shared" si="1"/>
        <v>68.963805334125013</v>
      </c>
      <c r="J21" s="562">
        <f t="shared" si="2"/>
        <v>1.4705839100473241</v>
      </c>
      <c r="K21" s="525">
        <f t="shared" si="3"/>
        <v>2.0283412500000004E-2</v>
      </c>
    </row>
    <row r="22" spans="2:11" x14ac:dyDescent="0.3">
      <c r="B22" s="1022">
        <v>1111002</v>
      </c>
      <c r="C22" s="553" t="s">
        <v>1170</v>
      </c>
      <c r="D22" s="554">
        <v>2.7013499999999999E-3</v>
      </c>
      <c r="E22" s="1058">
        <v>1.1599999999999999</v>
      </c>
      <c r="F22" s="982">
        <f>VLOOKUP(B22,[2]Hoja1!$C$2:$E$279,3,FALSE)</f>
        <v>2800</v>
      </c>
      <c r="G22" s="1023">
        <f t="shared" si="0"/>
        <v>7.5637799999999995</v>
      </c>
      <c r="H22" s="985">
        <v>5801.26</v>
      </c>
      <c r="I22" s="574">
        <f t="shared" si="1"/>
        <v>15.671233701</v>
      </c>
      <c r="J22" s="562">
        <f t="shared" si="2"/>
        <v>-51.734623168070385</v>
      </c>
      <c r="K22" s="525">
        <f t="shared" si="3"/>
        <v>2.7013499999999999E-3</v>
      </c>
    </row>
    <row r="23" spans="2:11" x14ac:dyDescent="0.3">
      <c r="B23" s="1848" t="s">
        <v>37</v>
      </c>
      <c r="C23" s="1848"/>
      <c r="D23" s="1433">
        <f>SUM(D5:D22)</f>
        <v>0.23264212500000001</v>
      </c>
      <c r="E23" s="1456">
        <f>SUM(E5:E22)</f>
        <v>99.9</v>
      </c>
      <c r="F23" s="1435"/>
      <c r="G23" s="1456">
        <f>SUM(G5:G22)</f>
        <v>640.28204565299995</v>
      </c>
      <c r="H23" s="1436"/>
      <c r="I23" s="1457">
        <f>SUM(I5:I22)</f>
        <v>704.60751403799998</v>
      </c>
      <c r="J23" s="1458">
        <f>((G23/I23)*100)-100</f>
        <v>-9.1292623344818509</v>
      </c>
    </row>
    <row r="24" spans="2:11" x14ac:dyDescent="0.3">
      <c r="B24" s="991"/>
      <c r="C24" s="991"/>
      <c r="D24" s="1048"/>
      <c r="E24" s="992"/>
      <c r="F24" s="993"/>
      <c r="G24" s="993"/>
      <c r="I24" s="994"/>
      <c r="J24" s="1047"/>
    </row>
    <row r="25" spans="2:11" ht="27" customHeight="1" x14ac:dyDescent="0.3">
      <c r="B25" s="1855" t="s">
        <v>50</v>
      </c>
      <c r="C25" s="1856"/>
      <c r="D25" s="693">
        <f>+C28+(C28*C34%)</f>
        <v>232.875</v>
      </c>
      <c r="E25" s="966"/>
      <c r="F25" s="966"/>
      <c r="G25" s="966"/>
      <c r="H25" s="966"/>
      <c r="I25" s="966"/>
    </row>
    <row r="26" spans="2:11" x14ac:dyDescent="0.3">
      <c r="B26" s="1390" t="s">
        <v>38</v>
      </c>
      <c r="C26" s="997" t="s">
        <v>69</v>
      </c>
    </row>
    <row r="27" spans="2:11" x14ac:dyDescent="0.3">
      <c r="B27" s="1390" t="s">
        <v>39</v>
      </c>
      <c r="C27" s="997" t="s">
        <v>343</v>
      </c>
    </row>
    <row r="28" spans="2:11" x14ac:dyDescent="0.3">
      <c r="B28" s="1390" t="s">
        <v>40</v>
      </c>
      <c r="C28" s="997">
        <v>225</v>
      </c>
    </row>
    <row r="29" spans="2:11" x14ac:dyDescent="0.3">
      <c r="B29" s="1390" t="s">
        <v>41</v>
      </c>
      <c r="C29" s="997">
        <v>0</v>
      </c>
    </row>
    <row r="30" spans="2:11" x14ac:dyDescent="0.3">
      <c r="B30" s="1390" t="s">
        <v>42</v>
      </c>
      <c r="C30" s="997">
        <v>0.5</v>
      </c>
    </row>
    <row r="31" spans="2:11" x14ac:dyDescent="0.3">
      <c r="B31" s="1390" t="s">
        <v>43</v>
      </c>
      <c r="C31" s="997">
        <v>0.5</v>
      </c>
    </row>
    <row r="32" spans="2:11" x14ac:dyDescent="0.3">
      <c r="B32" s="1390" t="s">
        <v>44</v>
      </c>
      <c r="C32" s="997">
        <v>1</v>
      </c>
    </row>
    <row r="33" spans="2:11" x14ac:dyDescent="0.3">
      <c r="B33" s="1390" t="s">
        <v>45</v>
      </c>
      <c r="C33" s="997">
        <v>1.5</v>
      </c>
    </row>
    <row r="34" spans="2:11" x14ac:dyDescent="0.3">
      <c r="B34" s="1390" t="s">
        <v>46</v>
      </c>
      <c r="C34" s="997">
        <f>C33+C32+C31+C30</f>
        <v>3.5</v>
      </c>
    </row>
    <row r="36" spans="2:11" x14ac:dyDescent="0.3">
      <c r="B36" s="1851" t="s">
        <v>47</v>
      </c>
      <c r="C36" s="1852"/>
      <c r="D36" s="1852"/>
      <c r="E36" s="1852"/>
      <c r="F36" s="1852"/>
      <c r="G36" s="1852"/>
      <c r="H36" s="1852"/>
      <c r="I36" s="1852"/>
    </row>
    <row r="37" spans="2:11" ht="28.5" x14ac:dyDescent="0.3">
      <c r="B37" s="1391" t="s">
        <v>0</v>
      </c>
      <c r="C37" s="1391" t="s">
        <v>1</v>
      </c>
      <c r="D37" s="1392" t="s">
        <v>2</v>
      </c>
      <c r="E37" s="1335" t="str">
        <f>+'CIF Y PV'!$F$4</f>
        <v xml:space="preserve">JUN-COP/UMB </v>
      </c>
      <c r="F37" s="1335" t="str">
        <f>+'CIF Y PV'!$G$4</f>
        <v>JUN-COP/APP</v>
      </c>
      <c r="G37" s="1335" t="str">
        <f>+'CIF Y PV'!$H$4</f>
        <v xml:space="preserve">MAY-COP/UMB </v>
      </c>
      <c r="H37" s="1335" t="str">
        <f>+'CIF Y PV'!$I$4</f>
        <v>MAY-COP/APP</v>
      </c>
      <c r="I37" s="1335" t="s">
        <v>3</v>
      </c>
      <c r="J37" s="693">
        <v>375000</v>
      </c>
    </row>
    <row r="38" spans="2:11" x14ac:dyDescent="0.3">
      <c r="B38" s="563">
        <v>1380005</v>
      </c>
      <c r="C38" s="563" t="s">
        <v>1029</v>
      </c>
      <c r="D38" s="1001">
        <v>2</v>
      </c>
      <c r="E38" s="582">
        <f>VLOOKUP(B38,[2]Hoja1!$C$2:$E$279,3,FALSE)</f>
        <v>29.02</v>
      </c>
      <c r="F38" s="582">
        <f>E38*D38</f>
        <v>58.04</v>
      </c>
      <c r="G38" s="582">
        <v>31.68</v>
      </c>
      <c r="H38" s="582">
        <f>G38*D38</f>
        <v>63.36</v>
      </c>
      <c r="I38" s="571">
        <f>((E38/G38)*100)-100</f>
        <v>-8.3964646464646506</v>
      </c>
      <c r="J38" s="693">
        <f>J37*D38</f>
        <v>750000</v>
      </c>
    </row>
    <row r="39" spans="2:11" x14ac:dyDescent="0.3">
      <c r="B39" s="563">
        <v>1370018</v>
      </c>
      <c r="C39" s="563" t="s">
        <v>1187</v>
      </c>
      <c r="D39" s="1001">
        <v>0.23</v>
      </c>
      <c r="E39" s="582">
        <f>VLOOKUP(B39,[2]Hoja1!$C$2:$E$279,3,FALSE)</f>
        <v>464.57</v>
      </c>
      <c r="F39" s="582">
        <f>E39*D39</f>
        <v>106.8511</v>
      </c>
      <c r="G39" s="866">
        <v>490.4</v>
      </c>
      <c r="H39" s="582">
        <f>G39*D39</f>
        <v>112.792</v>
      </c>
      <c r="I39" s="571">
        <f>((E39/G39)*100)-100</f>
        <v>-5.2671288743882485</v>
      </c>
      <c r="J39" s="693">
        <f>J37*D39</f>
        <v>86250</v>
      </c>
    </row>
    <row r="40" spans="2:11" x14ac:dyDescent="0.3">
      <c r="B40" s="1391"/>
      <c r="C40" s="1391" t="s">
        <v>37</v>
      </c>
      <c r="D40" s="1392"/>
      <c r="E40" s="1393"/>
      <c r="F40" s="1393">
        <f>SUM(F38:F39)</f>
        <v>164.89109999999999</v>
      </c>
      <c r="G40" s="1393"/>
      <c r="H40" s="1393">
        <f>SUM(H38:H39)</f>
        <v>176.15199999999999</v>
      </c>
      <c r="I40" s="1439">
        <f>((F40/H40)*100)-100</f>
        <v>-6.3927176529360992</v>
      </c>
    </row>
    <row r="42" spans="2:11" x14ac:dyDescent="0.3">
      <c r="H42" s="527" t="str">
        <f>+'CIF Y PV'!$G$1</f>
        <v>MAYO</v>
      </c>
      <c r="J42" s="527"/>
    </row>
    <row r="43" spans="2:11" x14ac:dyDescent="0.3">
      <c r="B43" s="1807" t="s">
        <v>72</v>
      </c>
      <c r="C43" s="1807"/>
      <c r="D43" s="1062"/>
      <c r="E43" s="1005"/>
      <c r="F43" s="1005"/>
      <c r="G43" s="1005"/>
      <c r="H43" s="1005">
        <f>+F40+G23</f>
        <v>805.17314565299989</v>
      </c>
      <c r="I43" s="1032"/>
      <c r="J43" s="1005"/>
      <c r="K43" s="1032"/>
    </row>
    <row r="44" spans="2:11" x14ac:dyDescent="0.3">
      <c r="B44" s="1808" t="s">
        <v>48</v>
      </c>
      <c r="C44" s="1809"/>
      <c r="D44" s="1062"/>
      <c r="E44" s="1005"/>
      <c r="F44" s="1005"/>
      <c r="G44" s="1005"/>
      <c r="H44" s="1005">
        <f>+('CIF Y PV'!C3/1000)*225</f>
        <v>425.25</v>
      </c>
      <c r="I44" s="1004"/>
      <c r="J44" s="1005"/>
      <c r="K44" s="1004"/>
    </row>
    <row r="45" spans="2:11" x14ac:dyDescent="0.3">
      <c r="B45" s="1808" t="s">
        <v>74</v>
      </c>
      <c r="C45" s="1809"/>
      <c r="D45" s="1062"/>
      <c r="E45" s="1005"/>
      <c r="F45" s="1005"/>
      <c r="G45" s="1005"/>
      <c r="H45" s="1005">
        <f>+H43+H44</f>
        <v>1230.4231456529999</v>
      </c>
      <c r="I45" s="1004">
        <v>1304</v>
      </c>
      <c r="J45" s="1005"/>
      <c r="K45" s="1004"/>
    </row>
    <row r="46" spans="2:11" ht="13.5" hidden="1" customHeight="1" x14ac:dyDescent="0.3">
      <c r="B46" s="1860" t="s">
        <v>49</v>
      </c>
      <c r="C46" s="1860"/>
      <c r="D46" s="1005">
        <f>H45/I47</f>
        <v>1129.865147523416</v>
      </c>
      <c r="E46" s="1005"/>
      <c r="F46" s="1005"/>
      <c r="G46" s="1005"/>
      <c r="H46" s="1005"/>
      <c r="I46" s="1063">
        <v>-8.8999999999999996E-2</v>
      </c>
      <c r="J46" s="1005"/>
      <c r="K46" s="1063">
        <v>-8.8999999999999996E-2</v>
      </c>
    </row>
    <row r="47" spans="2:11" x14ac:dyDescent="0.3">
      <c r="I47" s="1060">
        <f>1-I46</f>
        <v>1.089</v>
      </c>
      <c r="J47" s="527"/>
      <c r="K47" s="1060">
        <f>1-K46</f>
        <v>1.089</v>
      </c>
    </row>
  </sheetData>
  <autoFilter ref="A4:K22" xr:uid="{BA32F5D2-5313-4E23-B166-B5969A74AB7A}"/>
  <mergeCells count="9">
    <mergeCell ref="B2:I2"/>
    <mergeCell ref="B3:I3"/>
    <mergeCell ref="B25:C25"/>
    <mergeCell ref="B23:C23"/>
    <mergeCell ref="B46:C46"/>
    <mergeCell ref="B43:C43"/>
    <mergeCell ref="B44:C44"/>
    <mergeCell ref="B45:C45"/>
    <mergeCell ref="B36:I36"/>
  </mergeCells>
  <pageMargins left="0.7" right="0.7" top="0.75" bottom="0.75" header="0.3" footer="0.3"/>
  <pageSetup scale="40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F644-8ECA-42F2-BF40-279BB3BA3910}">
  <sheetPr codeName="Hoja71"/>
  <dimension ref="A3:M82"/>
  <sheetViews>
    <sheetView tabSelected="1" view="pageBreakPreview" topLeftCell="A9" zoomScale="90" zoomScaleNormal="100" zoomScaleSheetLayoutView="90" workbookViewId="0">
      <selection activeCell="C6" sqref="C6:C29"/>
    </sheetView>
  </sheetViews>
  <sheetFormatPr baseColWidth="10" defaultColWidth="11.5703125" defaultRowHeight="16.5" x14ac:dyDescent="0.3"/>
  <cols>
    <col min="1" max="1" width="6.85546875" style="527" customWidth="1"/>
    <col min="2" max="2" width="13.28515625" style="527" customWidth="1"/>
    <col min="3" max="3" width="52.42578125" style="527" customWidth="1"/>
    <col min="4" max="4" width="14.28515625" style="691" bestFit="1" customWidth="1"/>
    <col min="5" max="6" width="13.7109375" style="527" customWidth="1"/>
    <col min="7" max="7" width="18.42578125" style="527" customWidth="1"/>
    <col min="8" max="8" width="13.7109375" style="691" customWidth="1"/>
    <col min="9" max="9" width="11.140625" style="527" customWidth="1"/>
    <col min="10" max="10" width="12.28515625" style="527" bestFit="1" customWidth="1"/>
    <col min="11" max="11" width="18.28515625" style="1064" bestFit="1" customWidth="1"/>
    <col min="12" max="12" width="11.5703125" style="527"/>
    <col min="13" max="13" width="17.42578125" style="527" bestFit="1" customWidth="1"/>
    <col min="14" max="16384" width="11.5703125" style="527"/>
  </cols>
  <sheetData>
    <row r="3" spans="2:13" ht="22.5" x14ac:dyDescent="0.3">
      <c r="B3" s="1861" t="s">
        <v>1188</v>
      </c>
      <c r="C3" s="1861"/>
      <c r="D3" s="1862"/>
      <c r="E3" s="1861"/>
      <c r="F3" s="1861"/>
      <c r="G3" s="1861"/>
      <c r="H3" s="1861"/>
      <c r="I3" s="1861"/>
    </row>
    <row r="4" spans="2:13" x14ac:dyDescent="0.3">
      <c r="D4" s="1091"/>
    </row>
    <row r="5" spans="2:13" s="979" customFormat="1" ht="28.5" x14ac:dyDescent="0.25">
      <c r="B5" s="1364" t="s">
        <v>0</v>
      </c>
      <c r="C5" s="1364" t="s">
        <v>1</v>
      </c>
      <c r="D5" s="1558">
        <v>48.29</v>
      </c>
      <c r="E5" s="1364" t="s">
        <v>3</v>
      </c>
      <c r="F5" s="1335" t="str">
        <f>+'CIF Y PV'!$F$2</f>
        <v xml:space="preserve">JUN-COP/Kg </v>
      </c>
      <c r="G5" s="1335" t="str">
        <f>+'CIF Y PV'!$G$2</f>
        <v>JUN-COP/APP</v>
      </c>
      <c r="H5" s="1335" t="str">
        <f>+'CIF Y PV'!$H$2</f>
        <v xml:space="preserve">MAY-COP/Kg </v>
      </c>
      <c r="I5" s="1335" t="str">
        <f>+'CIF Y PV'!$I$2</f>
        <v>MAY-COP/APP</v>
      </c>
      <c r="J5" s="1357" t="s">
        <v>3</v>
      </c>
      <c r="K5" s="1485">
        <f>D57/1000</f>
        <v>0.252</v>
      </c>
      <c r="L5" s="1588">
        <v>1493</v>
      </c>
    </row>
    <row r="6" spans="2:13" x14ac:dyDescent="0.3">
      <c r="B6" s="980">
        <v>1112001</v>
      </c>
      <c r="C6" s="553" t="s">
        <v>797</v>
      </c>
      <c r="D6" s="1089">
        <v>6.2949599999999994E-2</v>
      </c>
      <c r="E6" s="568">
        <v>24.98</v>
      </c>
      <c r="F6" s="982">
        <f>VLOOKUP(B6,[2]Hoja1!$C$2:$E$279,3,FALSE)</f>
        <v>3663.96</v>
      </c>
      <c r="G6" s="568">
        <f>F6*D6</f>
        <v>230.64481641599997</v>
      </c>
      <c r="H6" s="982">
        <v>4222.72</v>
      </c>
      <c r="I6" s="571">
        <f>H6*D6</f>
        <v>265.81853491200002</v>
      </c>
      <c r="J6" s="568">
        <f>((F6/H6)*100)-100</f>
        <v>-13.232229463473786</v>
      </c>
      <c r="K6" s="1066">
        <f t="shared" ref="K6:K29" si="0">$K$5*E6%</f>
        <v>6.2949599999999994E-2</v>
      </c>
      <c r="L6" s="1173">
        <f>$L$5*E6%</f>
        <v>372.95139999999998</v>
      </c>
      <c r="M6" s="1220">
        <f>L6*F6</f>
        <v>1366479.0115439999</v>
      </c>
    </row>
    <row r="7" spans="2:13" x14ac:dyDescent="0.3">
      <c r="B7" s="980">
        <v>1122001</v>
      </c>
      <c r="C7" s="553" t="s">
        <v>1030</v>
      </c>
      <c r="D7" s="1089">
        <v>2.1016800000000002E-2</v>
      </c>
      <c r="E7" s="561">
        <v>8.34</v>
      </c>
      <c r="F7" s="982">
        <f>VLOOKUP(B7,[2]Hoja1!$C$2:$E$279,3,FALSE)</f>
        <v>11506.13</v>
      </c>
      <c r="G7" s="568">
        <f t="shared" ref="G7:G29" si="1">F7*D7</f>
        <v>241.822032984</v>
      </c>
      <c r="H7" s="585">
        <v>14266.27</v>
      </c>
      <c r="I7" s="571">
        <f t="shared" ref="I7:I29" si="2">H7*D7</f>
        <v>299.83134333600003</v>
      </c>
      <c r="J7" s="561">
        <f t="shared" ref="J7:J27" si="3">((F7/H7)*100)-100</f>
        <v>-19.347313628579869</v>
      </c>
      <c r="K7" s="1066">
        <f t="shared" si="0"/>
        <v>2.1016800000000002E-2</v>
      </c>
      <c r="L7" s="1173">
        <f t="shared" ref="L7:L29" si="4">$L$5*E7%</f>
        <v>124.5162</v>
      </c>
      <c r="M7" s="1220">
        <f t="shared" ref="M7:M29" si="5">L7*F7</f>
        <v>1432699.5843059998</v>
      </c>
    </row>
    <row r="8" spans="2:13" x14ac:dyDescent="0.3">
      <c r="B8" s="980">
        <v>1111002</v>
      </c>
      <c r="C8" s="553" t="s">
        <v>1170</v>
      </c>
      <c r="D8" s="1089">
        <v>1.21464E-2</v>
      </c>
      <c r="E8" s="561">
        <v>4.82</v>
      </c>
      <c r="F8" s="982">
        <f>VLOOKUP(B8,[2]Hoja1!$C$2:$E$279,3,FALSE)</f>
        <v>2800</v>
      </c>
      <c r="G8" s="568">
        <f t="shared" si="1"/>
        <v>34.009920000000001</v>
      </c>
      <c r="H8" s="983">
        <v>2803.03</v>
      </c>
      <c r="I8" s="571">
        <f t="shared" si="2"/>
        <v>34.046723591999999</v>
      </c>
      <c r="J8" s="561">
        <f t="shared" si="3"/>
        <v>-0.10809730898350267</v>
      </c>
      <c r="K8" s="1066">
        <f t="shared" si="0"/>
        <v>1.21464E-2</v>
      </c>
      <c r="L8" s="1173">
        <f t="shared" si="4"/>
        <v>71.962599999999995</v>
      </c>
      <c r="M8" s="1220">
        <f t="shared" si="5"/>
        <v>201495.28</v>
      </c>
    </row>
    <row r="9" spans="2:13" x14ac:dyDescent="0.3">
      <c r="B9" s="980">
        <v>1121009</v>
      </c>
      <c r="C9" s="553" t="s">
        <v>1272</v>
      </c>
      <c r="D9" s="1089">
        <v>7.5599999999999999E-3</v>
      </c>
      <c r="E9" s="561">
        <v>3</v>
      </c>
      <c r="F9" s="982">
        <f>VLOOKUP(B9,[2]Hoja1!$C$2:$E$279,3,FALSE)</f>
        <v>8741.6200000000008</v>
      </c>
      <c r="G9" s="568">
        <f t="shared" si="1"/>
        <v>66.086647200000002</v>
      </c>
      <c r="H9" s="982">
        <v>8754.2800000000007</v>
      </c>
      <c r="I9" s="571">
        <f t="shared" si="2"/>
        <v>66.182356800000008</v>
      </c>
      <c r="J9" s="561">
        <f t="shared" si="3"/>
        <v>-0.14461497690273006</v>
      </c>
      <c r="K9" s="1066">
        <f t="shared" si="0"/>
        <v>7.5599999999999999E-3</v>
      </c>
      <c r="L9" s="1173">
        <f t="shared" si="4"/>
        <v>44.79</v>
      </c>
      <c r="M9" s="1220">
        <f t="shared" si="5"/>
        <v>391537.15980000002</v>
      </c>
    </row>
    <row r="10" spans="2:13" x14ac:dyDescent="0.3">
      <c r="B10" s="980">
        <v>2906001</v>
      </c>
      <c r="C10" s="553" t="s">
        <v>831</v>
      </c>
      <c r="D10" s="1089">
        <v>2.5300799999999998E-2</v>
      </c>
      <c r="E10" s="561">
        <v>10.039999999999999</v>
      </c>
      <c r="F10" s="982">
        <f>VLOOKUP(B10,[2]Hoja1!$C$2:$E$279,3,FALSE)</f>
        <v>1956.71</v>
      </c>
      <c r="G10" s="568">
        <f t="shared" si="1"/>
        <v>49.506328367999998</v>
      </c>
      <c r="H10" s="982">
        <v>2033.73</v>
      </c>
      <c r="I10" s="571">
        <f t="shared" si="2"/>
        <v>51.454995984</v>
      </c>
      <c r="J10" s="561">
        <f t="shared" si="3"/>
        <v>-3.7871300516784459</v>
      </c>
      <c r="K10" s="1066">
        <f t="shared" si="0"/>
        <v>2.5300799999999998E-2</v>
      </c>
      <c r="L10" s="1173">
        <f t="shared" si="4"/>
        <v>149.8972</v>
      </c>
      <c r="M10" s="1220">
        <f t="shared" si="5"/>
        <v>293305.35021200002</v>
      </c>
    </row>
    <row r="11" spans="2:13" x14ac:dyDescent="0.3">
      <c r="B11" s="980">
        <v>1131002</v>
      </c>
      <c r="C11" s="553" t="s">
        <v>663</v>
      </c>
      <c r="D11" s="1089">
        <v>8.0362799999999998E-2</v>
      </c>
      <c r="E11" s="561">
        <v>31.89</v>
      </c>
      <c r="F11" s="982">
        <f>VLOOKUP(B11,[2]Hoja1!$C$2:$E$279,3,FALSE)</f>
        <v>0</v>
      </c>
      <c r="G11" s="568">
        <f t="shared" si="1"/>
        <v>0</v>
      </c>
      <c r="H11" s="984">
        <v>0</v>
      </c>
      <c r="I11" s="571">
        <f t="shared" si="2"/>
        <v>0</v>
      </c>
      <c r="J11" s="561" t="e">
        <f t="shared" si="3"/>
        <v>#DIV/0!</v>
      </c>
      <c r="K11" s="1066">
        <f t="shared" si="0"/>
        <v>8.0362799999999998E-2</v>
      </c>
      <c r="L11" s="1173">
        <f t="shared" si="4"/>
        <v>476.11770000000001</v>
      </c>
      <c r="M11" s="1220">
        <f t="shared" si="5"/>
        <v>0</v>
      </c>
    </row>
    <row r="12" spans="2:13" x14ac:dyDescent="0.3">
      <c r="B12" s="980">
        <v>1250009</v>
      </c>
      <c r="C12" s="553" t="s">
        <v>1269</v>
      </c>
      <c r="D12" s="1089">
        <v>3.3768000000000003E-4</v>
      </c>
      <c r="E12" s="1540">
        <v>0.13400000000000001</v>
      </c>
      <c r="F12" s="982">
        <f>VLOOKUP(B12,[2]Hoja1!$C$2:$E$279,3,FALSE)</f>
        <v>83551.55</v>
      </c>
      <c r="G12" s="568">
        <f t="shared" si="1"/>
        <v>28.213687404000005</v>
      </c>
      <c r="H12" s="984">
        <v>72500</v>
      </c>
      <c r="I12" s="571">
        <f t="shared" si="2"/>
        <v>24.481800000000003</v>
      </c>
      <c r="J12" s="561">
        <f t="shared" si="3"/>
        <v>15.243517241379308</v>
      </c>
      <c r="K12" s="1066">
        <f t="shared" si="0"/>
        <v>3.3768000000000003E-4</v>
      </c>
      <c r="L12" s="1173">
        <f t="shared" si="4"/>
        <v>2.0006200000000001</v>
      </c>
      <c r="M12" s="1220">
        <f t="shared" si="5"/>
        <v>167154.90196100003</v>
      </c>
    </row>
    <row r="13" spans="2:13" x14ac:dyDescent="0.3">
      <c r="B13" s="980">
        <v>1260012</v>
      </c>
      <c r="C13" s="553" t="s">
        <v>1148</v>
      </c>
      <c r="D13" s="1089">
        <v>7.5600000000000005E-4</v>
      </c>
      <c r="E13" s="561">
        <v>0.3</v>
      </c>
      <c r="F13" s="982">
        <f>VLOOKUP(B13,[2]Hoja1!$C$2:$E$279,3,FALSE)</f>
        <v>46081</v>
      </c>
      <c r="G13" s="568">
        <f t="shared" si="1"/>
        <v>34.837236000000004</v>
      </c>
      <c r="H13" s="964">
        <v>46081</v>
      </c>
      <c r="I13" s="571">
        <f t="shared" si="2"/>
        <v>34.837236000000004</v>
      </c>
      <c r="J13" s="561">
        <f t="shared" si="3"/>
        <v>0</v>
      </c>
      <c r="K13" s="1066">
        <f t="shared" si="0"/>
        <v>7.5600000000000005E-4</v>
      </c>
      <c r="L13" s="1173">
        <f t="shared" si="4"/>
        <v>4.4790000000000001</v>
      </c>
      <c r="M13" s="1220">
        <f t="shared" si="5"/>
        <v>206396.799</v>
      </c>
    </row>
    <row r="14" spans="2:13" x14ac:dyDescent="0.3">
      <c r="B14" s="980">
        <v>1210005</v>
      </c>
      <c r="C14" s="553" t="s">
        <v>1155</v>
      </c>
      <c r="D14" s="1089">
        <v>3.1248000000000001E-3</v>
      </c>
      <c r="E14" s="561">
        <v>1.24</v>
      </c>
      <c r="F14" s="982">
        <f>VLOOKUP(B14,[2]Hoja1!$C$2:$E$279,3,FALSE)</f>
        <v>1356</v>
      </c>
      <c r="G14" s="568">
        <f t="shared" si="1"/>
        <v>4.2372288000000005</v>
      </c>
      <c r="H14" s="88">
        <v>1360</v>
      </c>
      <c r="I14" s="571">
        <f t="shared" si="2"/>
        <v>4.2497280000000002</v>
      </c>
      <c r="J14" s="561">
        <f t="shared" si="3"/>
        <v>-0.29411764705882604</v>
      </c>
      <c r="K14" s="1066">
        <f t="shared" si="0"/>
        <v>3.1248000000000001E-3</v>
      </c>
      <c r="L14" s="1173">
        <f t="shared" si="4"/>
        <v>18.513199999999998</v>
      </c>
      <c r="M14" s="1220">
        <f t="shared" si="5"/>
        <v>25103.899199999996</v>
      </c>
    </row>
    <row r="15" spans="2:13" x14ac:dyDescent="0.3">
      <c r="B15" s="980">
        <v>1210004</v>
      </c>
      <c r="C15" s="553" t="s">
        <v>1131</v>
      </c>
      <c r="D15" s="1089">
        <v>2.1420000000000003E-4</v>
      </c>
      <c r="E15" s="561">
        <v>8.5000000000000006E-2</v>
      </c>
      <c r="F15" s="982">
        <f>VLOOKUP(B15,[2]Hoja1!$C$2:$E$279,3,FALSE)</f>
        <v>3841</v>
      </c>
      <c r="G15" s="568">
        <f t="shared" si="1"/>
        <v>0.82274220000000009</v>
      </c>
      <c r="H15" s="964">
        <v>3508.01</v>
      </c>
      <c r="I15" s="571">
        <f t="shared" si="2"/>
        <v>0.75141574200000016</v>
      </c>
      <c r="J15" s="561">
        <f t="shared" si="3"/>
        <v>9.4922762477871885</v>
      </c>
      <c r="K15" s="1066">
        <f t="shared" si="0"/>
        <v>2.1420000000000003E-4</v>
      </c>
      <c r="L15" s="1173">
        <f t="shared" si="4"/>
        <v>1.26905</v>
      </c>
      <c r="M15" s="1220">
        <f t="shared" si="5"/>
        <v>4874.4210499999999</v>
      </c>
    </row>
    <row r="16" spans="2:13" x14ac:dyDescent="0.3">
      <c r="B16" s="980">
        <v>121007</v>
      </c>
      <c r="C16" s="553" t="s">
        <v>821</v>
      </c>
      <c r="D16" s="1089">
        <v>7.5600000000000005E-4</v>
      </c>
      <c r="E16" s="561">
        <v>0.3</v>
      </c>
      <c r="F16" s="982">
        <f>VLOOKUP(B16,[2]Hoja1!$C$2:$E$279,3,FALSE)</f>
        <v>16905</v>
      </c>
      <c r="G16" s="568">
        <f t="shared" si="1"/>
        <v>12.780180000000001</v>
      </c>
      <c r="H16" s="866">
        <v>16100</v>
      </c>
      <c r="I16" s="571">
        <f t="shared" si="2"/>
        <v>12.171600000000002</v>
      </c>
      <c r="J16" s="561">
        <f t="shared" si="3"/>
        <v>5</v>
      </c>
      <c r="K16" s="1066">
        <f t="shared" si="0"/>
        <v>7.5600000000000005E-4</v>
      </c>
      <c r="L16" s="1173">
        <f t="shared" si="4"/>
        <v>4.4790000000000001</v>
      </c>
      <c r="M16" s="1220">
        <f t="shared" si="5"/>
        <v>75717.494999999995</v>
      </c>
    </row>
    <row r="17" spans="2:13" x14ac:dyDescent="0.3">
      <c r="B17" s="980">
        <v>1210008</v>
      </c>
      <c r="C17" s="553" t="s">
        <v>1240</v>
      </c>
      <c r="D17" s="1089">
        <v>2.52E-4</v>
      </c>
      <c r="E17" s="561">
        <v>0.1</v>
      </c>
      <c r="F17" s="982">
        <f>VLOOKUP(B17,[2]Hoja1!$C$2:$E$279,3,FALSE)</f>
        <v>14700</v>
      </c>
      <c r="G17" s="568">
        <f t="shared" si="1"/>
        <v>3.7044000000000001</v>
      </c>
      <c r="H17" s="964">
        <v>14700</v>
      </c>
      <c r="I17" s="571">
        <f t="shared" si="2"/>
        <v>3.7044000000000001</v>
      </c>
      <c r="J17" s="561">
        <f t="shared" si="3"/>
        <v>0</v>
      </c>
      <c r="K17" s="1066">
        <f t="shared" si="0"/>
        <v>2.52E-4</v>
      </c>
      <c r="L17" s="1173">
        <f t="shared" si="4"/>
        <v>1.4930000000000001</v>
      </c>
      <c r="M17" s="1220">
        <f t="shared" si="5"/>
        <v>21947.100000000002</v>
      </c>
    </row>
    <row r="18" spans="2:13" x14ac:dyDescent="0.3">
      <c r="B18" s="980">
        <v>1240007</v>
      </c>
      <c r="C18" s="553" t="s">
        <v>1352</v>
      </c>
      <c r="D18" s="1089">
        <v>1.2600000000000001E-3</v>
      </c>
      <c r="E18" s="561">
        <v>0.5</v>
      </c>
      <c r="F18" s="982">
        <f>VLOOKUP(B18,[2]Hoja1!$C$2:$E$279,3,FALSE)</f>
        <v>25921.42</v>
      </c>
      <c r="G18" s="568">
        <f t="shared" si="1"/>
        <v>32.660989199999996</v>
      </c>
      <c r="H18" s="964">
        <v>70840.75</v>
      </c>
      <c r="I18" s="571">
        <f t="shared" si="2"/>
        <v>89.25934500000001</v>
      </c>
      <c r="J18" s="561">
        <f t="shared" si="3"/>
        <v>-63.408885422585165</v>
      </c>
      <c r="K18" s="1066">
        <f t="shared" si="0"/>
        <v>1.2600000000000001E-3</v>
      </c>
      <c r="L18" s="1173">
        <f t="shared" si="4"/>
        <v>7.4649999999999999</v>
      </c>
      <c r="M18" s="1220">
        <f t="shared" si="5"/>
        <v>193503.40029999998</v>
      </c>
    </row>
    <row r="19" spans="2:13" x14ac:dyDescent="0.3">
      <c r="B19" s="980">
        <v>1230017</v>
      </c>
      <c r="C19" s="553" t="s">
        <v>1181</v>
      </c>
      <c r="D19" s="1089">
        <v>6.3000000000000003E-4</v>
      </c>
      <c r="E19" s="561">
        <v>0.25</v>
      </c>
      <c r="F19" s="982">
        <f>VLOOKUP(B19,[2]Hoja1!$C$2:$E$279,3,FALSE)</f>
        <v>62534.84</v>
      </c>
      <c r="G19" s="568">
        <f t="shared" si="1"/>
        <v>39.396949200000002</v>
      </c>
      <c r="H19" s="72">
        <v>59600</v>
      </c>
      <c r="I19" s="571">
        <f t="shared" si="2"/>
        <v>37.548000000000002</v>
      </c>
      <c r="J19" s="561">
        <f t="shared" si="3"/>
        <v>4.9242281879194678</v>
      </c>
      <c r="K19" s="1066">
        <f t="shared" si="0"/>
        <v>6.3000000000000003E-4</v>
      </c>
      <c r="L19" s="1173">
        <f t="shared" si="4"/>
        <v>3.7324999999999999</v>
      </c>
      <c r="M19" s="1220">
        <f t="shared" si="5"/>
        <v>233411.29029999999</v>
      </c>
    </row>
    <row r="20" spans="2:13" x14ac:dyDescent="0.3">
      <c r="B20" s="980">
        <v>1220005</v>
      </c>
      <c r="C20" s="553" t="s">
        <v>1135</v>
      </c>
      <c r="D20" s="1089">
        <v>3.2759999999999999E-4</v>
      </c>
      <c r="E20" s="561">
        <v>0.13</v>
      </c>
      <c r="F20" s="982">
        <f>VLOOKUP(B20,[2]Hoja1!$C$2:$E$279,3,FALSE)</f>
        <v>17429.990000000002</v>
      </c>
      <c r="G20" s="568">
        <f t="shared" si="1"/>
        <v>5.7100647240000004</v>
      </c>
      <c r="H20" s="526">
        <v>17430</v>
      </c>
      <c r="I20" s="571">
        <f t="shared" si="2"/>
        <v>5.7100679999999997</v>
      </c>
      <c r="J20" s="561">
        <f t="shared" si="3"/>
        <v>-5.7372346518036466E-5</v>
      </c>
      <c r="K20" s="1066">
        <f t="shared" si="0"/>
        <v>3.2759999999999999E-4</v>
      </c>
      <c r="L20" s="1173">
        <f t="shared" si="4"/>
        <v>1.9408999999999998</v>
      </c>
      <c r="M20" s="1220">
        <f t="shared" si="5"/>
        <v>33829.867591000002</v>
      </c>
    </row>
    <row r="21" spans="2:13" x14ac:dyDescent="0.3">
      <c r="B21" s="980">
        <v>1220006</v>
      </c>
      <c r="C21" s="553" t="s">
        <v>1172</v>
      </c>
      <c r="D21" s="1089">
        <v>3.2759999999999999E-4</v>
      </c>
      <c r="E21" s="561">
        <v>0.13</v>
      </c>
      <c r="F21" s="982">
        <f>VLOOKUP(B21,[2]Hoja1!$C$2:$E$279,3,FALSE)</f>
        <v>73448</v>
      </c>
      <c r="G21" s="568">
        <f t="shared" si="1"/>
        <v>24.061564799999999</v>
      </c>
      <c r="H21" s="965">
        <v>73448</v>
      </c>
      <c r="I21" s="571">
        <f t="shared" si="2"/>
        <v>24.061564799999999</v>
      </c>
      <c r="J21" s="561">
        <f t="shared" si="3"/>
        <v>0</v>
      </c>
      <c r="K21" s="1066">
        <f t="shared" si="0"/>
        <v>3.2759999999999999E-4</v>
      </c>
      <c r="L21" s="1173">
        <f t="shared" si="4"/>
        <v>1.9408999999999998</v>
      </c>
      <c r="M21" s="1220">
        <f t="shared" si="5"/>
        <v>142555.22319999998</v>
      </c>
    </row>
    <row r="22" spans="2:13" x14ac:dyDescent="0.3">
      <c r="B22" s="980">
        <v>1260014</v>
      </c>
      <c r="C22" s="553" t="s">
        <v>825</v>
      </c>
      <c r="D22" s="1089">
        <v>2.5200000000000001E-3</v>
      </c>
      <c r="E22" s="561">
        <v>1</v>
      </c>
      <c r="F22" s="982">
        <f>VLOOKUP(B22,[2]Hoja1!$C$2:$E$279,3,FALSE)</f>
        <v>28083.42</v>
      </c>
      <c r="G22" s="568">
        <f t="shared" si="1"/>
        <v>70.770218400000005</v>
      </c>
      <c r="H22" s="965">
        <v>40834.379999999997</v>
      </c>
      <c r="I22" s="571">
        <f t="shared" si="2"/>
        <v>102.90263759999999</v>
      </c>
      <c r="J22" s="561">
        <f t="shared" si="3"/>
        <v>-31.226040410066219</v>
      </c>
      <c r="K22" s="1066">
        <f t="shared" si="0"/>
        <v>2.5200000000000001E-3</v>
      </c>
      <c r="L22" s="1173">
        <f t="shared" si="4"/>
        <v>14.93</v>
      </c>
      <c r="M22" s="1220">
        <f t="shared" si="5"/>
        <v>419285.46059999999</v>
      </c>
    </row>
    <row r="23" spans="2:13" x14ac:dyDescent="0.3">
      <c r="B23" s="980">
        <v>1210003</v>
      </c>
      <c r="C23" s="553" t="s">
        <v>1143</v>
      </c>
      <c r="D23" s="1089">
        <v>1.26E-4</v>
      </c>
      <c r="E23" s="561">
        <v>0.05</v>
      </c>
      <c r="F23" s="982">
        <f>VLOOKUP(B23,[2]Hoja1!$C$2:$E$279,3,FALSE)</f>
        <v>16235.45</v>
      </c>
      <c r="G23" s="568">
        <f t="shared" si="1"/>
        <v>2.0456666999999999</v>
      </c>
      <c r="H23" s="964">
        <v>12852.58</v>
      </c>
      <c r="I23" s="571">
        <f t="shared" si="2"/>
        <v>1.6194250800000001</v>
      </c>
      <c r="J23" s="561">
        <f t="shared" si="3"/>
        <v>26.320551982559152</v>
      </c>
      <c r="K23" s="1066">
        <f>$K$5*E23%</f>
        <v>1.26E-4</v>
      </c>
      <c r="L23" s="1173">
        <f t="shared" si="4"/>
        <v>0.74650000000000005</v>
      </c>
      <c r="M23" s="1220">
        <f t="shared" si="5"/>
        <v>12119.763425000001</v>
      </c>
    </row>
    <row r="24" spans="2:13" x14ac:dyDescent="0.3">
      <c r="B24" s="980">
        <v>1260009</v>
      </c>
      <c r="C24" s="553" t="s">
        <v>1027</v>
      </c>
      <c r="D24" s="1559">
        <v>7.5599999999999999E-3</v>
      </c>
      <c r="E24" s="561">
        <v>3</v>
      </c>
      <c r="F24" s="982">
        <f>VLOOKUP(B24,[2]Hoja1!$C$2:$E$279,3,FALSE)</f>
        <v>7033.69</v>
      </c>
      <c r="G24" s="568">
        <f t="shared" si="1"/>
        <v>53.174696399999995</v>
      </c>
      <c r="H24" s="88">
        <v>9565.2099999999991</v>
      </c>
      <c r="I24" s="571">
        <f t="shared" si="2"/>
        <v>72.312987599999985</v>
      </c>
      <c r="J24" s="561">
        <f t="shared" si="3"/>
        <v>-26.465911360022403</v>
      </c>
      <c r="K24" s="1066">
        <f>$K$5*E24%</f>
        <v>7.5599999999999999E-3</v>
      </c>
      <c r="L24" s="1173">
        <f t="shared" si="4"/>
        <v>44.79</v>
      </c>
      <c r="M24" s="1220">
        <f t="shared" si="5"/>
        <v>315038.97509999998</v>
      </c>
    </row>
    <row r="25" spans="2:13" x14ac:dyDescent="0.3">
      <c r="B25" s="980">
        <v>1260010</v>
      </c>
      <c r="C25" s="553" t="s">
        <v>1043</v>
      </c>
      <c r="D25" s="1187">
        <v>7.0055999999999998E-3</v>
      </c>
      <c r="E25" s="561">
        <v>2.78</v>
      </c>
      <c r="F25" s="982">
        <f>VLOOKUP(B25,[2]Hoja1!$C$2:$E$279,3,FALSE)</f>
        <v>6959.71</v>
      </c>
      <c r="G25" s="568">
        <f t="shared" si="1"/>
        <v>48.756944376</v>
      </c>
      <c r="H25" s="533">
        <v>8234.27</v>
      </c>
      <c r="I25" s="571">
        <f t="shared" si="2"/>
        <v>57.686001912000002</v>
      </c>
      <c r="J25" s="561">
        <f t="shared" si="3"/>
        <v>-15.478724890002397</v>
      </c>
      <c r="K25" s="1066">
        <f t="shared" si="0"/>
        <v>7.0055999999999998E-3</v>
      </c>
      <c r="L25" s="1173">
        <f t="shared" si="4"/>
        <v>41.505399999999995</v>
      </c>
      <c r="M25" s="1220">
        <f t="shared" si="5"/>
        <v>288865.54743399995</v>
      </c>
    </row>
    <row r="26" spans="2:13" x14ac:dyDescent="0.3">
      <c r="B26" s="980">
        <v>1260011</v>
      </c>
      <c r="C26" s="553" t="s">
        <v>739</v>
      </c>
      <c r="D26" s="1560">
        <v>6.3251999999999996E-3</v>
      </c>
      <c r="E26" s="561">
        <v>2.5099999999999998</v>
      </c>
      <c r="F26" s="982">
        <f>VLOOKUP(B26,[2]Hoja1!$C$2:$E$279,3,FALSE)</f>
        <v>4450.01</v>
      </c>
      <c r="G26" s="568">
        <f t="shared" si="1"/>
        <v>28.147203252000001</v>
      </c>
      <c r="H26" s="88">
        <v>5752.34</v>
      </c>
      <c r="I26" s="571">
        <f t="shared" si="2"/>
        <v>36.384700967999997</v>
      </c>
      <c r="J26" s="561">
        <f t="shared" si="3"/>
        <v>-22.640003894067448</v>
      </c>
      <c r="K26" s="1066">
        <f t="shared" si="0"/>
        <v>6.3251999999999996E-3</v>
      </c>
      <c r="L26" s="1173">
        <f t="shared" si="4"/>
        <v>37.474299999999999</v>
      </c>
      <c r="M26" s="1220">
        <f t="shared" si="5"/>
        <v>166761.009743</v>
      </c>
    </row>
    <row r="27" spans="2:13" x14ac:dyDescent="0.3">
      <c r="B27" s="980">
        <v>1260017</v>
      </c>
      <c r="C27" s="1051" t="s">
        <v>832</v>
      </c>
      <c r="D27" s="1187">
        <v>6.3251999999999996E-3</v>
      </c>
      <c r="E27" s="1209">
        <v>2.5099999999999998</v>
      </c>
      <c r="F27" s="982">
        <f>VLOOKUP(B27,[2]Hoja1!$C$2:$E$279,3,FALSE)</f>
        <v>4500</v>
      </c>
      <c r="G27" s="568">
        <f t="shared" si="1"/>
        <v>28.463399999999996</v>
      </c>
      <c r="H27" s="88">
        <v>4500</v>
      </c>
      <c r="I27" s="571">
        <f t="shared" si="2"/>
        <v>28.463399999999996</v>
      </c>
      <c r="J27" s="561">
        <f t="shared" si="3"/>
        <v>0</v>
      </c>
      <c r="K27" s="1066">
        <f t="shared" si="0"/>
        <v>6.3251999999999996E-3</v>
      </c>
      <c r="L27" s="1173">
        <f t="shared" si="4"/>
        <v>37.474299999999999</v>
      </c>
      <c r="M27" s="1220">
        <f t="shared" si="5"/>
        <v>168634.35</v>
      </c>
    </row>
    <row r="28" spans="2:13" x14ac:dyDescent="0.3">
      <c r="B28" s="980">
        <v>1260005</v>
      </c>
      <c r="C28" s="1051" t="s">
        <v>811</v>
      </c>
      <c r="D28" s="1187">
        <v>3.7044000000000001E-3</v>
      </c>
      <c r="E28" s="1209">
        <v>1.47</v>
      </c>
      <c r="F28" s="982">
        <f>VLOOKUP(B28,[2]Hoja1!$C$2:$E$279,3,FALSE)</f>
        <v>26429</v>
      </c>
      <c r="G28" s="568">
        <f t="shared" si="1"/>
        <v>97.903587599999994</v>
      </c>
      <c r="H28" s="1092">
        <v>25850</v>
      </c>
      <c r="I28" s="571">
        <f t="shared" si="2"/>
        <v>95.758740000000003</v>
      </c>
      <c r="J28" s="1209"/>
      <c r="K28" s="1066">
        <f t="shared" si="0"/>
        <v>3.7044000000000001E-3</v>
      </c>
      <c r="L28" s="1173">
        <f t="shared" si="4"/>
        <v>21.947099999999999</v>
      </c>
      <c r="M28" s="1220">
        <f t="shared" si="5"/>
        <v>580039.90590000001</v>
      </c>
    </row>
    <row r="29" spans="2:13" x14ac:dyDescent="0.3">
      <c r="B29" s="980">
        <v>1260022</v>
      </c>
      <c r="C29" s="1051" t="s">
        <v>974</v>
      </c>
      <c r="D29" s="1187">
        <v>1.2600000000000001E-3</v>
      </c>
      <c r="E29" s="1209">
        <v>0.5</v>
      </c>
      <c r="F29" s="982">
        <f>VLOOKUP(B29,[2]Hoja1!$C$2:$E$279,3,FALSE)</f>
        <v>22988.01</v>
      </c>
      <c r="G29" s="568">
        <f t="shared" si="1"/>
        <v>28.964892599999999</v>
      </c>
      <c r="H29" s="1092">
        <v>27066.49</v>
      </c>
      <c r="I29" s="571">
        <f t="shared" si="2"/>
        <v>34.103777400000006</v>
      </c>
      <c r="J29" s="1209"/>
      <c r="K29" s="1066">
        <f t="shared" si="0"/>
        <v>1.2600000000000001E-3</v>
      </c>
      <c r="L29" s="1173">
        <f t="shared" si="4"/>
        <v>7.4649999999999999</v>
      </c>
      <c r="M29" s="1220">
        <f t="shared" si="5"/>
        <v>171605.49464999998</v>
      </c>
    </row>
    <row r="30" spans="2:13" x14ac:dyDescent="0.3">
      <c r="B30" s="1863" t="s">
        <v>37</v>
      </c>
      <c r="C30" s="1864"/>
      <c r="D30" s="1434">
        <f>SUM(D6:D29)</f>
        <v>0.25214868000000001</v>
      </c>
      <c r="E30" s="1434">
        <f>SUM(E6:E29)</f>
        <v>100.05899999999997</v>
      </c>
      <c r="F30" s="1435"/>
      <c r="G30" s="1455">
        <f>SUM(G6:G29)</f>
        <v>1166.7213966239999</v>
      </c>
      <c r="H30" s="1436"/>
      <c r="I30" s="1434">
        <f>SUM(I6:I29)</f>
        <v>1383.340782726</v>
      </c>
      <c r="J30" s="1437">
        <f>((G30/I30)*100)-100</f>
        <v>-15.659148404135948</v>
      </c>
      <c r="K30" s="1486"/>
      <c r="M30" s="1589">
        <f>SUM(M6:M29)</f>
        <v>6912361.2903159996</v>
      </c>
    </row>
    <row r="31" spans="2:13" x14ac:dyDescent="0.3">
      <c r="B31" s="991"/>
      <c r="C31" s="991"/>
      <c r="D31" s="1067"/>
      <c r="E31" s="993"/>
      <c r="F31" s="993"/>
      <c r="G31" s="993"/>
      <c r="I31" s="994"/>
      <c r="J31" s="1051"/>
    </row>
    <row r="32" spans="2:13" hidden="1" x14ac:dyDescent="0.3">
      <c r="B32" s="1847" t="s">
        <v>782</v>
      </c>
      <c r="C32" s="1847"/>
      <c r="D32" s="1847"/>
      <c r="E32" s="1847"/>
      <c r="F32" s="1847"/>
      <c r="G32" s="1847"/>
      <c r="H32" s="1847"/>
      <c r="I32" s="1847"/>
    </row>
    <row r="33" spans="1:11" hidden="1" x14ac:dyDescent="0.3">
      <c r="D33" s="691">
        <v>42.35</v>
      </c>
    </row>
    <row r="34" spans="1:11" s="979" customFormat="1" ht="42.75" hidden="1" x14ac:dyDescent="0.25">
      <c r="B34" s="1011" t="s">
        <v>0</v>
      </c>
      <c r="C34" s="1011" t="s">
        <v>1</v>
      </c>
      <c r="D34" s="1011">
        <v>33.74</v>
      </c>
      <c r="E34" s="1011" t="s">
        <v>3</v>
      </c>
      <c r="F34" s="1068" t="s">
        <v>786</v>
      </c>
      <c r="G34" s="1069" t="s">
        <v>747</v>
      </c>
      <c r="H34" s="963" t="s">
        <v>771</v>
      </c>
      <c r="I34" s="963" t="s">
        <v>772</v>
      </c>
      <c r="J34" s="963" t="s">
        <v>3</v>
      </c>
      <c r="K34" s="1065">
        <v>1493.51</v>
      </c>
    </row>
    <row r="35" spans="1:11" hidden="1" x14ac:dyDescent="0.3">
      <c r="A35" s="527" t="s">
        <v>793</v>
      </c>
      <c r="B35" s="553" t="s">
        <v>6</v>
      </c>
      <c r="C35" s="553" t="s">
        <v>77</v>
      </c>
      <c r="D35" s="554">
        <v>49.91</v>
      </c>
      <c r="E35" s="555">
        <f>(D35*100)/$D$53</f>
        <v>7.8295315352956196</v>
      </c>
      <c r="F35" s="72">
        <v>6000</v>
      </c>
      <c r="G35" s="555">
        <f t="shared" ref="G35:G51" si="6">F35*D35</f>
        <v>299460</v>
      </c>
      <c r="H35" s="562">
        <v>6191</v>
      </c>
      <c r="I35" s="562">
        <f t="shared" ref="I35:I51" si="7">D35*H35</f>
        <v>308992.81</v>
      </c>
      <c r="J35" s="1070">
        <f>((F35/H35)*100)-100</f>
        <v>-3.0851235664674448</v>
      </c>
      <c r="K35" s="1066">
        <f>$K$34*E35%</f>
        <v>116.9348364327936</v>
      </c>
    </row>
    <row r="36" spans="1:11" hidden="1" x14ac:dyDescent="0.3">
      <c r="A36" s="527" t="s">
        <v>793</v>
      </c>
      <c r="B36" s="553" t="s">
        <v>4</v>
      </c>
      <c r="C36" s="553" t="s">
        <v>53</v>
      </c>
      <c r="D36" s="554">
        <v>49.34</v>
      </c>
      <c r="E36" s="555">
        <f t="shared" ref="E36:E51" si="8">(D36*100)/$D$53</f>
        <v>7.7401139240930847</v>
      </c>
      <c r="F36" s="561">
        <v>7</v>
      </c>
      <c r="G36" s="555">
        <f t="shared" si="6"/>
        <v>345.38</v>
      </c>
      <c r="H36" s="562">
        <v>7</v>
      </c>
      <c r="I36" s="562">
        <f t="shared" si="7"/>
        <v>345.38</v>
      </c>
      <c r="J36" s="562">
        <f t="shared" ref="J36:J51" si="9">((F36/H36)*100)-100</f>
        <v>0</v>
      </c>
      <c r="K36" s="1066">
        <f t="shared" ref="K36:K51" si="10">$K$34*E36%</f>
        <v>115.59937546772264</v>
      </c>
    </row>
    <row r="37" spans="1:11" hidden="1" x14ac:dyDescent="0.3">
      <c r="A37" s="527" t="s">
        <v>793</v>
      </c>
      <c r="B37" s="553" t="s">
        <v>8</v>
      </c>
      <c r="C37" s="553" t="s">
        <v>56</v>
      </c>
      <c r="D37" s="554">
        <v>43.31</v>
      </c>
      <c r="E37" s="555">
        <f t="shared" si="8"/>
        <v>6.7941697213715342</v>
      </c>
      <c r="F37" s="561">
        <v>1880</v>
      </c>
      <c r="G37" s="555">
        <f t="shared" si="6"/>
        <v>81422.8</v>
      </c>
      <c r="H37" s="562">
        <v>1676</v>
      </c>
      <c r="I37" s="562">
        <f t="shared" si="7"/>
        <v>72587.56</v>
      </c>
      <c r="J37" s="1071">
        <f t="shared" si="9"/>
        <v>12.171837708830552</v>
      </c>
      <c r="K37" s="1066">
        <f t="shared" si="10"/>
        <v>101.47160420565601</v>
      </c>
    </row>
    <row r="38" spans="1:11" hidden="1" x14ac:dyDescent="0.3">
      <c r="A38" s="527" t="s">
        <v>793</v>
      </c>
      <c r="B38" s="553" t="s">
        <v>780</v>
      </c>
      <c r="C38" s="553" t="s">
        <v>781</v>
      </c>
      <c r="D38" s="554">
        <v>38.53</v>
      </c>
      <c r="E38" s="555">
        <f t="shared" si="8"/>
        <v>6.0443167712871215</v>
      </c>
      <c r="F38" s="88">
        <v>3345</v>
      </c>
      <c r="G38" s="555">
        <f t="shared" si="6"/>
        <v>128882.85</v>
      </c>
      <c r="H38" s="562">
        <v>3181</v>
      </c>
      <c r="I38" s="562">
        <f t="shared" si="7"/>
        <v>122563.93000000001</v>
      </c>
      <c r="J38" s="1071">
        <f t="shared" si="9"/>
        <v>5.1556114429424724</v>
      </c>
      <c r="K38" s="1066">
        <f t="shared" si="10"/>
        <v>90.272475410850291</v>
      </c>
    </row>
    <row r="39" spans="1:11" hidden="1" x14ac:dyDescent="0.3">
      <c r="A39" s="527" t="s">
        <v>793</v>
      </c>
      <c r="B39" s="553" t="s">
        <v>9</v>
      </c>
      <c r="C39" s="553" t="s">
        <v>10</v>
      </c>
      <c r="D39" s="554">
        <v>41.08</v>
      </c>
      <c r="E39" s="555">
        <f t="shared" si="8"/>
        <v>6.4443429266668817</v>
      </c>
      <c r="F39" s="184">
        <v>7515</v>
      </c>
      <c r="G39" s="555">
        <f t="shared" si="6"/>
        <v>308716.2</v>
      </c>
      <c r="H39" s="539">
        <v>6864.78</v>
      </c>
      <c r="I39" s="562">
        <f t="shared" si="7"/>
        <v>282005.16239999997</v>
      </c>
      <c r="J39" s="1071">
        <f t="shared" si="9"/>
        <v>9.4718257540664155</v>
      </c>
      <c r="K39" s="1066">
        <f t="shared" si="10"/>
        <v>96.246906044062555</v>
      </c>
    </row>
    <row r="40" spans="1:11" hidden="1" x14ac:dyDescent="0.3">
      <c r="A40" s="527" t="s">
        <v>793</v>
      </c>
      <c r="B40" s="553" t="s">
        <v>133</v>
      </c>
      <c r="C40" s="553" t="s">
        <v>118</v>
      </c>
      <c r="D40" s="554">
        <v>37.909999999999997</v>
      </c>
      <c r="E40" s="555">
        <f t="shared" si="8"/>
        <v>5.9470555099791005</v>
      </c>
      <c r="F40" s="70">
        <v>8137</v>
      </c>
      <c r="G40" s="555">
        <f t="shared" si="6"/>
        <v>308473.67</v>
      </c>
      <c r="H40" s="539">
        <v>7671.41</v>
      </c>
      <c r="I40" s="562">
        <f t="shared" si="7"/>
        <v>290823.1531</v>
      </c>
      <c r="J40" s="1071">
        <f t="shared" si="9"/>
        <v>6.0691580817607189</v>
      </c>
      <c r="K40" s="1066">
        <f t="shared" si="10"/>
        <v>88.819868747088861</v>
      </c>
    </row>
    <row r="41" spans="1:11" hidden="1" x14ac:dyDescent="0.3">
      <c r="A41" s="527" t="s">
        <v>793</v>
      </c>
      <c r="B41" s="553" t="s">
        <v>11</v>
      </c>
      <c r="C41" s="553" t="s">
        <v>12</v>
      </c>
      <c r="D41" s="554">
        <v>7.5615980030864912E-3</v>
      </c>
      <c r="E41" s="555">
        <f t="shared" si="8"/>
        <v>1.186210579490965E-3</v>
      </c>
      <c r="F41" s="561">
        <v>15950</v>
      </c>
      <c r="G41" s="555">
        <f t="shared" si="6"/>
        <v>120.60748814922954</v>
      </c>
      <c r="H41" s="560">
        <v>17667.560000000001</v>
      </c>
      <c r="I41" s="562">
        <f t="shared" si="7"/>
        <v>133.59498641541077</v>
      </c>
      <c r="J41" s="1070">
        <f t="shared" si="9"/>
        <v>-9.7215461557793077</v>
      </c>
      <c r="K41" s="1066">
        <f t="shared" si="10"/>
        <v>1.7716173625755512E-2</v>
      </c>
    </row>
    <row r="42" spans="1:11" hidden="1" x14ac:dyDescent="0.3">
      <c r="A42" s="527" t="s">
        <v>793</v>
      </c>
      <c r="B42" s="553" t="s">
        <v>17</v>
      </c>
      <c r="C42" s="553" t="s">
        <v>18</v>
      </c>
      <c r="D42" s="554">
        <v>25.59</v>
      </c>
      <c r="E42" s="555">
        <f t="shared" si="8"/>
        <v>4.0143801239874755</v>
      </c>
      <c r="F42" s="561">
        <v>878</v>
      </c>
      <c r="G42" s="555">
        <f t="shared" si="6"/>
        <v>22468.02</v>
      </c>
      <c r="H42" s="562">
        <v>878</v>
      </c>
      <c r="I42" s="533">
        <f t="shared" si="7"/>
        <v>22468.02</v>
      </c>
      <c r="J42" s="562">
        <f t="shared" si="9"/>
        <v>0</v>
      </c>
      <c r="K42" s="1066">
        <f t="shared" si="10"/>
        <v>59.955168589765343</v>
      </c>
    </row>
    <row r="43" spans="1:11" hidden="1" x14ac:dyDescent="0.3">
      <c r="A43" s="527" t="s">
        <v>793</v>
      </c>
      <c r="B43" s="553" t="s">
        <v>278</v>
      </c>
      <c r="C43" s="553" t="s">
        <v>279</v>
      </c>
      <c r="D43" s="554">
        <v>23.17</v>
      </c>
      <c r="E43" s="555">
        <f t="shared" si="8"/>
        <v>3.6347474588819777</v>
      </c>
      <c r="F43" s="184">
        <v>33000</v>
      </c>
      <c r="G43" s="555">
        <f t="shared" si="6"/>
        <v>764610</v>
      </c>
      <c r="H43" s="562">
        <v>33000</v>
      </c>
      <c r="I43" s="562">
        <f t="shared" si="7"/>
        <v>764610</v>
      </c>
      <c r="J43" s="562">
        <f t="shared" si="9"/>
        <v>0</v>
      </c>
      <c r="K43" s="1066">
        <f t="shared" si="10"/>
        <v>54.285316773148224</v>
      </c>
    </row>
    <row r="44" spans="1:11" hidden="1" x14ac:dyDescent="0.3">
      <c r="A44" s="527" t="s">
        <v>793</v>
      </c>
      <c r="B44" s="553" t="s">
        <v>25</v>
      </c>
      <c r="C44" s="553" t="s">
        <v>26</v>
      </c>
      <c r="D44" s="554">
        <v>7.5599105230590247E-4</v>
      </c>
      <c r="E44" s="555">
        <f t="shared" si="8"/>
        <v>1.185945859433056E-4</v>
      </c>
      <c r="F44" s="562">
        <v>68141</v>
      </c>
      <c r="G44" s="555">
        <f t="shared" si="6"/>
        <v>51.513986295176501</v>
      </c>
      <c r="H44" s="88">
        <v>66982.33</v>
      </c>
      <c r="I44" s="562">
        <f t="shared" si="7"/>
        <v>50.638042142601222</v>
      </c>
      <c r="J44" s="1071">
        <f t="shared" si="9"/>
        <v>1.7298144152345856</v>
      </c>
      <c r="K44" s="1066">
        <f t="shared" si="10"/>
        <v>1.7712220005218636E-3</v>
      </c>
    </row>
    <row r="45" spans="1:11" hidden="1" x14ac:dyDescent="0.3">
      <c r="A45" s="527" t="s">
        <v>793</v>
      </c>
      <c r="B45" s="553" t="s">
        <v>78</v>
      </c>
      <c r="C45" s="553" t="s">
        <v>79</v>
      </c>
      <c r="D45" s="554">
        <v>37.630000000000003</v>
      </c>
      <c r="E45" s="555">
        <f t="shared" si="8"/>
        <v>5.9031310693883832</v>
      </c>
      <c r="F45" s="184">
        <v>44693</v>
      </c>
      <c r="G45" s="555">
        <f t="shared" si="6"/>
        <v>1681797.59</v>
      </c>
      <c r="H45" s="562">
        <v>69317</v>
      </c>
      <c r="I45" s="562">
        <f t="shared" si="7"/>
        <v>2608398.71</v>
      </c>
      <c r="J45" s="1070">
        <f t="shared" si="9"/>
        <v>-35.523753191857693</v>
      </c>
      <c r="K45" s="1066">
        <f t="shared" si="10"/>
        <v>88.163852834422443</v>
      </c>
    </row>
    <row r="46" spans="1:11" hidden="1" x14ac:dyDescent="0.3">
      <c r="A46" s="527" t="s">
        <v>793</v>
      </c>
      <c r="B46" s="553" t="s">
        <v>80</v>
      </c>
      <c r="C46" s="553" t="s">
        <v>81</v>
      </c>
      <c r="D46" s="554">
        <v>49.82</v>
      </c>
      <c r="E46" s="555">
        <f t="shared" si="8"/>
        <v>7.8154129651057458</v>
      </c>
      <c r="F46" s="70">
        <v>29700</v>
      </c>
      <c r="G46" s="555">
        <f t="shared" si="6"/>
        <v>1479654</v>
      </c>
      <c r="H46" s="562">
        <v>21400</v>
      </c>
      <c r="I46" s="562">
        <f t="shared" si="7"/>
        <v>1066148</v>
      </c>
      <c r="J46" s="1071">
        <f t="shared" si="9"/>
        <v>38.785046728971963</v>
      </c>
      <c r="K46" s="1066">
        <f t="shared" si="10"/>
        <v>116.72397417515083</v>
      </c>
    </row>
    <row r="47" spans="1:11" hidden="1" x14ac:dyDescent="0.3">
      <c r="A47" s="527" t="s">
        <v>793</v>
      </c>
      <c r="B47" s="553" t="s">
        <v>29</v>
      </c>
      <c r="C47" s="553" t="s">
        <v>30</v>
      </c>
      <c r="D47" s="554">
        <v>36.79</v>
      </c>
      <c r="E47" s="555">
        <f t="shared" si="8"/>
        <v>5.7713577476162259</v>
      </c>
      <c r="F47" s="561">
        <v>2500</v>
      </c>
      <c r="G47" s="555">
        <f t="shared" si="6"/>
        <v>91975</v>
      </c>
      <c r="H47" s="562">
        <v>2500</v>
      </c>
      <c r="I47" s="562">
        <f t="shared" si="7"/>
        <v>91975</v>
      </c>
      <c r="J47" s="562">
        <f t="shared" si="9"/>
        <v>0</v>
      </c>
      <c r="K47" s="1066">
        <f t="shared" si="10"/>
        <v>86.195805096423086</v>
      </c>
    </row>
    <row r="48" spans="1:11" hidden="1" x14ac:dyDescent="0.3">
      <c r="A48" s="527" t="s">
        <v>793</v>
      </c>
      <c r="B48" s="553" t="s">
        <v>61</v>
      </c>
      <c r="C48" s="553" t="s">
        <v>62</v>
      </c>
      <c r="D48" s="554">
        <v>55.99</v>
      </c>
      <c r="E48" s="555">
        <f t="shared" si="8"/>
        <v>8.7833193881226546</v>
      </c>
      <c r="F48" s="533">
        <v>30713</v>
      </c>
      <c r="G48" s="555">
        <f t="shared" si="6"/>
        <v>1719620.87</v>
      </c>
      <c r="H48" s="1072">
        <v>30713</v>
      </c>
      <c r="I48" s="562">
        <f t="shared" si="7"/>
        <v>1719620.87</v>
      </c>
      <c r="J48" s="562">
        <f t="shared" si="9"/>
        <v>0</v>
      </c>
      <c r="K48" s="1066">
        <f t="shared" si="10"/>
        <v>131.17975339355064</v>
      </c>
    </row>
    <row r="49" spans="1:11" hidden="1" x14ac:dyDescent="0.3">
      <c r="A49" s="527" t="s">
        <v>793</v>
      </c>
      <c r="B49" s="553" t="s">
        <v>67</v>
      </c>
      <c r="C49" s="553" t="s">
        <v>68</v>
      </c>
      <c r="D49" s="554">
        <v>51.65</v>
      </c>
      <c r="E49" s="555">
        <f t="shared" si="8"/>
        <v>8.1024905589665153</v>
      </c>
      <c r="F49" s="536">
        <v>69401</v>
      </c>
      <c r="G49" s="555">
        <f t="shared" si="6"/>
        <v>3584561.65</v>
      </c>
      <c r="H49" s="533">
        <v>69401</v>
      </c>
      <c r="I49" s="562">
        <f t="shared" si="7"/>
        <v>3584561.65</v>
      </c>
      <c r="J49" s="562">
        <f t="shared" si="9"/>
        <v>0</v>
      </c>
      <c r="K49" s="1066">
        <f t="shared" si="10"/>
        <v>121.01150674722081</v>
      </c>
    </row>
    <row r="50" spans="1:11" hidden="1" x14ac:dyDescent="0.3">
      <c r="A50" s="527" t="s">
        <v>793</v>
      </c>
      <c r="B50" s="553" t="s">
        <v>31</v>
      </c>
      <c r="C50" s="553" t="s">
        <v>32</v>
      </c>
      <c r="D50" s="554">
        <v>47.57</v>
      </c>
      <c r="E50" s="555">
        <f t="shared" si="8"/>
        <v>7.4624487103588981</v>
      </c>
      <c r="F50" s="88">
        <v>121899</v>
      </c>
      <c r="G50" s="555">
        <f t="shared" si="6"/>
        <v>5798735.4299999997</v>
      </c>
      <c r="H50" s="88">
        <v>121899</v>
      </c>
      <c r="I50" s="562">
        <f t="shared" si="7"/>
        <v>5798735.4299999997</v>
      </c>
      <c r="J50" s="562">
        <f t="shared" si="9"/>
        <v>0</v>
      </c>
      <c r="K50" s="1066">
        <f t="shared" si="10"/>
        <v>111.45241773408119</v>
      </c>
    </row>
    <row r="51" spans="1:11" hidden="1" x14ac:dyDescent="0.3">
      <c r="A51" s="527" t="s">
        <v>793</v>
      </c>
      <c r="B51" s="553" t="s">
        <v>33</v>
      </c>
      <c r="C51" s="553" t="s">
        <v>34</v>
      </c>
      <c r="D51" s="554">
        <v>49.16</v>
      </c>
      <c r="E51" s="555">
        <f t="shared" si="8"/>
        <v>7.7118767837133371</v>
      </c>
      <c r="F51" s="1072">
        <v>26800</v>
      </c>
      <c r="G51" s="555">
        <f t="shared" si="6"/>
        <v>1317488</v>
      </c>
      <c r="H51" s="1072">
        <v>26800</v>
      </c>
      <c r="I51" s="562">
        <f t="shared" si="7"/>
        <v>1317488</v>
      </c>
      <c r="J51" s="562">
        <f t="shared" si="9"/>
        <v>0</v>
      </c>
      <c r="K51" s="1066">
        <f t="shared" si="10"/>
        <v>115.17765095243705</v>
      </c>
    </row>
    <row r="52" spans="1:11" hidden="1" x14ac:dyDescent="0.3">
      <c r="B52" s="985"/>
      <c r="C52" s="985"/>
      <c r="D52" s="986">
        <v>39.06</v>
      </c>
      <c r="E52" s="985"/>
      <c r="F52" s="985"/>
      <c r="G52" s="1045"/>
      <c r="H52" s="1045"/>
      <c r="I52" s="985"/>
      <c r="J52" s="985"/>
    </row>
    <row r="53" spans="1:11" hidden="1" x14ac:dyDescent="0.3">
      <c r="B53" s="1865" t="s">
        <v>37</v>
      </c>
      <c r="C53" s="1865"/>
      <c r="D53" s="987">
        <f>SUM(D35:D51)</f>
        <v>637.45831758905547</v>
      </c>
      <c r="E53" s="988">
        <f>SUM(E35:E51)</f>
        <v>99.999999999999972</v>
      </c>
      <c r="F53" s="988"/>
      <c r="G53" s="1073">
        <f>SUM(G35:G51)</f>
        <v>17588383.581474446</v>
      </c>
      <c r="H53" s="989"/>
      <c r="I53" s="990">
        <f>SUM(I35:I51)</f>
        <v>18051507.908528559</v>
      </c>
      <c r="J53" s="1074">
        <f>((G53/I53)*100)-100</f>
        <v>-2.5655714159774305</v>
      </c>
    </row>
    <row r="54" spans="1:11" hidden="1" x14ac:dyDescent="0.3">
      <c r="B54" s="991"/>
      <c r="C54" s="991"/>
      <c r="D54" s="1067">
        <v>47.86</v>
      </c>
      <c r="E54" s="993"/>
      <c r="F54" s="993"/>
      <c r="G54" s="993"/>
      <c r="I54" s="994"/>
    </row>
    <row r="55" spans="1:11" x14ac:dyDescent="0.3">
      <c r="B55" s="991"/>
      <c r="C55" s="991"/>
      <c r="D55" s="1067"/>
      <c r="E55" s="993"/>
      <c r="F55" s="993"/>
      <c r="G55" s="993"/>
      <c r="I55" s="994"/>
    </row>
    <row r="56" spans="1:11" x14ac:dyDescent="0.3">
      <c r="B56" s="1849" t="s">
        <v>50</v>
      </c>
      <c r="C56" s="1850"/>
      <c r="D56" s="693"/>
      <c r="E56" s="1075"/>
      <c r="F56" s="1075"/>
      <c r="G56" s="1075"/>
      <c r="H56" s="1075"/>
      <c r="I56" s="1075"/>
    </row>
    <row r="57" spans="1:11" x14ac:dyDescent="0.3">
      <c r="B57" s="1390" t="s">
        <v>38</v>
      </c>
      <c r="C57" s="997" t="s">
        <v>82</v>
      </c>
      <c r="D57" s="691">
        <f>+C59+(C59*C65%)</f>
        <v>252</v>
      </c>
    </row>
    <row r="58" spans="1:11" x14ac:dyDescent="0.3">
      <c r="B58" s="1390" t="s">
        <v>39</v>
      </c>
      <c r="C58" s="997" t="s">
        <v>280</v>
      </c>
    </row>
    <row r="59" spans="1:11" x14ac:dyDescent="0.3">
      <c r="B59" s="1390" t="s">
        <v>40</v>
      </c>
      <c r="C59" s="997">
        <v>225</v>
      </c>
    </row>
    <row r="60" spans="1:11" x14ac:dyDescent="0.3">
      <c r="B60" s="1390" t="s">
        <v>41</v>
      </c>
      <c r="C60" s="997">
        <v>0</v>
      </c>
    </row>
    <row r="61" spans="1:11" x14ac:dyDescent="0.3">
      <c r="B61" s="1390" t="s">
        <v>42</v>
      </c>
      <c r="C61" s="527">
        <v>0.5</v>
      </c>
    </row>
    <row r="62" spans="1:11" x14ac:dyDescent="0.3">
      <c r="B62" s="1390" t="s">
        <v>43</v>
      </c>
      <c r="C62" s="997">
        <v>0.5</v>
      </c>
    </row>
    <row r="63" spans="1:11" x14ac:dyDescent="0.3">
      <c r="B63" s="1390" t="s">
        <v>44</v>
      </c>
      <c r="C63" s="997">
        <v>7</v>
      </c>
    </row>
    <row r="64" spans="1:11" x14ac:dyDescent="0.3">
      <c r="B64" s="1390" t="s">
        <v>45</v>
      </c>
      <c r="C64" s="997">
        <v>4</v>
      </c>
    </row>
    <row r="65" spans="2:11" x14ac:dyDescent="0.3">
      <c r="B65" s="1390" t="s">
        <v>46</v>
      </c>
      <c r="C65" s="997">
        <v>12</v>
      </c>
    </row>
    <row r="67" spans="2:11" x14ac:dyDescent="0.3">
      <c r="C67" s="1556" t="s">
        <v>1243</v>
      </c>
      <c r="E67" s="1561">
        <f>'MNESA APANADA 240 G 2 UNDS'!H61</f>
        <v>0.53818581709165314</v>
      </c>
    </row>
    <row r="68" spans="2:11" x14ac:dyDescent="0.3">
      <c r="B68" s="1851" t="s">
        <v>47</v>
      </c>
      <c r="C68" s="1852"/>
      <c r="D68" s="1852"/>
      <c r="E68" s="1852"/>
      <c r="F68" s="1852"/>
      <c r="G68" s="1852"/>
      <c r="H68" s="1852"/>
      <c r="I68" s="1852"/>
    </row>
    <row r="69" spans="2:11" ht="28.5" x14ac:dyDescent="0.3">
      <c r="B69" s="1391" t="s">
        <v>0</v>
      </c>
      <c r="C69" s="1391" t="s">
        <v>1</v>
      </c>
      <c r="D69" s="1393">
        <v>49.69</v>
      </c>
      <c r="E69" s="1335" t="str">
        <f>+'CIF Y PV'!$F$4</f>
        <v xml:space="preserve">JUN-COP/UMB </v>
      </c>
      <c r="F69" s="1335" t="str">
        <f>+'CIF Y PV'!$G$4</f>
        <v>JUN-COP/APP</v>
      </c>
      <c r="G69" s="1335" t="str">
        <f>+'CIF Y PV'!$H$4</f>
        <v xml:space="preserve">MAY-COP/UMB </v>
      </c>
      <c r="H69" s="1335" t="str">
        <f>+'CIF Y PV'!$I$4</f>
        <v>MAY-COP/APP</v>
      </c>
      <c r="I69" s="1487" t="s">
        <v>3</v>
      </c>
      <c r="J69" s="1076">
        <v>5470</v>
      </c>
    </row>
    <row r="70" spans="2:11" x14ac:dyDescent="0.3">
      <c r="B70" s="563">
        <v>1370001</v>
      </c>
      <c r="C70" s="563" t="s">
        <v>1062</v>
      </c>
      <c r="D70" s="1001">
        <v>3.5000000000000003E-2</v>
      </c>
      <c r="E70" s="582">
        <f>VLOOKUP(B70,[2]Hoja1!$C$2:$E$279,3,FALSE)</f>
        <v>3858.27</v>
      </c>
      <c r="F70" s="582">
        <f>E70*D70</f>
        <v>135.03945000000002</v>
      </c>
      <c r="G70" s="582">
        <v>4385.63</v>
      </c>
      <c r="H70" s="582">
        <f>G70*D70</f>
        <v>153.49705000000003</v>
      </c>
      <c r="I70" s="571">
        <f>((E70/G70)*100)-100</f>
        <v>-12.024726208093256</v>
      </c>
      <c r="J70" s="1076">
        <f>J69*D70</f>
        <v>191.45000000000002</v>
      </c>
    </row>
    <row r="71" spans="2:11" x14ac:dyDescent="0.3">
      <c r="B71" s="563">
        <v>1380002</v>
      </c>
      <c r="C71" s="563" t="s">
        <v>1051</v>
      </c>
      <c r="D71" s="1001">
        <v>7.0000000000000007E-2</v>
      </c>
      <c r="E71" s="582">
        <f>VLOOKUP(B71,[2]Hoja1!$C$2:$E$279,3,FALSE)</f>
        <v>73.33</v>
      </c>
      <c r="F71" s="582">
        <f>E71*D71</f>
        <v>5.1331000000000007</v>
      </c>
      <c r="G71" s="866">
        <v>76.61</v>
      </c>
      <c r="H71" s="582">
        <f>G71*D71</f>
        <v>5.3627000000000002</v>
      </c>
      <c r="I71" s="571">
        <f>((E71/G71)*100)-100</f>
        <v>-4.281425401383629</v>
      </c>
      <c r="J71" s="1076">
        <f>J69*D71</f>
        <v>382.90000000000003</v>
      </c>
    </row>
    <row r="72" spans="2:11" x14ac:dyDescent="0.3">
      <c r="B72" s="563">
        <v>1310002</v>
      </c>
      <c r="C72" s="563" t="s">
        <v>1189</v>
      </c>
      <c r="D72" s="1001">
        <v>4.7E-2</v>
      </c>
      <c r="E72" s="582">
        <f>VLOOKUP(B72,[2]Hoja1!$C$2:$E$279,3,FALSE)</f>
        <v>703.72</v>
      </c>
      <c r="F72" s="582">
        <f>E72*D72</f>
        <v>33.074840000000002</v>
      </c>
      <c r="G72" s="866">
        <v>666.86</v>
      </c>
      <c r="H72" s="582">
        <f>G72*D72</f>
        <v>31.342420000000001</v>
      </c>
      <c r="I72" s="571">
        <f>((E72/G72)*100)-100</f>
        <v>5.5273970548541058</v>
      </c>
      <c r="J72" s="1076">
        <f>J69*D72</f>
        <v>257.08999999999997</v>
      </c>
    </row>
    <row r="73" spans="2:11" x14ac:dyDescent="0.3">
      <c r="B73" s="563">
        <v>1320003</v>
      </c>
      <c r="C73" s="563" t="s">
        <v>919</v>
      </c>
      <c r="D73" s="1001">
        <v>4.7E-2</v>
      </c>
      <c r="E73" s="582">
        <f>VLOOKUP(B73,[2]Hoja1!$C$2:$E$279,3,FALSE)</f>
        <v>701.94</v>
      </c>
      <c r="F73" s="582">
        <f>E73*D73</f>
        <v>32.99118</v>
      </c>
      <c r="G73" s="582">
        <v>700.44</v>
      </c>
      <c r="H73" s="582">
        <f>G73*D73</f>
        <v>32.920680000000004</v>
      </c>
      <c r="I73" s="571">
        <f>((E73/G73)*100)-100</f>
        <v>0.21415110501969536</v>
      </c>
      <c r="J73" s="1076">
        <f>J69*D73</f>
        <v>257.08999999999997</v>
      </c>
    </row>
    <row r="74" spans="2:11" x14ac:dyDescent="0.3">
      <c r="B74" s="1391"/>
      <c r="C74" s="1391" t="s">
        <v>37</v>
      </c>
      <c r="D74" s="1393"/>
      <c r="E74" s="1393"/>
      <c r="F74" s="1393">
        <f>SUM(F70,F71,F72,F73)</f>
        <v>206.23857000000004</v>
      </c>
      <c r="G74" s="1393"/>
      <c r="H74" s="1393">
        <f>SUM(H70:H73)</f>
        <v>223.12285000000003</v>
      </c>
      <c r="I74" s="1439">
        <f>((F74/H74)*100)-100</f>
        <v>-7.5672572307139347</v>
      </c>
      <c r="J74" s="1076"/>
    </row>
    <row r="75" spans="2:11" x14ac:dyDescent="0.3">
      <c r="I75" s="1051"/>
      <c r="J75" s="691"/>
      <c r="K75" s="527"/>
    </row>
    <row r="76" spans="2:11" x14ac:dyDescent="0.3">
      <c r="H76" s="527" t="str">
        <f>+'CIF Y PV'!$G$1</f>
        <v>MAYO</v>
      </c>
      <c r="I76" s="1077"/>
      <c r="J76" s="1078"/>
      <c r="K76" s="1077"/>
    </row>
    <row r="77" spans="2:11" x14ac:dyDescent="0.3">
      <c r="B77" s="1807" t="s">
        <v>72</v>
      </c>
      <c r="C77" s="1807"/>
      <c r="E77" s="1005"/>
      <c r="F77" s="1005"/>
      <c r="G77" s="1005"/>
      <c r="H77" s="1005">
        <f>+F74+G30</f>
        <v>1372.9599666239999</v>
      </c>
      <c r="I77" s="1079"/>
      <c r="J77" s="1005"/>
      <c r="K77" s="1079"/>
    </row>
    <row r="78" spans="2:11" x14ac:dyDescent="0.3">
      <c r="B78" s="1808" t="s">
        <v>48</v>
      </c>
      <c r="C78" s="1809"/>
      <c r="E78" s="1005"/>
      <c r="F78" s="1005"/>
      <c r="G78" s="1005"/>
      <c r="H78" s="1005">
        <f>+('CIF Y PV'!C3/1000)*225</f>
        <v>425.25</v>
      </c>
      <c r="I78" s="1008"/>
      <c r="J78" s="1005"/>
      <c r="K78" s="1008"/>
    </row>
    <row r="79" spans="2:11" x14ac:dyDescent="0.3">
      <c r="B79" s="1808" t="s">
        <v>74</v>
      </c>
      <c r="C79" s="1809"/>
      <c r="E79" s="1005"/>
      <c r="F79" s="1005"/>
      <c r="G79" s="1005"/>
      <c r="H79" s="1005">
        <f>+H77+H78</f>
        <v>1798.2099666239999</v>
      </c>
      <c r="I79" s="1008"/>
      <c r="J79" s="1005"/>
      <c r="K79" s="1008"/>
    </row>
    <row r="80" spans="2:11" x14ac:dyDescent="0.3">
      <c r="B80" s="1807" t="s">
        <v>49</v>
      </c>
      <c r="C80" s="1807"/>
      <c r="E80" s="1005"/>
      <c r="F80" s="1005"/>
      <c r="G80" s="1005"/>
      <c r="H80" s="1005">
        <f>'CIF Y PV'!C67</f>
        <v>1385</v>
      </c>
      <c r="I80" s="1080"/>
      <c r="J80" s="1005"/>
      <c r="K80" s="1080"/>
    </row>
    <row r="81" spans="9:11" x14ac:dyDescent="0.3">
      <c r="I81" s="1081"/>
      <c r="J81" s="691"/>
      <c r="K81" s="1081"/>
    </row>
    <row r="82" spans="9:11" x14ac:dyDescent="0.3">
      <c r="J82" s="691"/>
      <c r="K82" s="527"/>
    </row>
  </sheetData>
  <autoFilter ref="B5:K5" xr:uid="{3322F644-8ECA-42F2-BF40-279BB3BA3910}">
    <sortState xmlns:xlrd2="http://schemas.microsoft.com/office/spreadsheetml/2017/richdata2" ref="B6:K23">
      <sortCondition descending="1" ref="E5"/>
    </sortState>
  </autoFilter>
  <mergeCells count="10">
    <mergeCell ref="B3:I3"/>
    <mergeCell ref="B30:C30"/>
    <mergeCell ref="B32:I32"/>
    <mergeCell ref="B78:C78"/>
    <mergeCell ref="B53:C53"/>
    <mergeCell ref="B79:C79"/>
    <mergeCell ref="B80:C80"/>
    <mergeCell ref="B56:C56"/>
    <mergeCell ref="B68:I68"/>
    <mergeCell ref="B77:C77"/>
  </mergeCells>
  <pageMargins left="0.7" right="0.7" top="0.75" bottom="0.75" header="0.3" footer="0.3"/>
  <pageSetup scale="37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C81F-290F-4BCF-9AB8-BE4EEC899209}">
  <sheetPr codeName="Hoja72"/>
  <dimension ref="B2:K45"/>
  <sheetViews>
    <sheetView view="pageBreakPreview" topLeftCell="A35" zoomScale="90" zoomScaleNormal="100" zoomScaleSheetLayoutView="90" workbookViewId="0">
      <selection activeCell="D5" sqref="D5:D20"/>
    </sheetView>
  </sheetViews>
  <sheetFormatPr baseColWidth="10" defaultColWidth="11.5703125" defaultRowHeight="16.5" x14ac:dyDescent="0.3"/>
  <cols>
    <col min="1" max="1" width="15.42578125" style="527" customWidth="1"/>
    <col min="2" max="2" width="24.28515625" style="527" bestFit="1" customWidth="1"/>
    <col min="3" max="3" width="58.28515625" style="527" customWidth="1"/>
    <col min="4" max="4" width="13.140625" style="693" customWidth="1"/>
    <col min="5" max="5" width="12.7109375" style="527" customWidth="1"/>
    <col min="6" max="6" width="13.140625" style="527" customWidth="1"/>
    <col min="7" max="7" width="12" style="527" customWidth="1"/>
    <col min="8" max="8" width="11.85546875" style="527" bestFit="1" customWidth="1"/>
    <col min="9" max="9" width="12.42578125" style="527" bestFit="1" customWidth="1"/>
    <col min="10" max="10" width="12.7109375" style="527" bestFit="1" customWidth="1"/>
    <col min="11" max="11" width="13.42578125" style="527" bestFit="1" customWidth="1"/>
    <col min="12" max="16384" width="11.5703125" style="527"/>
  </cols>
  <sheetData>
    <row r="2" spans="2:11" x14ac:dyDescent="0.3">
      <c r="B2" s="1847" t="s">
        <v>357</v>
      </c>
      <c r="C2" s="1847"/>
      <c r="D2" s="1847"/>
      <c r="E2" s="1847"/>
      <c r="F2" s="1847"/>
      <c r="G2" s="1847"/>
      <c r="H2" s="1847"/>
      <c r="I2" s="1847"/>
    </row>
    <row r="3" spans="2:11" ht="10.15" customHeight="1" x14ac:dyDescent="0.3">
      <c r="B3" s="1847"/>
      <c r="C3" s="1847"/>
      <c r="D3" s="1847"/>
      <c r="E3" s="1847"/>
      <c r="F3" s="1847"/>
      <c r="G3" s="1847"/>
      <c r="H3" s="1847"/>
      <c r="I3" s="1847"/>
    </row>
    <row r="4" spans="2:11" s="979" customFormat="1" ht="28.5" x14ac:dyDescent="0.25">
      <c r="B4" s="1348" t="s">
        <v>0</v>
      </c>
      <c r="C4" s="1348" t="s">
        <v>1</v>
      </c>
      <c r="D4" s="1348" t="s">
        <v>2</v>
      </c>
      <c r="E4" s="1348" t="s">
        <v>3</v>
      </c>
      <c r="F4" s="1335" t="str">
        <f>+'CIF Y PV'!$F$2</f>
        <v xml:space="preserve">JUN-COP/Kg </v>
      </c>
      <c r="G4" s="1335" t="str">
        <f>+'CIF Y PV'!$G$2</f>
        <v>JUN-COP/APP</v>
      </c>
      <c r="H4" s="1335" t="str">
        <f>+'CIF Y PV'!$H$2</f>
        <v xml:space="preserve">MAY-COP/Kg </v>
      </c>
      <c r="I4" s="1335" t="str">
        <f>+'CIF Y PV'!$I$2</f>
        <v>MAY-COP/APP</v>
      </c>
      <c r="J4" s="1357" t="s">
        <v>3</v>
      </c>
      <c r="K4" s="1440">
        <f>+D23/1000</f>
        <v>0.232875</v>
      </c>
    </row>
    <row r="5" spans="2:11" x14ac:dyDescent="0.3">
      <c r="B5" s="74">
        <v>1112001</v>
      </c>
      <c r="C5" s="74" t="s">
        <v>797</v>
      </c>
      <c r="D5" s="562">
        <v>6.6376563850170947E-2</v>
      </c>
      <c r="E5" s="1023">
        <v>28.503086999536638</v>
      </c>
      <c r="F5" s="982">
        <f>VLOOKUP(B5,[2]Hoja1!$C$2:$E$279,3,FALSE)</f>
        <v>3663.96</v>
      </c>
      <c r="G5" s="1023">
        <f>F5*D5</f>
        <v>243.20107488447235</v>
      </c>
      <c r="H5" s="982">
        <v>4222.72</v>
      </c>
      <c r="I5" s="574">
        <f>H5*D5</f>
        <v>280.28964370139386</v>
      </c>
      <c r="J5" s="561">
        <f>((F5/H5)*100)-100</f>
        <v>-13.232229463473786</v>
      </c>
      <c r="K5" s="693">
        <f>$K$4*E5%</f>
        <v>6.6376563850170947E-2</v>
      </c>
    </row>
    <row r="6" spans="2:11" x14ac:dyDescent="0.3">
      <c r="B6" s="74">
        <v>1121009</v>
      </c>
      <c r="C6" s="527" t="s">
        <v>1272</v>
      </c>
      <c r="D6" s="562">
        <v>5.8218750000000007E-3</v>
      </c>
      <c r="E6" s="1023">
        <v>2.5</v>
      </c>
      <c r="F6" s="982">
        <f>VLOOKUP(B6,[2]Hoja1!$C$2:$E$279,3,FALSE)</f>
        <v>8741.6200000000008</v>
      </c>
      <c r="G6" s="1023">
        <f>F6*D6</f>
        <v>50.892618937500011</v>
      </c>
      <c r="H6" s="1643"/>
      <c r="I6" s="574"/>
      <c r="J6" s="561"/>
      <c r="K6" s="693">
        <f>$K$4*E6%</f>
        <v>5.8218750000000007E-3</v>
      </c>
    </row>
    <row r="7" spans="2:11" x14ac:dyDescent="0.3">
      <c r="B7" s="74">
        <v>1122007</v>
      </c>
      <c r="C7" s="1168" t="s">
        <v>1067</v>
      </c>
      <c r="D7" s="562">
        <v>7.0095374999999994E-3</v>
      </c>
      <c r="E7" s="1023">
        <v>3.01</v>
      </c>
      <c r="F7" s="982">
        <f>VLOOKUP(B7,[2]Hoja1!$C$2:$E$279,3,FALSE)</f>
        <v>11229.33</v>
      </c>
      <c r="G7" s="1023">
        <f t="shared" ref="G7:G20" si="0">F7*D7</f>
        <v>78.712409734874996</v>
      </c>
      <c r="H7" s="73">
        <v>12498.76</v>
      </c>
      <c r="I7" s="574">
        <f t="shared" ref="I7:I20" si="1">H7*D7</f>
        <v>87.610526923499989</v>
      </c>
      <c r="J7" s="561">
        <f>((F7/H7)*100)-100</f>
        <v>-10.156447519593954</v>
      </c>
      <c r="K7" s="693">
        <f t="shared" ref="K7:K20" si="2">$K$4*E7%</f>
        <v>7.0095374999999994E-3</v>
      </c>
    </row>
    <row r="8" spans="2:11" x14ac:dyDescent="0.3">
      <c r="B8" s="74">
        <v>2906001</v>
      </c>
      <c r="C8" s="74" t="s">
        <v>831</v>
      </c>
      <c r="D8" s="562">
        <v>4.0706550000000001E-2</v>
      </c>
      <c r="E8" s="1023">
        <v>17.48</v>
      </c>
      <c r="F8" s="982">
        <f>VLOOKUP(B8,[2]Hoja1!$C$2:$E$279,3,FALSE)</f>
        <v>1956.71</v>
      </c>
      <c r="G8" s="1023">
        <f t="shared" si="0"/>
        <v>79.650913450499999</v>
      </c>
      <c r="H8" s="982">
        <v>2033.73</v>
      </c>
      <c r="I8" s="574">
        <f t="shared" si="1"/>
        <v>82.786131931500009</v>
      </c>
      <c r="J8" s="561">
        <f t="shared" ref="J8:J20" si="3">((F8/H8)*100)-100</f>
        <v>-3.7871300516784459</v>
      </c>
      <c r="K8" s="693">
        <f t="shared" si="2"/>
        <v>4.0706550000000001E-2</v>
      </c>
    </row>
    <row r="9" spans="2:11" x14ac:dyDescent="0.3">
      <c r="B9" s="74">
        <v>0</v>
      </c>
      <c r="C9" s="74" t="s">
        <v>823</v>
      </c>
      <c r="D9" s="562">
        <v>1.8664763121313446E-2</v>
      </c>
      <c r="E9" s="1023">
        <v>8.0149278030331494</v>
      </c>
      <c r="F9" s="982">
        <v>0</v>
      </c>
      <c r="G9" s="1023">
        <f t="shared" si="0"/>
        <v>0</v>
      </c>
      <c r="H9" s="1082">
        <v>0</v>
      </c>
      <c r="I9" s="574">
        <f t="shared" si="1"/>
        <v>0</v>
      </c>
      <c r="J9" s="561" t="e">
        <f t="shared" si="3"/>
        <v>#DIV/0!</v>
      </c>
      <c r="K9" s="693">
        <f t="shared" si="2"/>
        <v>1.8664763121313446E-2</v>
      </c>
    </row>
    <row r="10" spans="2:11" x14ac:dyDescent="0.3">
      <c r="B10" s="74">
        <v>1131002</v>
      </c>
      <c r="C10" s="74" t="s">
        <v>663</v>
      </c>
      <c r="D10" s="562">
        <v>6.01981875E-2</v>
      </c>
      <c r="E10" s="1023">
        <v>25.85</v>
      </c>
      <c r="F10" s="982">
        <f>VLOOKUP(B10,[2]Hoja1!$C$2:$E$279,3,FALSE)</f>
        <v>0</v>
      </c>
      <c r="G10" s="1023">
        <f t="shared" si="0"/>
        <v>0</v>
      </c>
      <c r="H10" s="88">
        <v>0</v>
      </c>
      <c r="I10" s="574">
        <f t="shared" si="1"/>
        <v>0</v>
      </c>
      <c r="J10" s="561" t="e">
        <f t="shared" si="3"/>
        <v>#DIV/0!</v>
      </c>
      <c r="K10" s="693">
        <f t="shared" si="2"/>
        <v>6.01981875E-2</v>
      </c>
    </row>
    <row r="11" spans="2:11" x14ac:dyDescent="0.3">
      <c r="B11" s="74">
        <v>1210005</v>
      </c>
      <c r="C11" s="74" t="s">
        <v>1155</v>
      </c>
      <c r="D11" s="562">
        <v>1.9328625E-3</v>
      </c>
      <c r="E11" s="1023">
        <v>0.83</v>
      </c>
      <c r="F11" s="982">
        <f>VLOOKUP(B11,[2]Hoja1!$C$2:$E$279,3,FALSE)</f>
        <v>1356</v>
      </c>
      <c r="G11" s="1023">
        <f t="shared" si="0"/>
        <v>2.6209615500000001</v>
      </c>
      <c r="H11" s="1092"/>
      <c r="I11" s="574"/>
      <c r="J11" s="561"/>
      <c r="K11" s="693">
        <f t="shared" si="2"/>
        <v>1.9328625E-3</v>
      </c>
    </row>
    <row r="12" spans="2:11" x14ac:dyDescent="0.3">
      <c r="B12" s="74">
        <v>1210010</v>
      </c>
      <c r="C12" s="74" t="s">
        <v>1351</v>
      </c>
      <c r="D12" s="562">
        <v>1.2808125E-3</v>
      </c>
      <c r="E12" s="1023">
        <v>0.55000000000000004</v>
      </c>
      <c r="F12" s="982">
        <f>VLOOKUP(B12,[2]Hoja1!$C$2:$E$279,3,FALSE)</f>
        <v>11600</v>
      </c>
      <c r="G12" s="1023">
        <f t="shared" si="0"/>
        <v>14.857425000000001</v>
      </c>
      <c r="H12" s="964">
        <v>8910.1</v>
      </c>
      <c r="I12" s="574">
        <f t="shared" si="1"/>
        <v>11.412167456250002</v>
      </c>
      <c r="J12" s="561">
        <f t="shared" si="3"/>
        <v>30.189335697691376</v>
      </c>
      <c r="K12" s="693">
        <f t="shared" si="2"/>
        <v>1.2808125E-3</v>
      </c>
    </row>
    <row r="13" spans="2:11" x14ac:dyDescent="0.3">
      <c r="B13" s="74">
        <v>1210004</v>
      </c>
      <c r="C13" s="74" t="s">
        <v>1131</v>
      </c>
      <c r="D13" s="562">
        <v>1.863E-4</v>
      </c>
      <c r="E13" s="1023">
        <v>0.08</v>
      </c>
      <c r="F13" s="982">
        <f>VLOOKUP(B13,[2]Hoja1!$C$2:$E$279,3,FALSE)</f>
        <v>3841</v>
      </c>
      <c r="G13" s="1023">
        <f t="shared" si="0"/>
        <v>0.7155783</v>
      </c>
      <c r="H13" s="88">
        <v>3508.01</v>
      </c>
      <c r="I13" s="574">
        <f t="shared" si="1"/>
        <v>0.65354226300000007</v>
      </c>
      <c r="J13" s="561">
        <f t="shared" si="3"/>
        <v>9.4922762477871885</v>
      </c>
      <c r="K13" s="693">
        <f t="shared" si="2"/>
        <v>1.863E-4</v>
      </c>
    </row>
    <row r="14" spans="2:11" x14ac:dyDescent="0.3">
      <c r="B14" s="74">
        <v>1210002</v>
      </c>
      <c r="C14" s="74" t="s">
        <v>1033</v>
      </c>
      <c r="D14" s="562">
        <v>3.499643085246271E-4</v>
      </c>
      <c r="E14" s="1023">
        <v>0.15027989630687152</v>
      </c>
      <c r="F14" s="982">
        <f>VLOOKUP(B14,[2]Hoja1!$C$2:$E$279,3,FALSE)</f>
        <v>12886</v>
      </c>
      <c r="G14" s="1023">
        <f t="shared" si="0"/>
        <v>4.5096400796483449</v>
      </c>
      <c r="H14" s="73">
        <v>12858.08</v>
      </c>
      <c r="I14" s="574">
        <f t="shared" si="1"/>
        <v>4.4998690761543374</v>
      </c>
      <c r="J14" s="561">
        <f t="shared" si="3"/>
        <v>0.21713972848201024</v>
      </c>
      <c r="K14" s="693">
        <f t="shared" si="2"/>
        <v>3.499643085246271E-4</v>
      </c>
    </row>
    <row r="15" spans="2:11" x14ac:dyDescent="0.3">
      <c r="B15" s="74">
        <v>1230004</v>
      </c>
      <c r="C15" s="74" t="s">
        <v>1190</v>
      </c>
      <c r="D15" s="562">
        <v>3.0563549611150763E-3</v>
      </c>
      <c r="E15" s="1023">
        <v>1.312444427746678</v>
      </c>
      <c r="F15" s="982">
        <f>VLOOKUP(B15,[2]Hoja1!$C$2:$E$279,3,FALSE)</f>
        <v>20820</v>
      </c>
      <c r="G15" s="1023">
        <f t="shared" si="0"/>
        <v>63.633310290415885</v>
      </c>
      <c r="H15" s="73">
        <v>20021.009999999998</v>
      </c>
      <c r="I15" s="574">
        <f t="shared" si="1"/>
        <v>61.191313240034546</v>
      </c>
      <c r="J15" s="561">
        <f t="shared" si="3"/>
        <v>3.9907577090266813</v>
      </c>
      <c r="K15" s="693">
        <f t="shared" si="2"/>
        <v>3.0563549611150763E-3</v>
      </c>
    </row>
    <row r="16" spans="2:11" x14ac:dyDescent="0.3">
      <c r="B16" s="74">
        <v>1220009</v>
      </c>
      <c r="C16" s="74" t="s">
        <v>1133</v>
      </c>
      <c r="D16" s="562">
        <v>1.1665476950820902E-4</v>
      </c>
      <c r="E16" s="1023">
        <v>5.0093298768957177E-2</v>
      </c>
      <c r="F16" s="982">
        <f>VLOOKUP(B16,[2]Hoja1!$C$2:$E$279,3,FALSE)</f>
        <v>21312.16</v>
      </c>
      <c r="G16" s="1023">
        <f t="shared" si="0"/>
        <v>2.4861651125220718</v>
      </c>
      <c r="H16" s="88">
        <v>20299</v>
      </c>
      <c r="I16" s="574">
        <f t="shared" si="1"/>
        <v>2.3679751662471351</v>
      </c>
      <c r="J16" s="561">
        <f t="shared" si="3"/>
        <v>4.9911818316173253</v>
      </c>
      <c r="K16" s="693">
        <f t="shared" si="2"/>
        <v>1.1665476950820902E-4</v>
      </c>
    </row>
    <row r="17" spans="2:11" x14ac:dyDescent="0.3">
      <c r="B17" s="74">
        <v>1220005</v>
      </c>
      <c r="C17" s="74" t="s">
        <v>1135</v>
      </c>
      <c r="D17" s="562">
        <v>1.1665476950820902E-4</v>
      </c>
      <c r="E17" s="1023">
        <v>5.0093298768957177E-2</v>
      </c>
      <c r="F17" s="982">
        <f>VLOOKUP(B17,[2]Hoja1!$C$2:$E$279,3,FALSE)</f>
        <v>17429.990000000002</v>
      </c>
      <c r="G17" s="1023">
        <f t="shared" si="0"/>
        <v>2.0332914659803882</v>
      </c>
      <c r="H17" s="964">
        <v>17430</v>
      </c>
      <c r="I17" s="574">
        <f t="shared" si="1"/>
        <v>2.0332926325280831</v>
      </c>
      <c r="J17" s="561">
        <f t="shared" si="3"/>
        <v>-5.7372346518036466E-5</v>
      </c>
      <c r="K17" s="693">
        <f t="shared" si="2"/>
        <v>1.1665476950820902E-4</v>
      </c>
    </row>
    <row r="18" spans="2:11" x14ac:dyDescent="0.3">
      <c r="B18" s="74">
        <v>1270004</v>
      </c>
      <c r="C18" s="74" t="s">
        <v>1032</v>
      </c>
      <c r="D18" s="562">
        <v>2.0414584663936582E-4</v>
      </c>
      <c r="E18" s="1023">
        <v>8.7663272845675072E-2</v>
      </c>
      <c r="F18" s="982">
        <f>VLOOKUP(B18,[2]Hoja1!$C$2:$E$279,3,FALSE)</f>
        <v>50662</v>
      </c>
      <c r="G18" s="1023">
        <f t="shared" si="0"/>
        <v>10.342436882443552</v>
      </c>
      <c r="H18" s="336">
        <v>53849.37</v>
      </c>
      <c r="I18" s="574">
        <f t="shared" si="1"/>
        <v>10.993125229646468</v>
      </c>
      <c r="J18" s="561">
        <f t="shared" si="3"/>
        <v>-5.9190478922966179</v>
      </c>
      <c r="K18" s="693">
        <f t="shared" si="2"/>
        <v>2.0414584663936582E-4</v>
      </c>
    </row>
    <row r="19" spans="2:11" x14ac:dyDescent="0.3">
      <c r="B19" s="74">
        <v>1260010</v>
      </c>
      <c r="C19" s="74" t="s">
        <v>1043</v>
      </c>
      <c r="D19" s="562">
        <v>9.3323815606567231E-3</v>
      </c>
      <c r="E19" s="1023">
        <v>4.0074639015165747</v>
      </c>
      <c r="F19" s="982">
        <f>VLOOKUP(B19,[2]Hoja1!$C$2:$E$279,3,FALSE)</f>
        <v>6959.71</v>
      </c>
      <c r="G19" s="1023">
        <f t="shared" si="0"/>
        <v>64.950669271518208</v>
      </c>
      <c r="H19" s="964">
        <v>8234.27</v>
      </c>
      <c r="I19" s="574">
        <f t="shared" si="1"/>
        <v>76.845349513468847</v>
      </c>
      <c r="J19" s="561">
        <f t="shared" si="3"/>
        <v>-15.478724890002397</v>
      </c>
      <c r="K19" s="693">
        <f t="shared" si="2"/>
        <v>9.3323815606567231E-3</v>
      </c>
    </row>
    <row r="20" spans="2:11" x14ac:dyDescent="0.3">
      <c r="B20" s="74">
        <v>1260017</v>
      </c>
      <c r="C20" s="74" t="s">
        <v>832</v>
      </c>
      <c r="D20" s="562">
        <v>1.7498215426231357E-2</v>
      </c>
      <c r="E20" s="1023">
        <v>7.5139948153435778</v>
      </c>
      <c r="F20" s="982">
        <f>VLOOKUP(B20,[2]Hoja1!$C$2:$E$279,3,FALSE)</f>
        <v>4500</v>
      </c>
      <c r="G20" s="1023">
        <f t="shared" si="0"/>
        <v>78.741969418041108</v>
      </c>
      <c r="H20" s="88">
        <v>4500</v>
      </c>
      <c r="I20" s="574">
        <f t="shared" si="1"/>
        <v>78.741969418041108</v>
      </c>
      <c r="J20" s="561">
        <f t="shared" si="3"/>
        <v>0</v>
      </c>
      <c r="K20" s="693">
        <f t="shared" si="2"/>
        <v>1.7498215426231357E-2</v>
      </c>
    </row>
    <row r="21" spans="2:11" x14ac:dyDescent="0.3">
      <c r="B21" s="1848" t="s">
        <v>37</v>
      </c>
      <c r="C21" s="1848"/>
      <c r="D21" s="1433">
        <f>SUM(D5:D20)</f>
        <v>0.23285182361366796</v>
      </c>
      <c r="E21" s="1435">
        <f>SUM(E5:E20)</f>
        <v>99.990047713867071</v>
      </c>
      <c r="F21" s="1435"/>
      <c r="G21" s="1456">
        <f>SUM(G5:G20)</f>
        <v>697.3484643779168</v>
      </c>
      <c r="H21" s="1436"/>
      <c r="I21" s="1457">
        <f>SUM(I5:I20)</f>
        <v>699.42490655176425</v>
      </c>
      <c r="J21" s="1488">
        <f>((G21/I21)*100)-100</f>
        <v>-0.29687850037890939</v>
      </c>
      <c r="K21" s="1438"/>
    </row>
    <row r="22" spans="2:11" x14ac:dyDescent="0.3">
      <c r="B22" s="991"/>
      <c r="C22" s="991"/>
      <c r="D22" s="992"/>
      <c r="E22" s="993"/>
      <c r="F22" s="993"/>
      <c r="G22" s="993"/>
      <c r="I22" s="994"/>
      <c r="J22" s="1051"/>
    </row>
    <row r="23" spans="2:11" ht="27" customHeight="1" x14ac:dyDescent="0.3">
      <c r="B23" s="1855" t="s">
        <v>50</v>
      </c>
      <c r="C23" s="1856"/>
      <c r="D23" s="693">
        <f>+C26+(C26*C32%)</f>
        <v>232.875</v>
      </c>
      <c r="E23" s="966"/>
      <c r="F23" s="966"/>
      <c r="G23" s="966"/>
      <c r="H23" s="966"/>
      <c r="I23" s="966"/>
    </row>
    <row r="24" spans="2:11" x14ac:dyDescent="0.3">
      <c r="B24" s="1390" t="s">
        <v>38</v>
      </c>
      <c r="C24" s="997" t="s">
        <v>69</v>
      </c>
    </row>
    <row r="25" spans="2:11" x14ac:dyDescent="0.3">
      <c r="B25" s="1390" t="s">
        <v>39</v>
      </c>
      <c r="C25" s="997" t="s">
        <v>363</v>
      </c>
    </row>
    <row r="26" spans="2:11" x14ac:dyDescent="0.3">
      <c r="B26" s="1390" t="s">
        <v>40</v>
      </c>
      <c r="C26" s="997">
        <v>225</v>
      </c>
    </row>
    <row r="27" spans="2:11" x14ac:dyDescent="0.3">
      <c r="B27" s="1390" t="s">
        <v>41</v>
      </c>
      <c r="C27" s="997">
        <v>0</v>
      </c>
    </row>
    <row r="28" spans="2:11" x14ac:dyDescent="0.3">
      <c r="B28" s="1390" t="s">
        <v>42</v>
      </c>
      <c r="C28" s="997">
        <v>0.5</v>
      </c>
    </row>
    <row r="29" spans="2:11" x14ac:dyDescent="0.3">
      <c r="B29" s="1390" t="s">
        <v>43</v>
      </c>
      <c r="C29" s="997">
        <v>0.5</v>
      </c>
    </row>
    <row r="30" spans="2:11" x14ac:dyDescent="0.3">
      <c r="B30" s="1390" t="s">
        <v>44</v>
      </c>
      <c r="C30" s="997">
        <v>1</v>
      </c>
    </row>
    <row r="31" spans="2:11" x14ac:dyDescent="0.3">
      <c r="B31" s="1390" t="s">
        <v>45</v>
      </c>
      <c r="C31" s="997">
        <v>1.5</v>
      </c>
    </row>
    <row r="32" spans="2:11" x14ac:dyDescent="0.3">
      <c r="B32" s="1390" t="s">
        <v>46</v>
      </c>
      <c r="C32" s="997">
        <f>C31+C30+C29+C28</f>
        <v>3.5</v>
      </c>
    </row>
    <row r="34" spans="2:10" x14ac:dyDescent="0.3">
      <c r="B34" s="1851" t="s">
        <v>47</v>
      </c>
      <c r="C34" s="1852"/>
      <c r="D34" s="1852"/>
      <c r="E34" s="1852"/>
      <c r="F34" s="1852"/>
      <c r="G34" s="1852"/>
      <c r="H34" s="1852"/>
      <c r="I34" s="1852"/>
    </row>
    <row r="35" spans="2:10" ht="28.5" x14ac:dyDescent="0.3">
      <c r="B35" s="1477" t="s">
        <v>0</v>
      </c>
      <c r="C35" s="1477" t="s">
        <v>1</v>
      </c>
      <c r="D35" s="1489" t="s">
        <v>2</v>
      </c>
      <c r="E35" s="1335" t="str">
        <f>+'CIF Y PV'!$F$4</f>
        <v xml:space="preserve">JUN-COP/UMB </v>
      </c>
      <c r="F35" s="1335" t="str">
        <f>+'CIF Y PV'!$G$4</f>
        <v>JUN-COP/APP</v>
      </c>
      <c r="G35" s="1335" t="str">
        <f>+'CIF Y PV'!$H$4</f>
        <v xml:space="preserve">MAY-COP/UMB </v>
      </c>
      <c r="H35" s="1335" t="str">
        <f>+'CIF Y PV'!$I$4</f>
        <v>MAY-COP/APP</v>
      </c>
      <c r="I35" s="1335" t="s">
        <v>3</v>
      </c>
      <c r="J35" s="693">
        <v>375000</v>
      </c>
    </row>
    <row r="36" spans="2:10" x14ac:dyDescent="0.3">
      <c r="B36" s="563">
        <v>1380005</v>
      </c>
      <c r="C36" s="563" t="s">
        <v>1029</v>
      </c>
      <c r="D36" s="582">
        <v>2</v>
      </c>
      <c r="E36" s="1547">
        <f>VLOOKUP(B36,[2]Hoja1!$C$2:$E$279,3,FALSE)</f>
        <v>29.02</v>
      </c>
      <c r="F36" s="582">
        <f>E36*D36</f>
        <v>58.04</v>
      </c>
      <c r="G36" s="582">
        <v>31.68</v>
      </c>
      <c r="H36" s="1205">
        <f>G36*D36</f>
        <v>63.36</v>
      </c>
      <c r="I36" s="571">
        <f>((E36/G36)*100)-100</f>
        <v>-8.3964646464646506</v>
      </c>
      <c r="J36" s="693">
        <f>J35*D36</f>
        <v>750000</v>
      </c>
    </row>
    <row r="37" spans="2:10" x14ac:dyDescent="0.3">
      <c r="B37" s="563">
        <v>1370013</v>
      </c>
      <c r="C37" s="563" t="s">
        <v>1191</v>
      </c>
      <c r="D37" s="582">
        <v>0.23</v>
      </c>
      <c r="E37" s="1547">
        <f>VLOOKUP(B37,[2]Hoja1!$C$2:$E$279,3,FALSE)</f>
        <v>430.2</v>
      </c>
      <c r="F37" s="582">
        <f>E37*D37</f>
        <v>98.945999999999998</v>
      </c>
      <c r="G37" s="866">
        <v>453.54</v>
      </c>
      <c r="H37" s="1205">
        <f>G37*D37</f>
        <v>104.31420000000001</v>
      </c>
      <c r="I37" s="571">
        <f>((E37/G37)*100)-100</f>
        <v>-5.1461833575869917</v>
      </c>
      <c r="J37" s="693">
        <f>J35*D37</f>
        <v>86250</v>
      </c>
    </row>
    <row r="38" spans="2:10" x14ac:dyDescent="0.3">
      <c r="B38" s="1391"/>
      <c r="C38" s="1391" t="s">
        <v>37</v>
      </c>
      <c r="D38" s="1393"/>
      <c r="E38" s="1393"/>
      <c r="F38" s="1393">
        <f>SUM(F36:F37)</f>
        <v>156.98599999999999</v>
      </c>
      <c r="G38" s="1393"/>
      <c r="H38" s="1393">
        <f>SUM(H36:H37)</f>
        <v>167.67420000000001</v>
      </c>
      <c r="I38" s="1439">
        <f>((F38/H38)*100)-100</f>
        <v>-6.3743855643861878</v>
      </c>
    </row>
    <row r="40" spans="2:10" x14ac:dyDescent="0.3">
      <c r="H40" s="527" t="str">
        <f>+'CIF Y PV'!$G$1</f>
        <v>MAYO</v>
      </c>
    </row>
    <row r="41" spans="2:10" x14ac:dyDescent="0.3">
      <c r="B41" s="1868" t="s">
        <v>72</v>
      </c>
      <c r="C41" s="1869"/>
      <c r="E41" s="1005"/>
      <c r="F41" s="1005"/>
      <c r="G41" s="1005"/>
      <c r="H41" s="1083">
        <f>+F38+G21</f>
        <v>854.33446437791679</v>
      </c>
      <c r="I41" s="1032"/>
      <c r="J41" s="1083"/>
    </row>
    <row r="42" spans="2:10" x14ac:dyDescent="0.3">
      <c r="B42" s="1870" t="s">
        <v>48</v>
      </c>
      <c r="C42" s="1871"/>
      <c r="E42" s="1005"/>
      <c r="F42" s="1005"/>
      <c r="G42" s="1005"/>
      <c r="H42" s="1083">
        <f>+('CIF Y PV'!C3/1000)*225</f>
        <v>425.25</v>
      </c>
      <c r="I42" s="1004"/>
      <c r="J42" s="1083"/>
    </row>
    <row r="43" spans="2:10" x14ac:dyDescent="0.3">
      <c r="B43" s="1870" t="s">
        <v>74</v>
      </c>
      <c r="C43" s="1871"/>
      <c r="E43" s="1005"/>
      <c r="F43" s="1005"/>
      <c r="G43" s="1005"/>
      <c r="H43" s="1083">
        <f>H42+H41</f>
        <v>1279.5844643779169</v>
      </c>
      <c r="I43" s="1004"/>
      <c r="J43" s="1083"/>
    </row>
    <row r="44" spans="2:10" hidden="1" x14ac:dyDescent="0.3">
      <c r="B44" s="1866" t="s">
        <v>49</v>
      </c>
      <c r="C44" s="1866"/>
      <c r="D44" s="1867">
        <f>H43/I45</f>
        <v>3440.6680945897201</v>
      </c>
      <c r="E44" s="1867"/>
      <c r="F44" s="1867"/>
      <c r="G44" s="1867"/>
      <c r="H44" s="1867"/>
      <c r="I44" s="1055">
        <v>0.62809999999999999</v>
      </c>
      <c r="J44" s="1084"/>
    </row>
    <row r="45" spans="2:10" x14ac:dyDescent="0.3">
      <c r="I45" s="1010">
        <f>1-I44</f>
        <v>0.37190000000000001</v>
      </c>
      <c r="J45" s="1010">
        <f>1-J44</f>
        <v>1</v>
      </c>
    </row>
  </sheetData>
  <mergeCells count="10">
    <mergeCell ref="B44:C44"/>
    <mergeCell ref="D44:H44"/>
    <mergeCell ref="B41:C41"/>
    <mergeCell ref="B42:C42"/>
    <mergeCell ref="B43:C43"/>
    <mergeCell ref="B34:I34"/>
    <mergeCell ref="B2:I2"/>
    <mergeCell ref="B3:I3"/>
    <mergeCell ref="B21:C21"/>
    <mergeCell ref="B23:C23"/>
  </mergeCells>
  <pageMargins left="0.7" right="0.7" top="0.75" bottom="0.75" header="0.3" footer="0.3"/>
  <pageSetup scale="42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4592-7A99-4D71-A7B9-BF9648D3D729}">
  <sheetPr codeName="Hoja73"/>
  <dimension ref="A1:K75"/>
  <sheetViews>
    <sheetView view="pageBreakPreview" topLeftCell="A29" zoomScale="70" zoomScaleNormal="100" zoomScaleSheetLayoutView="70" workbookViewId="0">
      <selection activeCell="C34" sqref="C34"/>
    </sheetView>
  </sheetViews>
  <sheetFormatPr baseColWidth="10" defaultColWidth="11.5703125" defaultRowHeight="13.5" x14ac:dyDescent="0.25"/>
  <cols>
    <col min="1" max="1" width="7" style="1" bestFit="1" customWidth="1"/>
    <col min="2" max="2" width="12.28515625" style="1" customWidth="1"/>
    <col min="3" max="3" width="58.28515625" style="1" customWidth="1"/>
    <col min="4" max="4" width="13.7109375" style="38" customWidth="1"/>
    <col min="5" max="6" width="13.140625" style="1" customWidth="1"/>
    <col min="7" max="7" width="14.28515625" style="1" customWidth="1"/>
    <col min="8" max="8" width="12" style="38" customWidth="1"/>
    <col min="9" max="9" width="13.7109375" style="1" customWidth="1"/>
    <col min="10" max="10" width="12.28515625" style="1" bestFit="1" customWidth="1"/>
    <col min="11" max="11" width="15.28515625" style="475" customWidth="1"/>
    <col min="12" max="16384" width="11.5703125" style="1"/>
  </cols>
  <sheetData>
    <row r="1" spans="2:11" hidden="1" x14ac:dyDescent="0.25"/>
    <row r="2" spans="2:11" hidden="1" x14ac:dyDescent="0.25"/>
    <row r="3" spans="2:11" ht="25.5" hidden="1" x14ac:dyDescent="0.35">
      <c r="B3" s="1823" t="s">
        <v>526</v>
      </c>
      <c r="C3" s="1823"/>
      <c r="D3" s="1823"/>
      <c r="E3" s="1823"/>
      <c r="F3" s="1823"/>
      <c r="G3" s="1823"/>
      <c r="H3" s="1823"/>
      <c r="I3" s="1823"/>
    </row>
    <row r="4" spans="2:11" hidden="1" x14ac:dyDescent="0.25"/>
    <row r="5" spans="2:11" s="3" customFormat="1" ht="25.5" hidden="1" x14ac:dyDescent="0.25">
      <c r="B5" s="2" t="s">
        <v>0</v>
      </c>
      <c r="C5" s="2" t="s">
        <v>1</v>
      </c>
      <c r="D5" s="2" t="s">
        <v>2</v>
      </c>
      <c r="E5" s="2" t="s">
        <v>3</v>
      </c>
      <c r="F5" s="183" t="s">
        <v>628</v>
      </c>
      <c r="G5" s="149" t="s">
        <v>627</v>
      </c>
      <c r="H5" s="118" t="s">
        <v>536</v>
      </c>
      <c r="I5" s="118" t="s">
        <v>512</v>
      </c>
      <c r="J5" s="118" t="s">
        <v>3</v>
      </c>
      <c r="K5" s="476"/>
    </row>
    <row r="6" spans="2:11" ht="16.5" hidden="1" x14ac:dyDescent="0.25">
      <c r="B6" s="30" t="s">
        <v>6</v>
      </c>
      <c r="C6" s="30" t="s">
        <v>77</v>
      </c>
      <c r="D6" s="31">
        <v>0.12855533110662209</v>
      </c>
      <c r="E6" s="32">
        <f t="shared" ref="E6:E22" si="0">(D6*100)/$D$24</f>
        <v>51.014020280405596</v>
      </c>
      <c r="F6" s="72">
        <v>6993</v>
      </c>
      <c r="G6" s="32">
        <f t="shared" ref="G6:G22" si="1">F6*D6</f>
        <v>898.98743042860826</v>
      </c>
      <c r="H6" s="39">
        <v>7036</v>
      </c>
      <c r="I6" s="39">
        <f t="shared" ref="I6:I22" si="2">D6*H6</f>
        <v>904.51530966619305</v>
      </c>
      <c r="J6" s="385">
        <f>((F6/H6)*100)-100</f>
        <v>-0.61114269471291038</v>
      </c>
      <c r="K6" s="477"/>
    </row>
    <row r="7" spans="2:11" hidden="1" x14ac:dyDescent="0.25">
      <c r="B7" s="30" t="s">
        <v>4</v>
      </c>
      <c r="C7" s="30" t="s">
        <v>53</v>
      </c>
      <c r="D7" s="31">
        <v>6.9518110362207244E-2</v>
      </c>
      <c r="E7" s="32">
        <f t="shared" si="0"/>
        <v>27.586551731034621</v>
      </c>
      <c r="F7" s="32">
        <v>7</v>
      </c>
      <c r="G7" s="32">
        <f t="shared" si="1"/>
        <v>0.48662677253545072</v>
      </c>
      <c r="H7" s="39">
        <v>7</v>
      </c>
      <c r="I7" s="39">
        <f t="shared" si="2"/>
        <v>0.48662677253545072</v>
      </c>
      <c r="J7" s="485">
        <f t="shared" ref="J7:J22" si="3">((F7/H7)*100)-100</f>
        <v>0</v>
      </c>
      <c r="K7" s="477"/>
    </row>
    <row r="8" spans="2:11" hidden="1" x14ac:dyDescent="0.25">
      <c r="B8" s="30" t="s">
        <v>8</v>
      </c>
      <c r="C8" s="30" t="s">
        <v>56</v>
      </c>
      <c r="D8" s="31">
        <v>1.4964059281185622E-2</v>
      </c>
      <c r="E8" s="32">
        <f t="shared" si="0"/>
        <v>5.9381187623752467</v>
      </c>
      <c r="F8" s="32">
        <v>1500</v>
      </c>
      <c r="G8" s="32">
        <f t="shared" si="1"/>
        <v>22.446088921778433</v>
      </c>
      <c r="H8" s="39">
        <v>1500</v>
      </c>
      <c r="I8" s="39">
        <f t="shared" si="2"/>
        <v>22.446088921778433</v>
      </c>
      <c r="J8" s="485">
        <f t="shared" si="3"/>
        <v>0</v>
      </c>
      <c r="K8" s="477"/>
    </row>
    <row r="9" spans="2:11" ht="16.5" hidden="1" x14ac:dyDescent="0.25">
      <c r="B9" s="30" t="s">
        <v>9</v>
      </c>
      <c r="C9" s="30" t="s">
        <v>10</v>
      </c>
      <c r="D9" s="31">
        <v>1.2655693113862276E-2</v>
      </c>
      <c r="E9" s="32">
        <f t="shared" si="0"/>
        <v>5.0221004420088402</v>
      </c>
      <c r="F9" s="184">
        <v>5975</v>
      </c>
      <c r="G9" s="32">
        <f t="shared" si="1"/>
        <v>75.617766355327106</v>
      </c>
      <c r="H9" s="39">
        <v>5680</v>
      </c>
      <c r="I9" s="39">
        <f t="shared" si="2"/>
        <v>71.884336886737728</v>
      </c>
      <c r="J9" s="468">
        <f t="shared" si="3"/>
        <v>5.1936619718309771</v>
      </c>
      <c r="K9" s="477"/>
    </row>
    <row r="10" spans="2:11" ht="16.5" hidden="1" x14ac:dyDescent="0.25">
      <c r="B10" s="30" t="s">
        <v>11</v>
      </c>
      <c r="C10" s="30" t="s">
        <v>12</v>
      </c>
      <c r="D10" s="31">
        <v>1.0123042460849215E-2</v>
      </c>
      <c r="E10" s="32">
        <f t="shared" si="0"/>
        <v>4.0170803416068308</v>
      </c>
      <c r="F10" s="184">
        <v>16084</v>
      </c>
      <c r="G10" s="32">
        <f t="shared" si="1"/>
        <v>162.81901494029879</v>
      </c>
      <c r="H10" s="39">
        <v>14486</v>
      </c>
      <c r="I10" s="39">
        <f t="shared" si="2"/>
        <v>146.64239308786173</v>
      </c>
      <c r="J10" s="468">
        <f t="shared" si="3"/>
        <v>11.031340604721791</v>
      </c>
      <c r="K10" s="477"/>
    </row>
    <row r="11" spans="2:11" hidden="1" x14ac:dyDescent="0.25">
      <c r="B11" s="30" t="s">
        <v>5</v>
      </c>
      <c r="C11" s="30" t="s">
        <v>55</v>
      </c>
      <c r="D11" s="31">
        <v>6.1237224744494882E-3</v>
      </c>
      <c r="E11" s="32">
        <f t="shared" si="0"/>
        <v>2.430048600972019</v>
      </c>
      <c r="F11" s="106">
        <v>5484</v>
      </c>
      <c r="G11" s="32">
        <f t="shared" si="1"/>
        <v>33.582494049880992</v>
      </c>
      <c r="H11" s="39">
        <v>5315</v>
      </c>
      <c r="I11" s="39">
        <f t="shared" si="2"/>
        <v>32.547584951699029</v>
      </c>
      <c r="J11" s="468">
        <f t="shared" si="3"/>
        <v>3.1796801505173988</v>
      </c>
      <c r="K11" s="477"/>
    </row>
    <row r="12" spans="2:11" hidden="1" x14ac:dyDescent="0.25">
      <c r="B12" s="30" t="s">
        <v>13</v>
      </c>
      <c r="C12" s="30" t="s">
        <v>14</v>
      </c>
      <c r="D12" s="31">
        <v>2.7846556931138623E-3</v>
      </c>
      <c r="E12" s="32">
        <f t="shared" si="0"/>
        <v>1.1050221004420089</v>
      </c>
      <c r="F12" s="32">
        <v>33158</v>
      </c>
      <c r="G12" s="32">
        <f t="shared" si="1"/>
        <v>92.333613472269448</v>
      </c>
      <c r="H12" s="39">
        <v>32239</v>
      </c>
      <c r="I12" s="39">
        <f t="shared" si="2"/>
        <v>89.774514890297809</v>
      </c>
      <c r="J12" s="468">
        <f t="shared" si="3"/>
        <v>2.8505846955550851</v>
      </c>
      <c r="K12" s="477"/>
    </row>
    <row r="13" spans="2:11" hidden="1" x14ac:dyDescent="0.25">
      <c r="B13" s="30" t="s">
        <v>17</v>
      </c>
      <c r="C13" s="30" t="s">
        <v>18</v>
      </c>
      <c r="D13" s="31">
        <v>2.1924438488769779E-3</v>
      </c>
      <c r="E13" s="32">
        <f t="shared" si="0"/>
        <v>0.87001740034800712</v>
      </c>
      <c r="F13" s="32">
        <v>878</v>
      </c>
      <c r="G13" s="32">
        <f t="shared" si="1"/>
        <v>1.9249656993139865</v>
      </c>
      <c r="H13" s="39">
        <v>878</v>
      </c>
      <c r="I13" s="484">
        <f t="shared" si="2"/>
        <v>1.9249656993139865</v>
      </c>
      <c r="J13" s="485">
        <f t="shared" si="3"/>
        <v>0</v>
      </c>
      <c r="K13" s="477"/>
    </row>
    <row r="14" spans="2:11" ht="16.5" hidden="1" x14ac:dyDescent="0.25">
      <c r="B14" s="30" t="s">
        <v>78</v>
      </c>
      <c r="C14" s="30" t="s">
        <v>79</v>
      </c>
      <c r="D14" s="31">
        <v>1.265065301306026E-3</v>
      </c>
      <c r="E14" s="32">
        <f t="shared" si="0"/>
        <v>0.50201004020080398</v>
      </c>
      <c r="F14" s="184">
        <v>62980</v>
      </c>
      <c r="G14" s="32">
        <f t="shared" si="1"/>
        <v>79.673812676253519</v>
      </c>
      <c r="H14" s="39">
        <v>62980</v>
      </c>
      <c r="I14" s="39">
        <f t="shared" si="2"/>
        <v>79.673812676253519</v>
      </c>
      <c r="J14" s="485">
        <f t="shared" si="3"/>
        <v>0</v>
      </c>
      <c r="K14" s="477"/>
    </row>
    <row r="15" spans="2:11" hidden="1" x14ac:dyDescent="0.25">
      <c r="B15" s="30" t="s">
        <v>337</v>
      </c>
      <c r="C15" s="30" t="s">
        <v>336</v>
      </c>
      <c r="D15" s="31">
        <v>1.0080201604032082E-3</v>
      </c>
      <c r="E15" s="32">
        <f t="shared" si="0"/>
        <v>0.40000800016000326</v>
      </c>
      <c r="F15" s="39">
        <v>32870</v>
      </c>
      <c r="G15" s="32">
        <f t="shared" si="1"/>
        <v>33.133622672453455</v>
      </c>
      <c r="H15" s="39">
        <v>32870</v>
      </c>
      <c r="I15" s="39">
        <f t="shared" si="2"/>
        <v>33.133622672453455</v>
      </c>
      <c r="J15" s="485">
        <f t="shared" si="3"/>
        <v>0</v>
      </c>
      <c r="K15" s="477"/>
    </row>
    <row r="16" spans="2:11" ht="16.5" hidden="1" x14ac:dyDescent="0.25">
      <c r="B16" s="30" t="s">
        <v>25</v>
      </c>
      <c r="C16" s="30" t="s">
        <v>26</v>
      </c>
      <c r="D16" s="31">
        <v>7.5853517070341404E-4</v>
      </c>
      <c r="E16" s="32">
        <f t="shared" si="0"/>
        <v>0.3010060201204024</v>
      </c>
      <c r="F16" s="72">
        <v>59418</v>
      </c>
      <c r="G16" s="32">
        <f t="shared" si="1"/>
        <v>45.070642772855457</v>
      </c>
      <c r="H16" s="39">
        <v>59766</v>
      </c>
      <c r="I16" s="39">
        <f t="shared" si="2"/>
        <v>45.334613012260242</v>
      </c>
      <c r="J16" s="385">
        <f t="shared" si="3"/>
        <v>-0.58227085633973275</v>
      </c>
      <c r="K16" s="477"/>
    </row>
    <row r="17" spans="2:11" hidden="1" x14ac:dyDescent="0.25">
      <c r="B17" s="30" t="s">
        <v>80</v>
      </c>
      <c r="C17" s="30" t="s">
        <v>81</v>
      </c>
      <c r="D17" s="31">
        <v>6.2497249944998886E-4</v>
      </c>
      <c r="E17" s="32">
        <f t="shared" si="0"/>
        <v>0.24800496009920195</v>
      </c>
      <c r="F17" s="106">
        <v>21400</v>
      </c>
      <c r="G17" s="32">
        <f t="shared" si="1"/>
        <v>13.374411488229761</v>
      </c>
      <c r="H17" s="39">
        <v>20650</v>
      </c>
      <c r="I17" s="39">
        <f t="shared" si="2"/>
        <v>12.905682113642269</v>
      </c>
      <c r="J17" s="468">
        <f t="shared" si="3"/>
        <v>3.6319612590799011</v>
      </c>
      <c r="K17" s="477"/>
    </row>
    <row r="18" spans="2:11" hidden="1" x14ac:dyDescent="0.25">
      <c r="B18" s="30" t="s">
        <v>29</v>
      </c>
      <c r="C18" s="30" t="s">
        <v>30</v>
      </c>
      <c r="D18" s="31">
        <v>4.1832836656733132E-4</v>
      </c>
      <c r="E18" s="32">
        <f t="shared" si="0"/>
        <v>0.16600332006640131</v>
      </c>
      <c r="F18" s="32">
        <v>2500</v>
      </c>
      <c r="G18" s="32">
        <f t="shared" si="1"/>
        <v>1.0458209164183283</v>
      </c>
      <c r="H18" s="39">
        <v>2554</v>
      </c>
      <c r="I18" s="39">
        <f t="shared" si="2"/>
        <v>1.0684106482129643</v>
      </c>
      <c r="J18" s="385">
        <f t="shared" si="3"/>
        <v>-2.1143304620203622</v>
      </c>
      <c r="K18" s="477"/>
    </row>
    <row r="19" spans="2:11" hidden="1" x14ac:dyDescent="0.25">
      <c r="B19" s="30" t="s">
        <v>67</v>
      </c>
      <c r="C19" s="30" t="s">
        <v>68</v>
      </c>
      <c r="D19" s="31">
        <v>3.4020680413608277E-4</v>
      </c>
      <c r="E19" s="32">
        <f t="shared" si="0"/>
        <v>0.13500270005400111</v>
      </c>
      <c r="F19" s="233">
        <v>69401</v>
      </c>
      <c r="G19" s="32">
        <f t="shared" si="1"/>
        <v>23.61069241384828</v>
      </c>
      <c r="H19" s="285">
        <v>69401</v>
      </c>
      <c r="I19" s="39">
        <f t="shared" si="2"/>
        <v>23.61069241384828</v>
      </c>
      <c r="J19" s="485">
        <f t="shared" si="3"/>
        <v>0</v>
      </c>
      <c r="K19" s="477"/>
    </row>
    <row r="20" spans="2:11" ht="16.5" hidden="1" x14ac:dyDescent="0.25">
      <c r="B20" s="30" t="s">
        <v>61</v>
      </c>
      <c r="C20" s="30" t="s">
        <v>62</v>
      </c>
      <c r="D20" s="31">
        <v>3.4020680413608277E-4</v>
      </c>
      <c r="E20" s="32">
        <f t="shared" si="0"/>
        <v>0.13500270005400111</v>
      </c>
      <c r="F20" s="72">
        <v>30713</v>
      </c>
      <c r="G20" s="32">
        <f t="shared" si="1"/>
        <v>10.448771575431509</v>
      </c>
      <c r="H20" s="284">
        <v>30713</v>
      </c>
      <c r="I20" s="39">
        <f t="shared" si="2"/>
        <v>10.448771575431509</v>
      </c>
      <c r="J20" s="485">
        <f t="shared" si="3"/>
        <v>0</v>
      </c>
      <c r="K20" s="477"/>
    </row>
    <row r="21" spans="2:11" hidden="1" x14ac:dyDescent="0.25">
      <c r="B21" s="30" t="s">
        <v>31</v>
      </c>
      <c r="C21" s="30" t="s">
        <v>32</v>
      </c>
      <c r="D21" s="31">
        <v>2.0160403208064164E-4</v>
      </c>
      <c r="E21" s="32">
        <f t="shared" si="0"/>
        <v>8.0001600032000644E-2</v>
      </c>
      <c r="F21" s="95">
        <v>121899</v>
      </c>
      <c r="G21" s="32">
        <f t="shared" si="1"/>
        <v>24.575329906598135</v>
      </c>
      <c r="H21" s="95">
        <v>121899</v>
      </c>
      <c r="I21" s="39">
        <f t="shared" si="2"/>
        <v>24.575329906598135</v>
      </c>
      <c r="J21" s="485">
        <f t="shared" si="3"/>
        <v>0</v>
      </c>
      <c r="K21" s="477"/>
    </row>
    <row r="22" spans="2:11" hidden="1" x14ac:dyDescent="0.25">
      <c r="B22" s="30" t="s">
        <v>33</v>
      </c>
      <c r="C22" s="30" t="s">
        <v>34</v>
      </c>
      <c r="D22" s="31">
        <v>1.2600252005040099E-4</v>
      </c>
      <c r="E22" s="32">
        <f t="shared" si="0"/>
        <v>5.0001000020000394E-2</v>
      </c>
      <c r="F22" s="33">
        <v>26800</v>
      </c>
      <c r="G22" s="32">
        <f t="shared" si="1"/>
        <v>3.3768675373507469</v>
      </c>
      <c r="H22" s="33">
        <v>26800</v>
      </c>
      <c r="I22" s="39">
        <f t="shared" si="2"/>
        <v>3.3768675373507469</v>
      </c>
      <c r="J22" s="485">
        <f t="shared" si="3"/>
        <v>0</v>
      </c>
      <c r="K22" s="477"/>
    </row>
    <row r="23" spans="2:11" hidden="1" x14ac:dyDescent="0.25">
      <c r="B23" s="11"/>
      <c r="C23" s="11"/>
      <c r="D23" s="36"/>
      <c r="E23" s="11"/>
      <c r="F23" s="11"/>
      <c r="G23" s="11"/>
      <c r="H23" s="36"/>
      <c r="I23" s="11"/>
      <c r="J23" s="11"/>
    </row>
    <row r="24" spans="2:11" hidden="1" x14ac:dyDescent="0.25">
      <c r="B24" s="1824" t="s">
        <v>37</v>
      </c>
      <c r="C24" s="1824"/>
      <c r="D24" s="40">
        <f>SUM(D6:D22)</f>
        <v>0.252</v>
      </c>
      <c r="E24" s="13">
        <f>SUM(E6:E22)</f>
        <v>99.999999999999972</v>
      </c>
      <c r="F24" s="13"/>
      <c r="G24" s="210">
        <f>SUM(G6:G22)</f>
        <v>1522.5079725994517</v>
      </c>
      <c r="H24" s="41"/>
      <c r="I24" s="15">
        <f>SUM(I6:I22)</f>
        <v>1504.3496234324682</v>
      </c>
      <c r="J24" s="210">
        <f>((G24/I24)*100)-100</f>
        <v>1.2070564504514323</v>
      </c>
    </row>
    <row r="25" spans="2:11" x14ac:dyDescent="0.25">
      <c r="B25" s="16"/>
      <c r="C25" s="16"/>
      <c r="D25" s="37"/>
      <c r="E25" s="18"/>
      <c r="F25" s="18"/>
      <c r="G25" s="18"/>
      <c r="I25" s="19"/>
    </row>
    <row r="26" spans="2:11" ht="25.5" x14ac:dyDescent="0.35">
      <c r="B26" s="1823" t="s">
        <v>527</v>
      </c>
      <c r="C26" s="1823"/>
      <c r="D26" s="1823"/>
      <c r="E26" s="1823"/>
      <c r="F26" s="1823"/>
      <c r="G26" s="1823"/>
      <c r="H26" s="1823"/>
      <c r="I26" s="1823"/>
    </row>
    <row r="28" spans="2:11" s="3" customFormat="1" ht="25.5" x14ac:dyDescent="0.25">
      <c r="B28" s="2" t="s">
        <v>0</v>
      </c>
      <c r="C28" s="2" t="s">
        <v>1</v>
      </c>
      <c r="D28" s="2" t="s">
        <v>2</v>
      </c>
      <c r="E28" s="2" t="s">
        <v>3</v>
      </c>
      <c r="F28" s="377" t="s">
        <v>773</v>
      </c>
      <c r="G28" s="149" t="s">
        <v>772</v>
      </c>
      <c r="H28" s="144" t="s">
        <v>629</v>
      </c>
      <c r="I28" s="144" t="s">
        <v>627</v>
      </c>
      <c r="J28" s="144" t="s">
        <v>3</v>
      </c>
      <c r="K28" s="478">
        <v>500</v>
      </c>
    </row>
    <row r="29" spans="2:11" ht="16.5" x14ac:dyDescent="0.25">
      <c r="B29" s="30" t="s">
        <v>6</v>
      </c>
      <c r="C29" s="30" t="s">
        <v>77</v>
      </c>
      <c r="D29" s="405">
        <v>0.12582425423209678</v>
      </c>
      <c r="E29" s="32">
        <f>(D29*100)/$D$48</f>
        <v>50.080290931582688</v>
      </c>
      <c r="F29" s="72"/>
      <c r="G29" s="39">
        <f>F29*D29</f>
        <v>0</v>
      </c>
      <c r="H29" s="24">
        <v>7012.5</v>
      </c>
      <c r="I29" s="24">
        <f>H29*D29</f>
        <v>882.3425828025787</v>
      </c>
      <c r="J29" s="469">
        <f>((G29/I29)*100)-100</f>
        <v>-100</v>
      </c>
      <c r="K29" s="720">
        <f>$K$28*E29%</f>
        <v>250.4014546579134</v>
      </c>
    </row>
    <row r="30" spans="2:11" x14ac:dyDescent="0.25">
      <c r="B30" s="30" t="s">
        <v>4</v>
      </c>
      <c r="C30" s="30" t="s">
        <v>53</v>
      </c>
      <c r="D30" s="405">
        <v>5.436436827569549E-2</v>
      </c>
      <c r="E30" s="32">
        <f t="shared" ref="E30:E46" si="4">(D30*100)/$D$48</f>
        <v>21.637985427963894</v>
      </c>
      <c r="F30" s="35">
        <v>7</v>
      </c>
      <c r="G30" s="39">
        <f t="shared" ref="G30:G46" si="5">F30*D30</f>
        <v>0.38055057792986846</v>
      </c>
      <c r="H30" s="24">
        <v>7</v>
      </c>
      <c r="I30" s="24">
        <f t="shared" ref="I30:I46" si="6">H30*D30</f>
        <v>0.38055057792986846</v>
      </c>
      <c r="J30" s="24">
        <f t="shared" ref="J30:J46" si="7">((G30/I30)*100)-100</f>
        <v>0</v>
      </c>
      <c r="K30" s="720">
        <f t="shared" ref="K30:K46" si="8">$K$28*E30%</f>
        <v>108.18992713981946</v>
      </c>
    </row>
    <row r="31" spans="2:11" x14ac:dyDescent="0.25">
      <c r="B31" s="30" t="s">
        <v>8</v>
      </c>
      <c r="C31" s="30" t="s">
        <v>56</v>
      </c>
      <c r="D31" s="405">
        <v>2.5164850846419361E-2</v>
      </c>
      <c r="E31" s="32">
        <f t="shared" si="4"/>
        <v>10.016058186316538</v>
      </c>
      <c r="F31" s="35">
        <v>1672</v>
      </c>
      <c r="G31" s="39">
        <f t="shared" si="5"/>
        <v>42.075630615213171</v>
      </c>
      <c r="H31" s="24">
        <v>1500</v>
      </c>
      <c r="I31" s="24">
        <f t="shared" si="6"/>
        <v>37.74727626962904</v>
      </c>
      <c r="J31" s="24">
        <f t="shared" si="7"/>
        <v>11.466666666666669</v>
      </c>
      <c r="K31" s="720">
        <f t="shared" si="8"/>
        <v>50.080290931582695</v>
      </c>
    </row>
    <row r="32" spans="2:11" ht="16.5" x14ac:dyDescent="0.25">
      <c r="B32" s="30" t="s">
        <v>498</v>
      </c>
      <c r="C32" s="30" t="s">
        <v>499</v>
      </c>
      <c r="D32" s="405">
        <v>1.4595613490923228E-2</v>
      </c>
      <c r="E32" s="32">
        <f t="shared" si="4"/>
        <v>5.8093137480635919</v>
      </c>
      <c r="F32" s="375"/>
      <c r="G32" s="39">
        <f t="shared" si="5"/>
        <v>0</v>
      </c>
      <c r="H32" s="24">
        <v>3160</v>
      </c>
      <c r="I32" s="24">
        <f t="shared" si="6"/>
        <v>46.122138631317398</v>
      </c>
      <c r="J32" s="24">
        <f t="shared" si="7"/>
        <v>-100</v>
      </c>
      <c r="K32" s="720">
        <f t="shared" si="8"/>
        <v>29.046568740317959</v>
      </c>
    </row>
    <row r="33" spans="2:11" x14ac:dyDescent="0.25">
      <c r="B33" s="30" t="s">
        <v>9</v>
      </c>
      <c r="C33" s="30" t="s">
        <v>10</v>
      </c>
      <c r="D33" s="405">
        <v>1.258242542320968E-2</v>
      </c>
      <c r="E33" s="32">
        <f t="shared" si="4"/>
        <v>5.0080290931582692</v>
      </c>
      <c r="F33" s="376"/>
      <c r="G33" s="39">
        <f t="shared" si="5"/>
        <v>0</v>
      </c>
      <c r="H33" s="24">
        <v>6316.85</v>
      </c>
      <c r="I33" s="24">
        <f t="shared" si="6"/>
        <v>79.481294034602072</v>
      </c>
      <c r="J33" s="469">
        <f t="shared" si="7"/>
        <v>-100</v>
      </c>
      <c r="K33" s="720">
        <f t="shared" si="8"/>
        <v>25.040145465791348</v>
      </c>
    </row>
    <row r="34" spans="2:11" x14ac:dyDescent="0.25">
      <c r="B34" s="30" t="s">
        <v>7</v>
      </c>
      <c r="C34" s="30" t="s">
        <v>58</v>
      </c>
      <c r="D34" s="405">
        <v>4.3967128284295737E-3</v>
      </c>
      <c r="E34" s="32">
        <f t="shared" si="4"/>
        <v>1.7499698999543638</v>
      </c>
      <c r="F34" s="235"/>
      <c r="G34" s="39">
        <f t="shared" si="5"/>
        <v>0</v>
      </c>
      <c r="H34" s="24">
        <v>7022</v>
      </c>
      <c r="I34" s="24">
        <f t="shared" si="6"/>
        <v>30.873717481232468</v>
      </c>
      <c r="J34" s="483">
        <f t="shared" si="7"/>
        <v>-100</v>
      </c>
      <c r="K34" s="720">
        <f t="shared" si="8"/>
        <v>8.7498494997718179</v>
      </c>
    </row>
    <row r="35" spans="2:11" ht="16.5" x14ac:dyDescent="0.25">
      <c r="B35" s="30" t="s">
        <v>11</v>
      </c>
      <c r="C35" s="30" t="s">
        <v>12</v>
      </c>
      <c r="D35" s="405">
        <v>7.5494552539258075E-3</v>
      </c>
      <c r="E35" s="32">
        <f t="shared" si="4"/>
        <v>3.0048174558949614</v>
      </c>
      <c r="F35" s="72"/>
      <c r="G35" s="39">
        <f t="shared" si="5"/>
        <v>0</v>
      </c>
      <c r="H35" s="24">
        <v>16768.689999999999</v>
      </c>
      <c r="I35" s="24">
        <f t="shared" si="6"/>
        <v>126.59447482195314</v>
      </c>
      <c r="J35" s="469">
        <f t="shared" si="7"/>
        <v>-100</v>
      </c>
      <c r="K35" s="720">
        <f t="shared" si="8"/>
        <v>15.024087279474806</v>
      </c>
    </row>
    <row r="36" spans="2:11" x14ac:dyDescent="0.25">
      <c r="B36" s="30" t="s">
        <v>17</v>
      </c>
      <c r="C36" s="30" t="s">
        <v>18</v>
      </c>
      <c r="D36" s="405">
        <v>2.2145068744849048E-3</v>
      </c>
      <c r="E36" s="32">
        <f t="shared" si="4"/>
        <v>0.88141312039585584</v>
      </c>
      <c r="F36" s="35"/>
      <c r="G36" s="39">
        <f t="shared" si="5"/>
        <v>0</v>
      </c>
      <c r="H36" s="24">
        <v>878</v>
      </c>
      <c r="I36" s="24">
        <f t="shared" si="6"/>
        <v>1.9443370357977465</v>
      </c>
      <c r="J36" s="24">
        <f t="shared" si="7"/>
        <v>-100</v>
      </c>
      <c r="K36" s="720">
        <f t="shared" si="8"/>
        <v>4.4070656019792791</v>
      </c>
    </row>
    <row r="37" spans="2:11" x14ac:dyDescent="0.25">
      <c r="B37" s="30" t="s">
        <v>337</v>
      </c>
      <c r="C37" s="30" t="s">
        <v>336</v>
      </c>
      <c r="D37" s="405">
        <v>1.0054678888400193E-3</v>
      </c>
      <c r="E37" s="32">
        <f t="shared" si="4"/>
        <v>0.40019410170783642</v>
      </c>
      <c r="F37" s="39"/>
      <c r="G37" s="39">
        <f t="shared" si="5"/>
        <v>0</v>
      </c>
      <c r="H37" s="24">
        <v>32870</v>
      </c>
      <c r="I37" s="24">
        <f t="shared" si="6"/>
        <v>33.049729506171431</v>
      </c>
      <c r="J37" s="24">
        <f t="shared" si="7"/>
        <v>-100</v>
      </c>
      <c r="K37" s="720">
        <f t="shared" si="8"/>
        <v>2.000970508539182</v>
      </c>
    </row>
    <row r="38" spans="2:11" ht="16.5" x14ac:dyDescent="0.25">
      <c r="B38" s="30" t="s">
        <v>25</v>
      </c>
      <c r="C38" s="30" t="s">
        <v>26</v>
      </c>
      <c r="D38" s="405">
        <v>7.5494552539258082E-4</v>
      </c>
      <c r="E38" s="32">
        <f t="shared" si="4"/>
        <v>0.30048174558949614</v>
      </c>
      <c r="F38" s="184"/>
      <c r="G38" s="39">
        <f t="shared" si="5"/>
        <v>0</v>
      </c>
      <c r="H38" s="24">
        <v>62980</v>
      </c>
      <c r="I38" s="24">
        <f t="shared" si="6"/>
        <v>47.546469189224737</v>
      </c>
      <c r="J38" s="469">
        <f t="shared" si="7"/>
        <v>-100</v>
      </c>
      <c r="K38" s="720">
        <f t="shared" si="8"/>
        <v>1.5024087279474807</v>
      </c>
    </row>
    <row r="39" spans="2:11" ht="16.5" x14ac:dyDescent="0.25">
      <c r="B39" s="30" t="s">
        <v>525</v>
      </c>
      <c r="C39" s="30" t="s">
        <v>524</v>
      </c>
      <c r="D39" s="405"/>
      <c r="E39" s="32">
        <f t="shared" si="4"/>
        <v>0</v>
      </c>
      <c r="F39" s="184"/>
      <c r="G39" s="39">
        <f t="shared" si="5"/>
        <v>0</v>
      </c>
      <c r="H39" s="24">
        <v>34163</v>
      </c>
      <c r="I39" s="24"/>
      <c r="J39" s="469"/>
      <c r="K39" s="720">
        <f t="shared" si="8"/>
        <v>0</v>
      </c>
    </row>
    <row r="40" spans="2:11" ht="16.5" x14ac:dyDescent="0.25">
      <c r="B40" s="30" t="s">
        <v>467</v>
      </c>
      <c r="C40" s="406" t="s">
        <v>539</v>
      </c>
      <c r="D40" s="405">
        <v>7.5410091663001501E-4</v>
      </c>
      <c r="E40" s="32">
        <f t="shared" si="4"/>
        <v>0.30014557628087751</v>
      </c>
      <c r="F40" s="72"/>
      <c r="G40" s="39">
        <f t="shared" si="5"/>
        <v>0</v>
      </c>
      <c r="H40" s="24">
        <v>62980</v>
      </c>
      <c r="I40" s="24">
        <f t="shared" si="6"/>
        <v>47.493275729358345</v>
      </c>
      <c r="J40" s="24">
        <f t="shared" si="7"/>
        <v>-100</v>
      </c>
      <c r="K40" s="720">
        <f t="shared" si="8"/>
        <v>1.5007278814043874</v>
      </c>
    </row>
    <row r="41" spans="2:11" x14ac:dyDescent="0.25">
      <c r="B41" s="30" t="s">
        <v>80</v>
      </c>
      <c r="C41" s="30" t="s">
        <v>81</v>
      </c>
      <c r="D41" s="405">
        <v>6.2912127116048389E-4</v>
      </c>
      <c r="E41" s="32">
        <f t="shared" si="4"/>
        <v>0.25040145465791341</v>
      </c>
      <c r="F41" s="106"/>
      <c r="G41" s="39">
        <f t="shared" si="5"/>
        <v>0</v>
      </c>
      <c r="H41" s="24">
        <v>21400</v>
      </c>
      <c r="I41" s="24">
        <f t="shared" si="6"/>
        <v>13.463195202834354</v>
      </c>
      <c r="J41" s="24">
        <f t="shared" si="7"/>
        <v>-100</v>
      </c>
      <c r="K41" s="720">
        <f t="shared" si="8"/>
        <v>1.2520072732895671</v>
      </c>
    </row>
    <row r="42" spans="2:11" x14ac:dyDescent="0.25">
      <c r="B42" s="30" t="s">
        <v>29</v>
      </c>
      <c r="C42" s="30" t="s">
        <v>30</v>
      </c>
      <c r="D42" s="405">
        <v>4.2780246438912912E-4</v>
      </c>
      <c r="E42" s="32">
        <f t="shared" si="4"/>
        <v>0.17027298916738118</v>
      </c>
      <c r="F42" s="32"/>
      <c r="G42" s="39">
        <f t="shared" si="5"/>
        <v>0</v>
      </c>
      <c r="H42" s="24">
        <v>2500</v>
      </c>
      <c r="I42" s="24">
        <f t="shared" si="6"/>
        <v>1.0695061609728227</v>
      </c>
      <c r="J42" s="24">
        <f t="shared" si="7"/>
        <v>-100</v>
      </c>
      <c r="K42" s="720">
        <f t="shared" si="8"/>
        <v>0.85136494583690592</v>
      </c>
    </row>
    <row r="43" spans="2:11" ht="16.5" x14ac:dyDescent="0.25">
      <c r="B43" s="30" t="s">
        <v>61</v>
      </c>
      <c r="C43" s="30" t="s">
        <v>62</v>
      </c>
      <c r="D43" s="405">
        <v>3.2714306100345176E-4</v>
      </c>
      <c r="E43" s="32">
        <f t="shared" si="4"/>
        <v>0.13020875642211505</v>
      </c>
      <c r="F43" s="72"/>
      <c r="G43" s="39">
        <f t="shared" si="5"/>
        <v>0</v>
      </c>
      <c r="H43" s="24">
        <v>30713</v>
      </c>
      <c r="I43" s="24">
        <f t="shared" si="6"/>
        <v>10.047544832599014</v>
      </c>
      <c r="J43" s="24">
        <f t="shared" si="7"/>
        <v>-100</v>
      </c>
      <c r="K43" s="720">
        <f t="shared" si="8"/>
        <v>0.65104378211057523</v>
      </c>
    </row>
    <row r="44" spans="2:11" x14ac:dyDescent="0.25">
      <c r="B44" s="30" t="s">
        <v>67</v>
      </c>
      <c r="C44" s="30" t="s">
        <v>68</v>
      </c>
      <c r="D44" s="405">
        <v>3.2714306100345176E-4</v>
      </c>
      <c r="E44" s="32">
        <f t="shared" si="4"/>
        <v>0.13020875642211505</v>
      </c>
      <c r="F44" s="233"/>
      <c r="G44" s="39">
        <f t="shared" si="5"/>
        <v>0</v>
      </c>
      <c r="H44" s="24">
        <v>69401</v>
      </c>
      <c r="I44" s="24">
        <f t="shared" si="6"/>
        <v>22.704055576700554</v>
      </c>
      <c r="J44" s="24">
        <f t="shared" si="7"/>
        <v>-100</v>
      </c>
      <c r="K44" s="720">
        <f t="shared" si="8"/>
        <v>0.65104378211057523</v>
      </c>
    </row>
    <row r="45" spans="2:11" x14ac:dyDescent="0.25">
      <c r="B45" s="30" t="s">
        <v>31</v>
      </c>
      <c r="C45" s="30" t="s">
        <v>32</v>
      </c>
      <c r="D45" s="405">
        <v>2.0131880677135491E-4</v>
      </c>
      <c r="E45" s="32">
        <f t="shared" si="4"/>
        <v>8.0128465490532319E-2</v>
      </c>
      <c r="F45" s="95"/>
      <c r="G45" s="39">
        <f t="shared" si="5"/>
        <v>0</v>
      </c>
      <c r="H45" s="24">
        <v>121899</v>
      </c>
      <c r="I45" s="24">
        <f t="shared" si="6"/>
        <v>24.540561226621392</v>
      </c>
      <c r="J45" s="24">
        <f t="shared" si="7"/>
        <v>-100</v>
      </c>
      <c r="K45" s="720">
        <f t="shared" si="8"/>
        <v>0.4006423274526616</v>
      </c>
    </row>
    <row r="46" spans="2:11" x14ac:dyDescent="0.25">
      <c r="B46" s="30" t="s">
        <v>33</v>
      </c>
      <c r="C46" s="30" t="s">
        <v>34</v>
      </c>
      <c r="D46" s="405">
        <v>1.2582425423209682E-4</v>
      </c>
      <c r="E46" s="32">
        <f t="shared" si="4"/>
        <v>5.0080290931582706E-2</v>
      </c>
      <c r="F46" s="33"/>
      <c r="G46" s="39">
        <f t="shared" si="5"/>
        <v>0</v>
      </c>
      <c r="H46" s="24">
        <v>26800</v>
      </c>
      <c r="I46" s="24">
        <f t="shared" si="6"/>
        <v>3.3720900134201948</v>
      </c>
      <c r="J46" s="24">
        <f t="shared" si="7"/>
        <v>-100</v>
      </c>
      <c r="K46" s="720">
        <f t="shared" si="8"/>
        <v>0.25040145465791352</v>
      </c>
    </row>
    <row r="47" spans="2:11" hidden="1" x14ac:dyDescent="0.25">
      <c r="B47" s="11"/>
      <c r="C47" s="11"/>
      <c r="D47" s="36"/>
      <c r="E47" s="11"/>
      <c r="F47" s="211"/>
      <c r="G47" s="25"/>
      <c r="H47" s="24"/>
      <c r="I47" s="24"/>
      <c r="J47" s="24"/>
    </row>
    <row r="48" spans="2:11" x14ac:dyDescent="0.25">
      <c r="B48" s="1824"/>
      <c r="C48" s="1824"/>
      <c r="D48" s="40">
        <f>SUM(D29:D46)</f>
        <v>0.25124505447460738</v>
      </c>
      <c r="E48" s="40">
        <f>SUM(E29:E46)</f>
        <v>100.00000000000006</v>
      </c>
      <c r="F48" s="378"/>
      <c r="G48" s="379">
        <f>SUM(G29:G46)</f>
        <v>42.456181193143038</v>
      </c>
      <c r="H48" s="656"/>
      <c r="I48" s="657">
        <f>SUM(I29:I46)</f>
        <v>1408.7727990929434</v>
      </c>
      <c r="J48" s="658">
        <f>((G48/I48)*100)-100</f>
        <v>-96.986300330296061</v>
      </c>
    </row>
    <row r="49" spans="1:10" x14ac:dyDescent="0.25">
      <c r="B49" s="16"/>
      <c r="C49" s="16"/>
      <c r="D49" s="37"/>
      <c r="E49" s="18"/>
      <c r="F49" s="18"/>
      <c r="G49" s="18"/>
      <c r="I49" s="19"/>
    </row>
    <row r="50" spans="1:10" x14ac:dyDescent="0.25">
      <c r="B50" s="16"/>
      <c r="C50" s="16"/>
      <c r="D50" s="37"/>
      <c r="E50" s="18"/>
      <c r="F50" s="18"/>
      <c r="G50" s="18"/>
      <c r="I50" s="19"/>
    </row>
    <row r="51" spans="1:10" ht="25.5" x14ac:dyDescent="0.35">
      <c r="B51" s="1827" t="s">
        <v>50</v>
      </c>
      <c r="C51" s="1828"/>
      <c r="D51" s="1872"/>
      <c r="E51" s="1873"/>
      <c r="F51" s="1873"/>
      <c r="G51" s="1873"/>
      <c r="H51" s="1873"/>
      <c r="I51" s="1873"/>
    </row>
    <row r="52" spans="1:10" x14ac:dyDescent="0.25">
      <c r="B52" s="20" t="s">
        <v>38</v>
      </c>
      <c r="C52" s="21" t="s">
        <v>82</v>
      </c>
    </row>
    <row r="53" spans="1:10" x14ac:dyDescent="0.25">
      <c r="B53" s="20" t="s">
        <v>39</v>
      </c>
      <c r="C53" s="21" t="s">
        <v>280</v>
      </c>
    </row>
    <row r="54" spans="1:10" x14ac:dyDescent="0.25">
      <c r="B54" s="20" t="s">
        <v>40</v>
      </c>
      <c r="C54" s="21">
        <v>225</v>
      </c>
    </row>
    <row r="55" spans="1:10" x14ac:dyDescent="0.25">
      <c r="B55" s="20" t="s">
        <v>41</v>
      </c>
      <c r="C55" s="21">
        <v>0</v>
      </c>
    </row>
    <row r="56" spans="1:10" x14ac:dyDescent="0.25">
      <c r="B56" s="20" t="s">
        <v>42</v>
      </c>
      <c r="C56" s="21">
        <v>0.5</v>
      </c>
    </row>
    <row r="57" spans="1:10" x14ac:dyDescent="0.25">
      <c r="B57" s="20" t="s">
        <v>43</v>
      </c>
      <c r="C57" s="21">
        <v>0.5</v>
      </c>
    </row>
    <row r="58" spans="1:10" x14ac:dyDescent="0.25">
      <c r="B58" s="20" t="s">
        <v>44</v>
      </c>
      <c r="C58" s="21">
        <v>7</v>
      </c>
    </row>
    <row r="59" spans="1:10" x14ac:dyDescent="0.25">
      <c r="B59" s="20" t="s">
        <v>45</v>
      </c>
      <c r="C59" s="21">
        <v>4</v>
      </c>
    </row>
    <row r="60" spans="1:10" x14ac:dyDescent="0.25">
      <c r="B60" s="20" t="s">
        <v>46</v>
      </c>
      <c r="C60" s="21">
        <f>C59+C58+C57+C56</f>
        <v>12</v>
      </c>
    </row>
    <row r="62" spans="1:10" ht="25.5" x14ac:dyDescent="0.35">
      <c r="B62" s="1829" t="s">
        <v>47</v>
      </c>
      <c r="C62" s="1826"/>
      <c r="D62" s="1826"/>
      <c r="E62" s="1826"/>
      <c r="F62" s="1826"/>
      <c r="G62" s="1826"/>
      <c r="H62" s="1826"/>
      <c r="I62" s="1826"/>
    </row>
    <row r="63" spans="1:10" ht="25.5" x14ac:dyDescent="0.25">
      <c r="B63" s="22" t="s">
        <v>0</v>
      </c>
      <c r="C63" s="22" t="s">
        <v>1</v>
      </c>
      <c r="D63" s="23" t="s">
        <v>2</v>
      </c>
      <c r="E63" s="200" t="s">
        <v>628</v>
      </c>
      <c r="F63" s="201" t="s">
        <v>627</v>
      </c>
      <c r="G63" s="144" t="s">
        <v>536</v>
      </c>
      <c r="H63" s="144" t="s">
        <v>512</v>
      </c>
      <c r="I63" s="144" t="s">
        <v>3</v>
      </c>
      <c r="J63" s="1">
        <v>350000</v>
      </c>
    </row>
    <row r="64" spans="1:10" x14ac:dyDescent="0.25">
      <c r="A64" s="1" t="s">
        <v>727</v>
      </c>
      <c r="B64" s="4" t="s">
        <v>520</v>
      </c>
      <c r="C64" s="4" t="s">
        <v>559</v>
      </c>
      <c r="D64" s="103">
        <v>3.5999999999999997E-2</v>
      </c>
      <c r="E64" s="24">
        <v>4271.1400000000003</v>
      </c>
      <c r="F64" s="24">
        <f>E64*D64</f>
        <v>153.76104000000001</v>
      </c>
      <c r="G64" s="24">
        <v>3800</v>
      </c>
      <c r="H64" s="24">
        <v>160.63199999999998</v>
      </c>
      <c r="I64" s="24">
        <f>((E64/G64)*100)-100</f>
        <v>12.398421052631576</v>
      </c>
      <c r="J64" s="728">
        <f>J63*D64</f>
        <v>12599.999999999998</v>
      </c>
    </row>
    <row r="65" spans="1:11" x14ac:dyDescent="0.25">
      <c r="A65" s="1" t="s">
        <v>727</v>
      </c>
      <c r="B65" s="4" t="s">
        <v>200</v>
      </c>
      <c r="C65" s="4" t="s">
        <v>201</v>
      </c>
      <c r="D65" s="103">
        <v>0.1</v>
      </c>
      <c r="E65" s="24">
        <v>28.02</v>
      </c>
      <c r="F65" s="24">
        <f>E65*D65</f>
        <v>2.802</v>
      </c>
      <c r="G65" s="24">
        <v>55</v>
      </c>
      <c r="H65" s="24">
        <v>5.2</v>
      </c>
      <c r="I65" s="24">
        <f>((E65/G65)*100)-100</f>
        <v>-49.054545454545448</v>
      </c>
      <c r="J65" s="728">
        <f>J63*D65</f>
        <v>35000</v>
      </c>
    </row>
    <row r="66" spans="1:11" x14ac:dyDescent="0.25">
      <c r="A66" s="1" t="s">
        <v>727</v>
      </c>
      <c r="B66" s="4" t="s">
        <v>356</v>
      </c>
      <c r="C66" s="4" t="s">
        <v>355</v>
      </c>
      <c r="D66" s="103">
        <v>7.2999999999999995E-2</v>
      </c>
      <c r="E66" s="24">
        <v>1069</v>
      </c>
      <c r="F66" s="24">
        <f>E66*D66</f>
        <v>78.036999999999992</v>
      </c>
      <c r="G66" s="24">
        <v>908</v>
      </c>
      <c r="H66" s="24">
        <v>64.093999999999994</v>
      </c>
      <c r="I66" s="24">
        <f>((E66/G66)*100)-100</f>
        <v>17.731277533039645</v>
      </c>
      <c r="J66" s="728">
        <f>J63*D66</f>
        <v>25550</v>
      </c>
    </row>
    <row r="67" spans="1:11" x14ac:dyDescent="0.25">
      <c r="A67" s="1" t="s">
        <v>727</v>
      </c>
      <c r="B67" s="4" t="s">
        <v>51</v>
      </c>
      <c r="C67" s="4" t="s">
        <v>52</v>
      </c>
      <c r="D67" s="103">
        <v>7.2999999999999995E-2</v>
      </c>
      <c r="E67" s="24">
        <v>1700.46</v>
      </c>
      <c r="F67" s="24">
        <f>E67*D67</f>
        <v>124.13357999999999</v>
      </c>
      <c r="G67" s="24">
        <v>1464</v>
      </c>
      <c r="H67" s="24">
        <v>97.23599999999999</v>
      </c>
      <c r="I67" s="24">
        <f>((E67/G67)*100)-100</f>
        <v>16.151639344262293</v>
      </c>
      <c r="J67" s="728">
        <f>J63*D67</f>
        <v>25550</v>
      </c>
    </row>
    <row r="68" spans="1:11" x14ac:dyDescent="0.25">
      <c r="B68" s="22"/>
      <c r="C68" s="22" t="s">
        <v>37</v>
      </c>
      <c r="D68" s="23"/>
      <c r="E68" s="23"/>
      <c r="F68" s="135">
        <f>SUM(F64,F65,F66,F67)</f>
        <v>358.73361999999997</v>
      </c>
      <c r="G68" s="23"/>
      <c r="H68" s="23">
        <f>SUM(H64:H67)</f>
        <v>327.16199999999992</v>
      </c>
      <c r="I68" s="23">
        <f>((F68/H68)*100)-100</f>
        <v>9.6501488559184878</v>
      </c>
    </row>
    <row r="70" spans="1:11" x14ac:dyDescent="0.25">
      <c r="H70" s="381"/>
      <c r="I70" s="382"/>
      <c r="J70" s="382"/>
    </row>
    <row r="71" spans="1:11" x14ac:dyDescent="0.25">
      <c r="B71" s="1825" t="s">
        <v>72</v>
      </c>
      <c r="C71" s="1825"/>
      <c r="D71" s="1749">
        <f>+F68+G48</f>
        <v>401.18980119314301</v>
      </c>
      <c r="E71" s="1749"/>
      <c r="F71" s="1749"/>
      <c r="G71" s="1749"/>
      <c r="H71" s="1749"/>
      <c r="I71" s="264"/>
      <c r="J71" s="264"/>
      <c r="K71" s="479"/>
    </row>
    <row r="72" spans="1:11" x14ac:dyDescent="0.25">
      <c r="B72" s="1830" t="s">
        <v>48</v>
      </c>
      <c r="C72" s="1831"/>
      <c r="D72" s="1749">
        <f>+(921.6/1000)*225</f>
        <v>207.35999999999999</v>
      </c>
      <c r="E72" s="1749"/>
      <c r="F72" s="1749"/>
      <c r="G72" s="1749"/>
      <c r="H72" s="1749"/>
      <c r="I72" s="265"/>
      <c r="J72" s="265"/>
    </row>
    <row r="73" spans="1:11" x14ac:dyDescent="0.25">
      <c r="B73" s="1830" t="s">
        <v>74</v>
      </c>
      <c r="C73" s="1831"/>
      <c r="D73" s="1749">
        <f>+D71+D72</f>
        <v>608.54980119314303</v>
      </c>
      <c r="E73" s="1749"/>
      <c r="F73" s="1749"/>
      <c r="G73" s="1749"/>
      <c r="H73" s="1749"/>
      <c r="I73" s="265"/>
      <c r="J73" s="265"/>
      <c r="K73" s="480"/>
    </row>
    <row r="74" spans="1:11" hidden="1" x14ac:dyDescent="0.25">
      <c r="B74" s="1825" t="s">
        <v>49</v>
      </c>
      <c r="C74" s="1825"/>
      <c r="D74" s="1749">
        <f>D73/I75</f>
        <v>361.58633463644861</v>
      </c>
      <c r="E74" s="1749"/>
      <c r="F74" s="1749"/>
      <c r="G74" s="1749"/>
      <c r="H74" s="1749"/>
      <c r="I74" s="393">
        <v>-0.68300000000000005</v>
      </c>
      <c r="J74" s="384"/>
      <c r="K74" s="481"/>
    </row>
    <row r="75" spans="1:11" x14ac:dyDescent="0.25">
      <c r="I75" s="380">
        <f>1-I74</f>
        <v>1.6830000000000001</v>
      </c>
      <c r="K75" s="482"/>
    </row>
  </sheetData>
  <autoFilter ref="B5:J5" xr:uid="{D3F84592-7A99-4D71-A7B9-BF9648D3D729}">
    <sortState xmlns:xlrd2="http://schemas.microsoft.com/office/spreadsheetml/2017/richdata2" ref="B6:J22">
      <sortCondition descending="1" ref="E5"/>
    </sortState>
  </autoFilter>
  <mergeCells count="15">
    <mergeCell ref="B72:C72"/>
    <mergeCell ref="D72:H72"/>
    <mergeCell ref="B73:C73"/>
    <mergeCell ref="D73:H73"/>
    <mergeCell ref="B74:C74"/>
    <mergeCell ref="D74:H74"/>
    <mergeCell ref="B71:C71"/>
    <mergeCell ref="D71:H71"/>
    <mergeCell ref="B3:I3"/>
    <mergeCell ref="B24:C24"/>
    <mergeCell ref="B51:C51"/>
    <mergeCell ref="D51:I51"/>
    <mergeCell ref="B62:I62"/>
    <mergeCell ref="B26:I26"/>
    <mergeCell ref="B48:C48"/>
  </mergeCells>
  <pageMargins left="0.7" right="0.7" top="0.75" bottom="0.75" header="0.3" footer="0.3"/>
  <pageSetup scale="46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66EB-4D5F-43E0-9FF7-1AB52AEE5EF0}">
  <sheetPr codeName="Hoja74"/>
  <dimension ref="B1:L74"/>
  <sheetViews>
    <sheetView topLeftCell="A25" zoomScale="70" zoomScaleNormal="70" workbookViewId="0">
      <selection activeCell="D34" sqref="D34"/>
    </sheetView>
  </sheetViews>
  <sheetFormatPr baseColWidth="10" defaultColWidth="11.5703125" defaultRowHeight="13.5" x14ac:dyDescent="0.25"/>
  <cols>
    <col min="1" max="1" width="7" style="1" bestFit="1" customWidth="1"/>
    <col min="2" max="2" width="12.28515625" style="1" customWidth="1"/>
    <col min="3" max="3" width="58.28515625" style="1" customWidth="1"/>
    <col min="4" max="4" width="13.7109375" style="38" bestFit="1" customWidth="1"/>
    <col min="5" max="5" width="13.140625" style="1" bestFit="1" customWidth="1"/>
    <col min="6" max="6" width="13.140625" style="1" customWidth="1"/>
    <col min="7" max="7" width="14.28515625" style="1" customWidth="1"/>
    <col min="8" max="8" width="12" style="38" customWidth="1"/>
    <col min="9" max="9" width="13.7109375" style="1" bestFit="1" customWidth="1"/>
    <col min="10" max="10" width="11.5703125" style="1"/>
    <col min="11" max="11" width="13" style="477" bestFit="1" customWidth="1"/>
    <col min="12" max="16384" width="11.5703125" style="1"/>
  </cols>
  <sheetData>
    <row r="1" spans="2:11" hidden="1" x14ac:dyDescent="0.25"/>
    <row r="2" spans="2:11" hidden="1" x14ac:dyDescent="0.25"/>
    <row r="3" spans="2:11" ht="25.5" hidden="1" x14ac:dyDescent="0.35">
      <c r="B3" s="1823" t="s">
        <v>526</v>
      </c>
      <c r="C3" s="1823"/>
      <c r="D3" s="1823"/>
      <c r="E3" s="1823"/>
      <c r="F3" s="1823"/>
      <c r="G3" s="1823"/>
      <c r="H3" s="1823"/>
      <c r="I3" s="1823"/>
    </row>
    <row r="4" spans="2:11" hidden="1" x14ac:dyDescent="0.25"/>
    <row r="5" spans="2:11" s="3" customFormat="1" ht="25.5" hidden="1" x14ac:dyDescent="0.25">
      <c r="B5" s="2" t="s">
        <v>0</v>
      </c>
      <c r="C5" s="2" t="s">
        <v>1</v>
      </c>
      <c r="D5" s="2" t="s">
        <v>2</v>
      </c>
      <c r="E5" s="2" t="s">
        <v>3</v>
      </c>
      <c r="F5" s="183" t="s">
        <v>628</v>
      </c>
      <c r="G5" s="149" t="s">
        <v>627</v>
      </c>
      <c r="H5" s="118" t="s">
        <v>536</v>
      </c>
      <c r="I5" s="118" t="s">
        <v>512</v>
      </c>
      <c r="J5" s="118" t="s">
        <v>3</v>
      </c>
      <c r="K5" s="718"/>
    </row>
    <row r="6" spans="2:11" ht="16.5" hidden="1" x14ac:dyDescent="0.25">
      <c r="B6" s="30" t="s">
        <v>6</v>
      </c>
      <c r="C6" s="30" t="s">
        <v>77</v>
      </c>
      <c r="D6" s="31">
        <v>0.12855533110662209</v>
      </c>
      <c r="E6" s="32">
        <f t="shared" ref="E6:E22" si="0">(D6*100)/$D$24</f>
        <v>51.014020280405596</v>
      </c>
      <c r="F6" s="72">
        <v>6993</v>
      </c>
      <c r="G6" s="32">
        <f t="shared" ref="G6:G22" si="1">F6*D6</f>
        <v>898.98743042860826</v>
      </c>
      <c r="H6" s="39">
        <v>7036</v>
      </c>
      <c r="I6" s="39">
        <f t="shared" ref="I6:I22" si="2">D6*H6</f>
        <v>904.51530966619305</v>
      </c>
      <c r="J6" s="385">
        <f>((F6/H6)*100)-100</f>
        <v>-0.61114269471291038</v>
      </c>
    </row>
    <row r="7" spans="2:11" hidden="1" x14ac:dyDescent="0.25">
      <c r="B7" s="30" t="s">
        <v>4</v>
      </c>
      <c r="C7" s="30" t="s">
        <v>53</v>
      </c>
      <c r="D7" s="31">
        <v>6.9518110362207244E-2</v>
      </c>
      <c r="E7" s="32">
        <f t="shared" si="0"/>
        <v>27.586551731034621</v>
      </c>
      <c r="F7" s="32">
        <v>7</v>
      </c>
      <c r="G7" s="32">
        <f t="shared" si="1"/>
        <v>0.48662677253545072</v>
      </c>
      <c r="H7" s="39">
        <v>7</v>
      </c>
      <c r="I7" s="39">
        <f t="shared" si="2"/>
        <v>0.48662677253545072</v>
      </c>
      <c r="J7" s="485">
        <f t="shared" ref="J7:J22" si="3">((F7/H7)*100)-100</f>
        <v>0</v>
      </c>
    </row>
    <row r="8" spans="2:11" hidden="1" x14ac:dyDescent="0.25">
      <c r="B8" s="30" t="s">
        <v>8</v>
      </c>
      <c r="C8" s="30" t="s">
        <v>56</v>
      </c>
      <c r="D8" s="31">
        <v>1.4964059281185622E-2</v>
      </c>
      <c r="E8" s="32">
        <f t="shared" si="0"/>
        <v>5.9381187623752467</v>
      </c>
      <c r="F8" s="32">
        <v>1500</v>
      </c>
      <c r="G8" s="32">
        <f t="shared" si="1"/>
        <v>22.446088921778433</v>
      </c>
      <c r="H8" s="39">
        <v>1500</v>
      </c>
      <c r="I8" s="39">
        <f t="shared" si="2"/>
        <v>22.446088921778433</v>
      </c>
      <c r="J8" s="485">
        <f t="shared" si="3"/>
        <v>0</v>
      </c>
    </row>
    <row r="9" spans="2:11" ht="16.5" hidden="1" x14ac:dyDescent="0.25">
      <c r="B9" s="30" t="s">
        <v>9</v>
      </c>
      <c r="C9" s="30" t="s">
        <v>10</v>
      </c>
      <c r="D9" s="31">
        <v>1.2655693113862276E-2</v>
      </c>
      <c r="E9" s="32">
        <f t="shared" si="0"/>
        <v>5.0221004420088402</v>
      </c>
      <c r="F9" s="184">
        <v>5975</v>
      </c>
      <c r="G9" s="32">
        <f t="shared" si="1"/>
        <v>75.617766355327106</v>
      </c>
      <c r="H9" s="39">
        <v>5680</v>
      </c>
      <c r="I9" s="39">
        <f t="shared" si="2"/>
        <v>71.884336886737728</v>
      </c>
      <c r="J9" s="468">
        <f t="shared" si="3"/>
        <v>5.1936619718309771</v>
      </c>
    </row>
    <row r="10" spans="2:11" ht="16.5" hidden="1" x14ac:dyDescent="0.25">
      <c r="B10" s="30" t="s">
        <v>11</v>
      </c>
      <c r="C10" s="30" t="s">
        <v>12</v>
      </c>
      <c r="D10" s="31">
        <v>1.0123042460849215E-2</v>
      </c>
      <c r="E10" s="32">
        <f t="shared" si="0"/>
        <v>4.0170803416068308</v>
      </c>
      <c r="F10" s="184">
        <v>16084</v>
      </c>
      <c r="G10" s="32">
        <f t="shared" si="1"/>
        <v>162.81901494029879</v>
      </c>
      <c r="H10" s="39">
        <v>14486</v>
      </c>
      <c r="I10" s="39">
        <f t="shared" si="2"/>
        <v>146.64239308786173</v>
      </c>
      <c r="J10" s="468">
        <f t="shared" si="3"/>
        <v>11.031340604721791</v>
      </c>
    </row>
    <row r="11" spans="2:11" hidden="1" x14ac:dyDescent="0.25">
      <c r="B11" s="30" t="s">
        <v>5</v>
      </c>
      <c r="C11" s="30" t="s">
        <v>55</v>
      </c>
      <c r="D11" s="31">
        <v>6.1237224744494882E-3</v>
      </c>
      <c r="E11" s="32">
        <f t="shared" si="0"/>
        <v>2.430048600972019</v>
      </c>
      <c r="F11" s="106">
        <v>5484</v>
      </c>
      <c r="G11" s="32">
        <f t="shared" si="1"/>
        <v>33.582494049880992</v>
      </c>
      <c r="H11" s="39">
        <v>5315</v>
      </c>
      <c r="I11" s="39">
        <f t="shared" si="2"/>
        <v>32.547584951699029</v>
      </c>
      <c r="J11" s="468">
        <f t="shared" si="3"/>
        <v>3.1796801505173988</v>
      </c>
    </row>
    <row r="12" spans="2:11" hidden="1" x14ac:dyDescent="0.25">
      <c r="B12" s="30" t="s">
        <v>13</v>
      </c>
      <c r="C12" s="30" t="s">
        <v>14</v>
      </c>
      <c r="D12" s="31">
        <v>2.7846556931138623E-3</v>
      </c>
      <c r="E12" s="32">
        <f t="shared" si="0"/>
        <v>1.1050221004420089</v>
      </c>
      <c r="F12" s="32">
        <v>33158</v>
      </c>
      <c r="G12" s="32">
        <f t="shared" si="1"/>
        <v>92.333613472269448</v>
      </c>
      <c r="H12" s="39">
        <v>32239</v>
      </c>
      <c r="I12" s="39">
        <f t="shared" si="2"/>
        <v>89.774514890297809</v>
      </c>
      <c r="J12" s="468">
        <f t="shared" si="3"/>
        <v>2.8505846955550851</v>
      </c>
    </row>
    <row r="13" spans="2:11" hidden="1" x14ac:dyDescent="0.25">
      <c r="B13" s="30" t="s">
        <v>17</v>
      </c>
      <c r="C13" s="30" t="s">
        <v>18</v>
      </c>
      <c r="D13" s="31">
        <v>2.1924438488769779E-3</v>
      </c>
      <c r="E13" s="32">
        <f t="shared" si="0"/>
        <v>0.87001740034800712</v>
      </c>
      <c r="F13" s="32">
        <v>878</v>
      </c>
      <c r="G13" s="32">
        <f t="shared" si="1"/>
        <v>1.9249656993139865</v>
      </c>
      <c r="H13" s="39">
        <v>878</v>
      </c>
      <c r="I13" s="484">
        <f t="shared" si="2"/>
        <v>1.9249656993139865</v>
      </c>
      <c r="J13" s="485">
        <f t="shared" si="3"/>
        <v>0</v>
      </c>
    </row>
    <row r="14" spans="2:11" ht="16.5" hidden="1" x14ac:dyDescent="0.25">
      <c r="B14" s="30" t="s">
        <v>78</v>
      </c>
      <c r="C14" s="30" t="s">
        <v>79</v>
      </c>
      <c r="D14" s="31">
        <v>1.265065301306026E-3</v>
      </c>
      <c r="E14" s="32">
        <f t="shared" si="0"/>
        <v>0.50201004020080398</v>
      </c>
      <c r="F14" s="184">
        <v>62980</v>
      </c>
      <c r="G14" s="32">
        <f t="shared" si="1"/>
        <v>79.673812676253519</v>
      </c>
      <c r="H14" s="39">
        <v>62980</v>
      </c>
      <c r="I14" s="39">
        <f t="shared" si="2"/>
        <v>79.673812676253519</v>
      </c>
      <c r="J14" s="485">
        <f t="shared" si="3"/>
        <v>0</v>
      </c>
    </row>
    <row r="15" spans="2:11" hidden="1" x14ac:dyDescent="0.25">
      <c r="B15" s="30" t="s">
        <v>337</v>
      </c>
      <c r="C15" s="30" t="s">
        <v>336</v>
      </c>
      <c r="D15" s="31">
        <v>1.0080201604032082E-3</v>
      </c>
      <c r="E15" s="32">
        <f t="shared" si="0"/>
        <v>0.40000800016000326</v>
      </c>
      <c r="F15" s="39">
        <v>32870</v>
      </c>
      <c r="G15" s="32">
        <f t="shared" si="1"/>
        <v>33.133622672453455</v>
      </c>
      <c r="H15" s="39">
        <v>32870</v>
      </c>
      <c r="I15" s="39">
        <f t="shared" si="2"/>
        <v>33.133622672453455</v>
      </c>
      <c r="J15" s="485">
        <f t="shared" si="3"/>
        <v>0</v>
      </c>
    </row>
    <row r="16" spans="2:11" ht="16.5" hidden="1" x14ac:dyDescent="0.25">
      <c r="B16" s="30" t="s">
        <v>25</v>
      </c>
      <c r="C16" s="30" t="s">
        <v>26</v>
      </c>
      <c r="D16" s="31">
        <v>7.5853517070341404E-4</v>
      </c>
      <c r="E16" s="32">
        <f t="shared" si="0"/>
        <v>0.3010060201204024</v>
      </c>
      <c r="F16" s="72">
        <v>59418</v>
      </c>
      <c r="G16" s="32">
        <f t="shared" si="1"/>
        <v>45.070642772855457</v>
      </c>
      <c r="H16" s="39">
        <v>59766</v>
      </c>
      <c r="I16" s="39">
        <f t="shared" si="2"/>
        <v>45.334613012260242</v>
      </c>
      <c r="J16" s="385">
        <f t="shared" si="3"/>
        <v>-0.58227085633973275</v>
      </c>
    </row>
    <row r="17" spans="2:12" hidden="1" x14ac:dyDescent="0.25">
      <c r="B17" s="30" t="s">
        <v>80</v>
      </c>
      <c r="C17" s="30" t="s">
        <v>81</v>
      </c>
      <c r="D17" s="31">
        <v>6.2497249944998886E-4</v>
      </c>
      <c r="E17" s="32">
        <f t="shared" si="0"/>
        <v>0.24800496009920195</v>
      </c>
      <c r="F17" s="106">
        <v>21400</v>
      </c>
      <c r="G17" s="32">
        <f t="shared" si="1"/>
        <v>13.374411488229761</v>
      </c>
      <c r="H17" s="39">
        <v>20650</v>
      </c>
      <c r="I17" s="39">
        <f t="shared" si="2"/>
        <v>12.905682113642269</v>
      </c>
      <c r="J17" s="468">
        <f t="shared" si="3"/>
        <v>3.6319612590799011</v>
      </c>
    </row>
    <row r="18" spans="2:12" hidden="1" x14ac:dyDescent="0.25">
      <c r="B18" s="30" t="s">
        <v>29</v>
      </c>
      <c r="C18" s="30" t="s">
        <v>30</v>
      </c>
      <c r="D18" s="31">
        <v>4.1832836656733132E-4</v>
      </c>
      <c r="E18" s="32">
        <f t="shared" si="0"/>
        <v>0.16600332006640131</v>
      </c>
      <c r="F18" s="32">
        <v>2500</v>
      </c>
      <c r="G18" s="32">
        <f t="shared" si="1"/>
        <v>1.0458209164183283</v>
      </c>
      <c r="H18" s="39">
        <v>2554</v>
      </c>
      <c r="I18" s="39">
        <f t="shared" si="2"/>
        <v>1.0684106482129643</v>
      </c>
      <c r="J18" s="385">
        <f t="shared" si="3"/>
        <v>-2.1143304620203622</v>
      </c>
    </row>
    <row r="19" spans="2:12" hidden="1" x14ac:dyDescent="0.25">
      <c r="B19" s="30" t="s">
        <v>67</v>
      </c>
      <c r="C19" s="30" t="s">
        <v>68</v>
      </c>
      <c r="D19" s="31">
        <v>3.4020680413608277E-4</v>
      </c>
      <c r="E19" s="32">
        <f t="shared" si="0"/>
        <v>0.13500270005400111</v>
      </c>
      <c r="F19" s="233">
        <v>69401</v>
      </c>
      <c r="G19" s="32">
        <f t="shared" si="1"/>
        <v>23.61069241384828</v>
      </c>
      <c r="H19" s="285">
        <v>69401</v>
      </c>
      <c r="I19" s="39">
        <f t="shared" si="2"/>
        <v>23.61069241384828</v>
      </c>
      <c r="J19" s="485">
        <f t="shared" si="3"/>
        <v>0</v>
      </c>
    </row>
    <row r="20" spans="2:12" ht="16.5" hidden="1" x14ac:dyDescent="0.25">
      <c r="B20" s="30" t="s">
        <v>61</v>
      </c>
      <c r="C20" s="30" t="s">
        <v>62</v>
      </c>
      <c r="D20" s="31">
        <v>3.4020680413608277E-4</v>
      </c>
      <c r="E20" s="32">
        <f t="shared" si="0"/>
        <v>0.13500270005400111</v>
      </c>
      <c r="F20" s="72">
        <v>30713</v>
      </c>
      <c r="G20" s="32">
        <f t="shared" si="1"/>
        <v>10.448771575431509</v>
      </c>
      <c r="H20" s="284">
        <v>30713</v>
      </c>
      <c r="I20" s="39">
        <f t="shared" si="2"/>
        <v>10.448771575431509</v>
      </c>
      <c r="J20" s="485">
        <f t="shared" si="3"/>
        <v>0</v>
      </c>
    </row>
    <row r="21" spans="2:12" hidden="1" x14ac:dyDescent="0.25">
      <c r="B21" s="30" t="s">
        <v>31</v>
      </c>
      <c r="C21" s="30" t="s">
        <v>32</v>
      </c>
      <c r="D21" s="31">
        <v>2.0160403208064164E-4</v>
      </c>
      <c r="E21" s="32">
        <f t="shared" si="0"/>
        <v>8.0001600032000644E-2</v>
      </c>
      <c r="F21" s="95">
        <v>121899</v>
      </c>
      <c r="G21" s="32">
        <f t="shared" si="1"/>
        <v>24.575329906598135</v>
      </c>
      <c r="H21" s="95">
        <v>121899</v>
      </c>
      <c r="I21" s="39">
        <f t="shared" si="2"/>
        <v>24.575329906598135</v>
      </c>
      <c r="J21" s="485">
        <f t="shared" si="3"/>
        <v>0</v>
      </c>
    </row>
    <row r="22" spans="2:12" hidden="1" x14ac:dyDescent="0.25">
      <c r="B22" s="30" t="s">
        <v>33</v>
      </c>
      <c r="C22" s="30" t="s">
        <v>34</v>
      </c>
      <c r="D22" s="31">
        <v>1.2600252005040099E-4</v>
      </c>
      <c r="E22" s="32">
        <f t="shared" si="0"/>
        <v>5.0001000020000394E-2</v>
      </c>
      <c r="F22" s="33">
        <v>26800</v>
      </c>
      <c r="G22" s="32">
        <f t="shared" si="1"/>
        <v>3.3768675373507469</v>
      </c>
      <c r="H22" s="33">
        <v>26800</v>
      </c>
      <c r="I22" s="39">
        <f t="shared" si="2"/>
        <v>3.3768675373507469</v>
      </c>
      <c r="J22" s="485">
        <f t="shared" si="3"/>
        <v>0</v>
      </c>
    </row>
    <row r="23" spans="2:12" hidden="1" x14ac:dyDescent="0.25">
      <c r="B23" s="11"/>
      <c r="C23" s="11"/>
      <c r="D23" s="36"/>
      <c r="E23" s="11"/>
      <c r="F23" s="11"/>
      <c r="G23" s="11"/>
      <c r="H23" s="36"/>
      <c r="I23" s="11"/>
      <c r="J23" s="11"/>
    </row>
    <row r="24" spans="2:12" hidden="1" x14ac:dyDescent="0.25">
      <c r="B24" s="1824" t="s">
        <v>37</v>
      </c>
      <c r="C24" s="1824"/>
      <c r="D24" s="40">
        <f>SUM(D6:D22)</f>
        <v>0.252</v>
      </c>
      <c r="E24" s="13">
        <f>SUM(E6:E22)</f>
        <v>99.999999999999972</v>
      </c>
      <c r="F24" s="13"/>
      <c r="G24" s="210">
        <f>SUM(G6:G22)</f>
        <v>1522.5079725994517</v>
      </c>
      <c r="H24" s="41"/>
      <c r="I24" s="15">
        <f>SUM(I6:I22)</f>
        <v>1504.3496234324682</v>
      </c>
      <c r="J24" s="210">
        <f>((G24/I24)*100)-100</f>
        <v>1.2070564504514323</v>
      </c>
    </row>
    <row r="25" spans="2:12" x14ac:dyDescent="0.25">
      <c r="B25" s="16"/>
      <c r="C25" s="16"/>
      <c r="D25" s="37"/>
      <c r="E25" s="18"/>
      <c r="F25" s="18"/>
      <c r="G25" s="18"/>
      <c r="I25" s="19"/>
    </row>
    <row r="26" spans="2:12" ht="25.5" x14ac:dyDescent="0.35">
      <c r="B26" s="1823" t="s">
        <v>527</v>
      </c>
      <c r="C26" s="1823"/>
      <c r="D26" s="1823"/>
      <c r="E26" s="1823"/>
      <c r="F26" s="1823"/>
      <c r="G26" s="1823"/>
      <c r="H26" s="1823"/>
      <c r="I26" s="1823"/>
    </row>
    <row r="28" spans="2:12" s="3" customFormat="1" ht="25.5" x14ac:dyDescent="0.25">
      <c r="B28" s="2" t="s">
        <v>0</v>
      </c>
      <c r="C28" s="2" t="s">
        <v>1</v>
      </c>
      <c r="D28" s="2" t="s">
        <v>2</v>
      </c>
      <c r="E28" s="2" t="s">
        <v>3</v>
      </c>
      <c r="F28" s="377" t="s">
        <v>628</v>
      </c>
      <c r="G28" s="149" t="s">
        <v>627</v>
      </c>
      <c r="H28" s="144" t="s">
        <v>536</v>
      </c>
      <c r="I28" s="144" t="s">
        <v>512</v>
      </c>
      <c r="J28" s="144" t="s">
        <v>3</v>
      </c>
      <c r="K28" s="718">
        <v>1494</v>
      </c>
    </row>
    <row r="29" spans="2:12" ht="16.5" x14ac:dyDescent="0.25">
      <c r="B29" s="30" t="s">
        <v>6</v>
      </c>
      <c r="C29" s="30" t="s">
        <v>77</v>
      </c>
      <c r="D29" s="405">
        <v>746.99501645641374</v>
      </c>
      <c r="E29" s="32">
        <f t="shared" ref="E29:E45" si="4">(D29*100)/$D$47</f>
        <v>49.999666429478843</v>
      </c>
      <c r="F29" s="72">
        <v>7012.5</v>
      </c>
      <c r="G29" s="39">
        <f>F29*D29</f>
        <v>5238302.5529006012</v>
      </c>
      <c r="H29" s="24">
        <v>6993</v>
      </c>
      <c r="I29" s="24">
        <f>H29*D29</f>
        <v>5223736.1500797011</v>
      </c>
      <c r="J29" s="469">
        <f>((G29/I29)*100)-100</f>
        <v>0.27885027885028535</v>
      </c>
      <c r="K29" s="477">
        <f>$K$28*E29%</f>
        <v>746.99501645641396</v>
      </c>
      <c r="L29" s="153">
        <f>K29*5</f>
        <v>3734.9750822820697</v>
      </c>
    </row>
    <row r="30" spans="2:12" x14ac:dyDescent="0.25">
      <c r="B30" s="30" t="s">
        <v>4</v>
      </c>
      <c r="C30" s="30" t="s">
        <v>53</v>
      </c>
      <c r="D30" s="405">
        <v>291.49239532162164</v>
      </c>
      <c r="E30" s="32">
        <f t="shared" si="4"/>
        <v>19.510869834111229</v>
      </c>
      <c r="F30" s="35">
        <v>7</v>
      </c>
      <c r="G30" s="39">
        <f t="shared" ref="G30:G45" si="5">F30*D30</f>
        <v>2040.4467672513515</v>
      </c>
      <c r="H30" s="24">
        <v>7</v>
      </c>
      <c r="I30" s="24">
        <f t="shared" ref="I30:I45" si="6">H30*D30</f>
        <v>2040.4467672513515</v>
      </c>
      <c r="J30" s="24">
        <f t="shared" ref="J30:J45" si="7">((G30/I30)*100)-100</f>
        <v>0</v>
      </c>
      <c r="K30" s="477">
        <f t="shared" ref="K30:K45" si="8">$K$28*E30%</f>
        <v>291.49239532162176</v>
      </c>
      <c r="L30" s="153">
        <f t="shared" ref="L30:L45" si="9">K30*5</f>
        <v>1457.4619766081087</v>
      </c>
    </row>
    <row r="31" spans="2:12" x14ac:dyDescent="0.25">
      <c r="B31" s="30" t="s">
        <v>8</v>
      </c>
      <c r="C31" s="30" t="s">
        <v>56</v>
      </c>
      <c r="D31" s="405">
        <v>149.39900329128267</v>
      </c>
      <c r="E31" s="32">
        <f t="shared" si="4"/>
        <v>9.9999332858957644</v>
      </c>
      <c r="F31" s="35">
        <v>1500</v>
      </c>
      <c r="G31" s="39">
        <f t="shared" si="5"/>
        <v>224098.504936924</v>
      </c>
      <c r="H31" s="24">
        <v>1500</v>
      </c>
      <c r="I31" s="24">
        <f t="shared" si="6"/>
        <v>224098.504936924</v>
      </c>
      <c r="J31" s="24">
        <f t="shared" si="7"/>
        <v>0</v>
      </c>
      <c r="K31" s="477">
        <f t="shared" si="8"/>
        <v>149.3990032912827</v>
      </c>
      <c r="L31" s="153">
        <f t="shared" si="9"/>
        <v>746.99501645641351</v>
      </c>
    </row>
    <row r="32" spans="2:12" ht="16.5" x14ac:dyDescent="0.25">
      <c r="B32" s="30" t="s">
        <v>498</v>
      </c>
      <c r="C32" s="30" t="s">
        <v>499</v>
      </c>
      <c r="D32" s="405">
        <v>86.651421908943945</v>
      </c>
      <c r="E32" s="32">
        <f t="shared" si="4"/>
        <v>5.7999613058195427</v>
      </c>
      <c r="F32" s="375">
        <v>3160</v>
      </c>
      <c r="G32" s="39">
        <f t="shared" si="5"/>
        <v>273818.49323226284</v>
      </c>
      <c r="H32" s="24">
        <v>3160</v>
      </c>
      <c r="I32" s="24">
        <f t="shared" si="6"/>
        <v>273818.49323226284</v>
      </c>
      <c r="J32" s="24">
        <f t="shared" si="7"/>
        <v>0</v>
      </c>
      <c r="K32" s="477">
        <f t="shared" si="8"/>
        <v>86.651421908943973</v>
      </c>
      <c r="L32" s="153">
        <f t="shared" si="9"/>
        <v>433.25710954471987</v>
      </c>
    </row>
    <row r="33" spans="2:12" x14ac:dyDescent="0.25">
      <c r="B33" s="30" t="s">
        <v>9</v>
      </c>
      <c r="C33" s="30" t="s">
        <v>10</v>
      </c>
      <c r="D33" s="405">
        <v>74.699501645641334</v>
      </c>
      <c r="E33" s="32">
        <f t="shared" si="4"/>
        <v>4.9999666429478822</v>
      </c>
      <c r="F33" s="376">
        <v>6316.85</v>
      </c>
      <c r="G33" s="39">
        <f t="shared" si="5"/>
        <v>471865.54697026947</v>
      </c>
      <c r="H33" s="24">
        <v>5975</v>
      </c>
      <c r="I33" s="24">
        <f t="shared" si="6"/>
        <v>446329.52233270695</v>
      </c>
      <c r="J33" s="469">
        <f t="shared" si="7"/>
        <v>5.7213389121338878</v>
      </c>
      <c r="K33" s="477">
        <f t="shared" si="8"/>
        <v>74.699501645641348</v>
      </c>
      <c r="L33" s="153">
        <f t="shared" si="9"/>
        <v>373.49750822820675</v>
      </c>
    </row>
    <row r="34" spans="2:12" x14ac:dyDescent="0.25">
      <c r="B34" s="30" t="s">
        <v>7</v>
      </c>
      <c r="C34" s="30" t="s">
        <v>58</v>
      </c>
      <c r="D34" s="405">
        <v>59.75960131651307</v>
      </c>
      <c r="E34" s="32">
        <f t="shared" si="4"/>
        <v>3.9999733143583058</v>
      </c>
      <c r="F34" s="235">
        <v>7022</v>
      </c>
      <c r="G34" s="39">
        <f t="shared" si="5"/>
        <v>419631.92044455477</v>
      </c>
      <c r="H34" s="24">
        <v>7029</v>
      </c>
      <c r="I34" s="24">
        <f t="shared" si="6"/>
        <v>420050.23765377037</v>
      </c>
      <c r="J34" s="483">
        <f t="shared" si="7"/>
        <v>-9.9587423531090735E-2</v>
      </c>
      <c r="K34" s="477">
        <f t="shared" si="8"/>
        <v>59.759601316513091</v>
      </c>
      <c r="L34" s="153">
        <f t="shared" si="9"/>
        <v>298.79800658256545</v>
      </c>
    </row>
    <row r="35" spans="2:12" ht="16.5" x14ac:dyDescent="0.25">
      <c r="B35" s="30" t="s">
        <v>11</v>
      </c>
      <c r="C35" s="30" t="s">
        <v>12</v>
      </c>
      <c r="D35" s="405">
        <v>44.819700987384806</v>
      </c>
      <c r="E35" s="32">
        <f t="shared" si="4"/>
        <v>2.9999799857687295</v>
      </c>
      <c r="F35" s="72">
        <v>16768.689999999999</v>
      </c>
      <c r="G35" s="39">
        <f t="shared" si="5"/>
        <v>751567.67175014969</v>
      </c>
      <c r="H35" s="24">
        <v>16084</v>
      </c>
      <c r="I35" s="24">
        <f t="shared" si="6"/>
        <v>720880.07068109722</v>
      </c>
      <c r="J35" s="469">
        <f t="shared" si="7"/>
        <v>4.2569634419298694</v>
      </c>
      <c r="K35" s="477">
        <f t="shared" si="8"/>
        <v>44.819700987384813</v>
      </c>
      <c r="L35" s="153">
        <f t="shared" si="9"/>
        <v>224.09850493692406</v>
      </c>
    </row>
    <row r="36" spans="2:12" x14ac:dyDescent="0.25">
      <c r="B36" s="721" t="s">
        <v>17</v>
      </c>
      <c r="C36" s="721" t="s">
        <v>18</v>
      </c>
      <c r="D36" s="405">
        <v>10.756751564284636</v>
      </c>
      <c r="E36" s="32">
        <f t="shared" si="4"/>
        <v>0.71999675798424634</v>
      </c>
      <c r="F36" s="35">
        <v>878</v>
      </c>
      <c r="G36" s="39">
        <f t="shared" si="5"/>
        <v>9444.4278734419113</v>
      </c>
      <c r="H36" s="24">
        <v>878</v>
      </c>
      <c r="I36" s="24">
        <f t="shared" si="6"/>
        <v>9444.4278734419113</v>
      </c>
      <c r="J36" s="24">
        <f t="shared" si="7"/>
        <v>0</v>
      </c>
      <c r="K36" s="477">
        <f t="shared" si="8"/>
        <v>10.756751564284642</v>
      </c>
      <c r="L36" s="153">
        <f t="shared" si="9"/>
        <v>53.783757821423208</v>
      </c>
    </row>
    <row r="37" spans="2:12" x14ac:dyDescent="0.25">
      <c r="B37" s="721" t="s">
        <v>278</v>
      </c>
      <c r="C37" s="721" t="s">
        <v>279</v>
      </c>
      <c r="D37" s="405">
        <v>8.3663623277769421</v>
      </c>
      <c r="E37" s="32">
        <f t="shared" si="4"/>
        <v>0.55999747843219172</v>
      </c>
      <c r="F37" s="39">
        <v>34000</v>
      </c>
      <c r="G37" s="39">
        <f t="shared" si="5"/>
        <v>284456.31914441602</v>
      </c>
      <c r="H37" s="24">
        <v>32870</v>
      </c>
      <c r="I37" s="24">
        <f t="shared" si="6"/>
        <v>275002.32971402811</v>
      </c>
      <c r="J37" s="24">
        <f t="shared" si="7"/>
        <v>3.4377852144812806</v>
      </c>
      <c r="K37" s="477">
        <f t="shared" si="8"/>
        <v>8.3663623277769439</v>
      </c>
      <c r="L37" s="153">
        <f t="shared" si="9"/>
        <v>41.831811638884716</v>
      </c>
    </row>
    <row r="38" spans="2:12" ht="16.5" x14ac:dyDescent="0.25">
      <c r="B38" s="30" t="s">
        <v>25</v>
      </c>
      <c r="C38" s="30" t="s">
        <v>26</v>
      </c>
      <c r="D38" s="405">
        <v>4.481970098738481</v>
      </c>
      <c r="E38" s="32">
        <f t="shared" si="4"/>
        <v>0.29999799857687298</v>
      </c>
      <c r="F38" s="184">
        <v>62980</v>
      </c>
      <c r="G38" s="39">
        <f t="shared" si="5"/>
        <v>282274.4768185495</v>
      </c>
      <c r="H38" s="24">
        <v>59418</v>
      </c>
      <c r="I38" s="24">
        <f t="shared" si="6"/>
        <v>266309.69932684308</v>
      </c>
      <c r="J38" s="469">
        <f t="shared" si="7"/>
        <v>5.994816385607038</v>
      </c>
      <c r="K38" s="477">
        <f t="shared" si="8"/>
        <v>4.4819700987384827</v>
      </c>
      <c r="L38" s="153">
        <f t="shared" si="9"/>
        <v>22.409850493692414</v>
      </c>
    </row>
    <row r="39" spans="2:12" ht="16.5" x14ac:dyDescent="0.25">
      <c r="B39" s="30" t="s">
        <v>467</v>
      </c>
      <c r="C39" s="406" t="s">
        <v>539</v>
      </c>
      <c r="D39" s="405">
        <v>4.4769558148045716</v>
      </c>
      <c r="E39" s="32">
        <f t="shared" si="4"/>
        <v>0.29966237046884692</v>
      </c>
      <c r="F39" s="72">
        <v>62980</v>
      </c>
      <c r="G39" s="39">
        <f t="shared" si="5"/>
        <v>281958.67721639189</v>
      </c>
      <c r="H39" s="24">
        <v>62980</v>
      </c>
      <c r="I39" s="24">
        <f t="shared" si="6"/>
        <v>281958.67721639189</v>
      </c>
      <c r="J39" s="24">
        <f t="shared" si="7"/>
        <v>0</v>
      </c>
      <c r="K39" s="477">
        <f t="shared" si="8"/>
        <v>4.4769558148045734</v>
      </c>
      <c r="L39" s="153">
        <f t="shared" si="9"/>
        <v>22.384779074022866</v>
      </c>
    </row>
    <row r="40" spans="2:12" x14ac:dyDescent="0.25">
      <c r="B40" s="30" t="s">
        <v>80</v>
      </c>
      <c r="C40" s="30" t="s">
        <v>81</v>
      </c>
      <c r="D40" s="405">
        <v>3.7349750822820669</v>
      </c>
      <c r="E40" s="32">
        <f t="shared" si="4"/>
        <v>0.24999833214739411</v>
      </c>
      <c r="F40" s="106">
        <v>21400</v>
      </c>
      <c r="G40" s="39">
        <f t="shared" si="5"/>
        <v>79928.466760836236</v>
      </c>
      <c r="H40" s="24">
        <v>21400</v>
      </c>
      <c r="I40" s="24">
        <f t="shared" si="6"/>
        <v>79928.466760836236</v>
      </c>
      <c r="J40" s="24">
        <f t="shared" si="7"/>
        <v>0</v>
      </c>
      <c r="K40" s="477">
        <f t="shared" si="8"/>
        <v>3.7349750822820682</v>
      </c>
      <c r="L40" s="153">
        <f t="shared" si="9"/>
        <v>18.674875411410341</v>
      </c>
    </row>
    <row r="41" spans="2:12" x14ac:dyDescent="0.25">
      <c r="B41" s="30" t="s">
        <v>29</v>
      </c>
      <c r="C41" s="30" t="s">
        <v>30</v>
      </c>
      <c r="D41" s="405">
        <v>2.5397830559518053</v>
      </c>
      <c r="E41" s="32">
        <f t="shared" si="4"/>
        <v>0.16999886586022797</v>
      </c>
      <c r="F41" s="32">
        <v>2500</v>
      </c>
      <c r="G41" s="39">
        <f t="shared" si="5"/>
        <v>6349.4576398795134</v>
      </c>
      <c r="H41" s="24">
        <v>2500</v>
      </c>
      <c r="I41" s="24">
        <f t="shared" si="6"/>
        <v>6349.4576398795134</v>
      </c>
      <c r="J41" s="24">
        <f t="shared" si="7"/>
        <v>0</v>
      </c>
      <c r="K41" s="477">
        <f t="shared" si="8"/>
        <v>2.5397830559518058</v>
      </c>
      <c r="L41" s="153">
        <f t="shared" si="9"/>
        <v>12.698915279759028</v>
      </c>
    </row>
    <row r="42" spans="2:12" ht="16.5" x14ac:dyDescent="0.25">
      <c r="B42" s="30" t="s">
        <v>61</v>
      </c>
      <c r="C42" s="30" t="s">
        <v>62</v>
      </c>
      <c r="D42" s="405">
        <v>1.9421870427866752</v>
      </c>
      <c r="E42" s="32">
        <f t="shared" si="4"/>
        <v>0.12999913271664498</v>
      </c>
      <c r="F42" s="72">
        <v>30713</v>
      </c>
      <c r="G42" s="39">
        <f t="shared" si="5"/>
        <v>59650.390645107153</v>
      </c>
      <c r="H42" s="24">
        <v>30713</v>
      </c>
      <c r="I42" s="24">
        <f t="shared" si="6"/>
        <v>59650.390645107153</v>
      </c>
      <c r="J42" s="24">
        <f t="shared" si="7"/>
        <v>0</v>
      </c>
      <c r="K42" s="477">
        <f t="shared" si="8"/>
        <v>1.9421870427866761</v>
      </c>
      <c r="L42" s="153">
        <f t="shared" si="9"/>
        <v>9.7109352139333804</v>
      </c>
    </row>
    <row r="43" spans="2:12" x14ac:dyDescent="0.25">
      <c r="B43" s="30" t="s">
        <v>67</v>
      </c>
      <c r="C43" s="30" t="s">
        <v>68</v>
      </c>
      <c r="D43" s="405">
        <v>1.9421870427866752</v>
      </c>
      <c r="E43" s="32">
        <f t="shared" si="4"/>
        <v>0.12999913271664498</v>
      </c>
      <c r="F43" s="233">
        <v>69401</v>
      </c>
      <c r="G43" s="39">
        <f t="shared" si="5"/>
        <v>134789.72295643805</v>
      </c>
      <c r="H43" s="24">
        <v>69401</v>
      </c>
      <c r="I43" s="24">
        <f t="shared" si="6"/>
        <v>134789.72295643805</v>
      </c>
      <c r="J43" s="24">
        <f t="shared" si="7"/>
        <v>0</v>
      </c>
      <c r="K43" s="477">
        <f t="shared" si="8"/>
        <v>1.9421870427866761</v>
      </c>
      <c r="L43" s="153">
        <f t="shared" si="9"/>
        <v>9.7109352139333804</v>
      </c>
    </row>
    <row r="44" spans="2:12" x14ac:dyDescent="0.25">
      <c r="B44" s="30" t="s">
        <v>31</v>
      </c>
      <c r="C44" s="30" t="s">
        <v>32</v>
      </c>
      <c r="D44" s="405">
        <v>1.1951920263302616</v>
      </c>
      <c r="E44" s="32">
        <f t="shared" si="4"/>
        <v>7.9999466287166129E-2</v>
      </c>
      <c r="F44" s="95">
        <v>121899</v>
      </c>
      <c r="G44" s="39">
        <f t="shared" si="5"/>
        <v>145692.71281763256</v>
      </c>
      <c r="H44" s="24">
        <v>121899</v>
      </c>
      <c r="I44" s="24">
        <f t="shared" si="6"/>
        <v>145692.71281763256</v>
      </c>
      <c r="J44" s="24">
        <f t="shared" si="7"/>
        <v>0</v>
      </c>
      <c r="K44" s="477">
        <f t="shared" si="8"/>
        <v>1.195192026330262</v>
      </c>
      <c r="L44" s="153">
        <f t="shared" si="9"/>
        <v>5.97596013165131</v>
      </c>
    </row>
    <row r="45" spans="2:12" x14ac:dyDescent="0.25">
      <c r="B45" s="30" t="s">
        <v>33</v>
      </c>
      <c r="C45" s="30" t="s">
        <v>34</v>
      </c>
      <c r="D45" s="405">
        <v>0.74699501645641375</v>
      </c>
      <c r="E45" s="32">
        <f t="shared" si="4"/>
        <v>4.9999666429478846E-2</v>
      </c>
      <c r="F45" s="33">
        <v>26800</v>
      </c>
      <c r="G45" s="39">
        <f t="shared" si="5"/>
        <v>20019.466441031887</v>
      </c>
      <c r="H45" s="24">
        <v>26800</v>
      </c>
      <c r="I45" s="24">
        <f t="shared" si="6"/>
        <v>20019.466441031887</v>
      </c>
      <c r="J45" s="24">
        <f t="shared" si="7"/>
        <v>0</v>
      </c>
      <c r="K45" s="477">
        <f t="shared" si="8"/>
        <v>0.74699501645641397</v>
      </c>
      <c r="L45" s="153">
        <f t="shared" si="9"/>
        <v>3.73497508228207</v>
      </c>
    </row>
    <row r="46" spans="2:12" hidden="1" x14ac:dyDescent="0.25">
      <c r="B46" s="11"/>
      <c r="C46" s="11"/>
      <c r="D46" s="36"/>
      <c r="E46" s="11"/>
      <c r="F46" s="211"/>
      <c r="G46" s="25"/>
      <c r="H46" s="24"/>
      <c r="I46" s="24"/>
      <c r="J46" s="24"/>
    </row>
    <row r="47" spans="2:12" x14ac:dyDescent="0.25">
      <c r="B47" s="1824"/>
      <c r="C47" s="1824"/>
      <c r="D47" s="40">
        <f>SUM(D29:D45)</f>
        <v>1493.9999999999995</v>
      </c>
      <c r="E47" s="40">
        <f>SUM(E29:E45)</f>
        <v>100.00000000000001</v>
      </c>
      <c r="F47" s="378"/>
      <c r="G47" s="379">
        <f>SUM(G29:G45)</f>
        <v>8685889.2553157378</v>
      </c>
      <c r="H47" s="656"/>
      <c r="I47" s="657">
        <f>SUM(I29:I45)</f>
        <v>8590098.7770753428</v>
      </c>
      <c r="J47" s="658">
        <f>((G47/I47)*100)-100</f>
        <v>1.1151266210818562</v>
      </c>
    </row>
    <row r="48" spans="2:12" x14ac:dyDescent="0.25">
      <c r="B48" s="16"/>
      <c r="C48" s="16"/>
      <c r="D48" s="37"/>
      <c r="E48" s="18"/>
      <c r="F48" s="18"/>
      <c r="G48" s="18"/>
      <c r="I48" s="19"/>
    </row>
    <row r="49" spans="2:9" x14ac:dyDescent="0.25">
      <c r="B49" s="16"/>
      <c r="C49" s="16"/>
      <c r="D49" s="37"/>
      <c r="E49" s="18"/>
      <c r="F49" s="18"/>
      <c r="G49" s="18"/>
      <c r="I49" s="19"/>
    </row>
    <row r="50" spans="2:9" ht="25.5" x14ac:dyDescent="0.35">
      <c r="B50" s="1827" t="s">
        <v>50</v>
      </c>
      <c r="C50" s="1828"/>
      <c r="D50" s="1872"/>
      <c r="E50" s="1873"/>
      <c r="F50" s="1873"/>
      <c r="G50" s="1873"/>
      <c r="H50" s="1873"/>
      <c r="I50" s="1873"/>
    </row>
    <row r="51" spans="2:9" x14ac:dyDescent="0.25">
      <c r="B51" s="20" t="s">
        <v>38</v>
      </c>
      <c r="C51" s="21" t="s">
        <v>82</v>
      </c>
    </row>
    <row r="52" spans="2:9" x14ac:dyDescent="0.25">
      <c r="B52" s="20" t="s">
        <v>39</v>
      </c>
      <c r="C52" s="21" t="s">
        <v>280</v>
      </c>
    </row>
    <row r="53" spans="2:9" x14ac:dyDescent="0.25">
      <c r="B53" s="20" t="s">
        <v>40</v>
      </c>
      <c r="C53" s="21">
        <v>225</v>
      </c>
    </row>
    <row r="54" spans="2:9" x14ac:dyDescent="0.25">
      <c r="B54" s="20" t="s">
        <v>41</v>
      </c>
      <c r="C54" s="21">
        <v>0</v>
      </c>
    </row>
    <row r="55" spans="2:9" x14ac:dyDescent="0.25">
      <c r="B55" s="20" t="s">
        <v>42</v>
      </c>
      <c r="C55" s="21">
        <v>0.5</v>
      </c>
    </row>
    <row r="56" spans="2:9" x14ac:dyDescent="0.25">
      <c r="B56" s="20" t="s">
        <v>43</v>
      </c>
      <c r="C56" s="21">
        <v>0.5</v>
      </c>
    </row>
    <row r="57" spans="2:9" x14ac:dyDescent="0.25">
      <c r="B57" s="20" t="s">
        <v>44</v>
      </c>
      <c r="C57" s="21">
        <v>7</v>
      </c>
    </row>
    <row r="58" spans="2:9" x14ac:dyDescent="0.25">
      <c r="B58" s="20" t="s">
        <v>45</v>
      </c>
      <c r="C58" s="21">
        <v>4</v>
      </c>
    </row>
    <row r="59" spans="2:9" x14ac:dyDescent="0.25">
      <c r="B59" s="20" t="s">
        <v>46</v>
      </c>
      <c r="C59" s="21">
        <f>C58+C57+C56+C55</f>
        <v>12</v>
      </c>
    </row>
    <row r="61" spans="2:9" ht="25.5" x14ac:dyDescent="0.35">
      <c r="B61" s="1829" t="s">
        <v>47</v>
      </c>
      <c r="C61" s="1826"/>
      <c r="D61" s="1826"/>
      <c r="E61" s="1826"/>
      <c r="F61" s="1826"/>
      <c r="G61" s="1826"/>
      <c r="H61" s="1826"/>
      <c r="I61" s="1826"/>
    </row>
    <row r="62" spans="2:9" ht="25.5" x14ac:dyDescent="0.25">
      <c r="B62" s="22" t="s">
        <v>0</v>
      </c>
      <c r="C62" s="22" t="s">
        <v>1</v>
      </c>
      <c r="D62" s="23" t="s">
        <v>2</v>
      </c>
      <c r="E62" s="200" t="s">
        <v>628</v>
      </c>
      <c r="F62" s="201" t="s">
        <v>627</v>
      </c>
      <c r="G62" s="144" t="s">
        <v>536</v>
      </c>
      <c r="H62" s="144" t="s">
        <v>512</v>
      </c>
      <c r="I62" s="144" t="s">
        <v>3</v>
      </c>
    </row>
    <row r="63" spans="2:9" x14ac:dyDescent="0.25">
      <c r="B63" s="4" t="s">
        <v>520</v>
      </c>
      <c r="C63" s="4" t="s">
        <v>559</v>
      </c>
      <c r="D63" s="103">
        <v>3.5999999999999997E-2</v>
      </c>
      <c r="E63" s="24">
        <v>4271.1400000000003</v>
      </c>
      <c r="F63" s="24">
        <f>E63*D63</f>
        <v>153.76104000000001</v>
      </c>
      <c r="G63" s="24">
        <v>3800</v>
      </c>
      <c r="H63" s="24">
        <v>160.63199999999998</v>
      </c>
      <c r="I63" s="24">
        <f>((E63/G63)*100)-100</f>
        <v>12.398421052631576</v>
      </c>
    </row>
    <row r="64" spans="2:9" x14ac:dyDescent="0.25">
      <c r="B64" s="4" t="s">
        <v>200</v>
      </c>
      <c r="C64" s="4" t="s">
        <v>201</v>
      </c>
      <c r="D64" s="103">
        <v>0.1</v>
      </c>
      <c r="E64" s="24">
        <v>28.02</v>
      </c>
      <c r="F64" s="24">
        <f>E64*D64</f>
        <v>2.802</v>
      </c>
      <c r="G64" s="24">
        <v>55</v>
      </c>
      <c r="H64" s="24">
        <v>5.2</v>
      </c>
      <c r="I64" s="24">
        <f>((E64/G64)*100)-100</f>
        <v>-49.054545454545448</v>
      </c>
    </row>
    <row r="65" spans="2:11" x14ac:dyDescent="0.25">
      <c r="B65" s="4" t="s">
        <v>356</v>
      </c>
      <c r="C65" s="4" t="s">
        <v>355</v>
      </c>
      <c r="D65" s="103">
        <v>7.2999999999999995E-2</v>
      </c>
      <c r="E65" s="24">
        <v>1069</v>
      </c>
      <c r="F65" s="24">
        <f>E65*D65</f>
        <v>78.036999999999992</v>
      </c>
      <c r="G65" s="24">
        <v>908</v>
      </c>
      <c r="H65" s="24">
        <v>64.093999999999994</v>
      </c>
      <c r="I65" s="24">
        <f>((E65/G65)*100)-100</f>
        <v>17.731277533039645</v>
      </c>
    </row>
    <row r="66" spans="2:11" x14ac:dyDescent="0.25">
      <c r="B66" s="4" t="s">
        <v>51</v>
      </c>
      <c r="C66" s="4" t="s">
        <v>52</v>
      </c>
      <c r="D66" s="103">
        <v>7.2999999999999995E-2</v>
      </c>
      <c r="E66" s="24">
        <v>1700.46</v>
      </c>
      <c r="F66" s="24">
        <f>E66*D66</f>
        <v>124.13357999999999</v>
      </c>
      <c r="G66" s="24">
        <v>1464</v>
      </c>
      <c r="H66" s="24">
        <v>97.23599999999999</v>
      </c>
      <c r="I66" s="24">
        <f>((E66/G66)*100)-100</f>
        <v>16.151639344262293</v>
      </c>
    </row>
    <row r="67" spans="2:11" x14ac:dyDescent="0.25">
      <c r="B67" s="22"/>
      <c r="C67" s="22" t="s">
        <v>37</v>
      </c>
      <c r="D67" s="23"/>
      <c r="E67" s="23"/>
      <c r="F67" s="135">
        <f>SUM(F63,F64,F65,F66)</f>
        <v>358.73361999999997</v>
      </c>
      <c r="G67" s="23"/>
      <c r="H67" s="23">
        <f>SUM(H63:H66)</f>
        <v>327.16199999999992</v>
      </c>
      <c r="I67" s="23">
        <f>((F67/H67)*100)-100</f>
        <v>9.6501488559184878</v>
      </c>
    </row>
    <row r="69" spans="2:11" x14ac:dyDescent="0.25">
      <c r="H69" s="381"/>
      <c r="I69" s="382"/>
      <c r="J69" s="382"/>
    </row>
    <row r="70" spans="2:11" x14ac:dyDescent="0.25">
      <c r="B70" s="1825" t="s">
        <v>72</v>
      </c>
      <c r="C70" s="1825"/>
      <c r="D70" s="1749">
        <f>+F67+G47</f>
        <v>8686247.9889357369</v>
      </c>
      <c r="E70" s="1749"/>
      <c r="F70" s="1749"/>
      <c r="G70" s="1749"/>
      <c r="H70" s="1749"/>
      <c r="I70" s="264"/>
      <c r="J70" s="264"/>
    </row>
    <row r="71" spans="2:11" x14ac:dyDescent="0.25">
      <c r="B71" s="1830" t="s">
        <v>48</v>
      </c>
      <c r="C71" s="1831"/>
      <c r="D71" s="1749">
        <f>+(921.6/1000)*225</f>
        <v>207.35999999999999</v>
      </c>
      <c r="E71" s="1749"/>
      <c r="F71" s="1749"/>
      <c r="G71" s="1749"/>
      <c r="H71" s="1749"/>
      <c r="I71" s="265"/>
      <c r="J71" s="265"/>
    </row>
    <row r="72" spans="2:11" x14ac:dyDescent="0.25">
      <c r="B72" s="1830" t="s">
        <v>74</v>
      </c>
      <c r="C72" s="1831"/>
      <c r="D72" s="1749">
        <f>+D70+D71</f>
        <v>8686455.3489357363</v>
      </c>
      <c r="E72" s="1749"/>
      <c r="F72" s="1749"/>
      <c r="G72" s="1749"/>
      <c r="H72" s="1749"/>
      <c r="I72" s="265"/>
      <c r="J72" s="265"/>
    </row>
    <row r="73" spans="2:11" hidden="1" x14ac:dyDescent="0.25">
      <c r="B73" s="1825" t="s">
        <v>49</v>
      </c>
      <c r="C73" s="1825"/>
      <c r="D73" s="1749">
        <f>D72/I74</f>
        <v>5161292.5424454762</v>
      </c>
      <c r="E73" s="1749"/>
      <c r="F73" s="1749"/>
      <c r="G73" s="1749"/>
      <c r="H73" s="1749"/>
      <c r="I73" s="393">
        <v>-0.68300000000000005</v>
      </c>
      <c r="J73" s="384"/>
    </row>
    <row r="74" spans="2:11" x14ac:dyDescent="0.25">
      <c r="I74" s="380">
        <f>1-I73</f>
        <v>1.6830000000000001</v>
      </c>
      <c r="K74" s="719"/>
    </row>
  </sheetData>
  <mergeCells count="15">
    <mergeCell ref="B3:I3"/>
    <mergeCell ref="B24:C24"/>
    <mergeCell ref="B26:I26"/>
    <mergeCell ref="B47:C47"/>
    <mergeCell ref="B50:C50"/>
    <mergeCell ref="D50:I50"/>
    <mergeCell ref="B73:C73"/>
    <mergeCell ref="D73:H73"/>
    <mergeCell ref="B61:I61"/>
    <mergeCell ref="B70:C70"/>
    <mergeCell ref="D70:H70"/>
    <mergeCell ref="B71:C71"/>
    <mergeCell ref="D71:H71"/>
    <mergeCell ref="B72:C72"/>
    <mergeCell ref="D72:H7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E942-9FC3-433D-9370-5A1BB1847EF5}">
  <sheetPr codeName="Hoja75"/>
  <dimension ref="B2:M74"/>
  <sheetViews>
    <sheetView view="pageBreakPreview" topLeftCell="A54" zoomScale="80" zoomScaleNormal="100" zoomScaleSheetLayoutView="80" workbookViewId="0">
      <selection activeCell="C30" sqref="C30:E32"/>
    </sheetView>
  </sheetViews>
  <sheetFormatPr baseColWidth="10" defaultColWidth="11.5703125" defaultRowHeight="16.5" x14ac:dyDescent="0.25"/>
  <cols>
    <col min="1" max="1" width="28.5703125" style="42" bestFit="1" customWidth="1"/>
    <col min="2" max="2" width="17.5703125" style="42" customWidth="1"/>
    <col min="3" max="3" width="58.28515625" style="42" customWidth="1"/>
    <col min="4" max="4" width="16.28515625" style="345" customWidth="1"/>
    <col min="5" max="5" width="13.140625" style="42" customWidth="1"/>
    <col min="6" max="7" width="13.140625" style="345" customWidth="1"/>
    <col min="8" max="8" width="13.7109375" style="345" customWidth="1"/>
    <col min="9" max="10" width="12.28515625" style="345" customWidth="1"/>
    <col min="11" max="11" width="18.28515625" style="42" bestFit="1" customWidth="1"/>
    <col min="12" max="12" width="11.5703125" style="42"/>
    <col min="13" max="13" width="18.140625" style="42" customWidth="1"/>
    <col min="14" max="16384" width="11.5703125" style="42"/>
  </cols>
  <sheetData>
    <row r="2" spans="2:11" ht="30" hidden="1" customHeight="1" x14ac:dyDescent="0.25">
      <c r="B2" s="1853" t="s">
        <v>364</v>
      </c>
      <c r="C2" s="1853"/>
      <c r="D2" s="1853"/>
      <c r="E2" s="1853"/>
      <c r="F2" s="1853"/>
      <c r="G2" s="1853"/>
      <c r="H2" s="1853"/>
      <c r="I2" s="1853"/>
    </row>
    <row r="3" spans="2:11" hidden="1" x14ac:dyDescent="0.25"/>
    <row r="4" spans="2:11" s="979" customFormat="1" ht="28.5" hidden="1" x14ac:dyDescent="0.25">
      <c r="B4" s="1011" t="s">
        <v>0</v>
      </c>
      <c r="C4" s="1011" t="s">
        <v>1</v>
      </c>
      <c r="D4" s="1011" t="s">
        <v>2</v>
      </c>
      <c r="E4" s="1011" t="s">
        <v>3</v>
      </c>
      <c r="F4" s="1069" t="s">
        <v>523</v>
      </c>
      <c r="G4" s="1069" t="s">
        <v>512</v>
      </c>
      <c r="H4" s="522" t="s">
        <v>319</v>
      </c>
      <c r="I4" s="522" t="s">
        <v>307</v>
      </c>
      <c r="J4" s="522" t="s">
        <v>3</v>
      </c>
    </row>
    <row r="5" spans="2:11" hidden="1" x14ac:dyDescent="0.3">
      <c r="B5" s="74" t="s">
        <v>4</v>
      </c>
      <c r="C5" s="74" t="s">
        <v>53</v>
      </c>
      <c r="D5" s="565">
        <v>8.6987203848346378E-2</v>
      </c>
      <c r="E5" s="565">
        <f t="shared" ref="E5:E23" si="0">(D5*100)/$D$25</f>
        <v>32.902961266513998</v>
      </c>
      <c r="F5" s="72">
        <v>7</v>
      </c>
      <c r="G5" s="566">
        <f t="shared" ref="G5:G23" si="1">F5*D5</f>
        <v>0.60891042693842468</v>
      </c>
      <c r="H5" s="566">
        <v>7</v>
      </c>
      <c r="I5" s="566">
        <f t="shared" ref="I5:I23" si="2">H5*D5</f>
        <v>0.60891042693842468</v>
      </c>
      <c r="J5" s="566">
        <f t="shared" ref="J5:J23" si="3">((F5/H5)*100)-100</f>
        <v>0</v>
      </c>
      <c r="K5" s="191"/>
    </row>
    <row r="6" spans="2:11" hidden="1" x14ac:dyDescent="0.3">
      <c r="B6" s="74" t="s">
        <v>5</v>
      </c>
      <c r="C6" s="74" t="s">
        <v>55</v>
      </c>
      <c r="D6" s="543">
        <v>5.5523747137242369E-2</v>
      </c>
      <c r="E6" s="565">
        <f t="shared" si="0"/>
        <v>21.001890170115313</v>
      </c>
      <c r="F6" s="533">
        <v>5484</v>
      </c>
      <c r="G6" s="566">
        <f t="shared" si="1"/>
        <v>304.49222930063718</v>
      </c>
      <c r="H6" s="1072">
        <v>5453</v>
      </c>
      <c r="I6" s="566">
        <f t="shared" si="2"/>
        <v>302.77099313938265</v>
      </c>
      <c r="J6" s="1085">
        <f t="shared" si="3"/>
        <v>0.56849440674857021</v>
      </c>
      <c r="K6" s="191"/>
    </row>
    <row r="7" spans="2:11" hidden="1" x14ac:dyDescent="0.3">
      <c r="B7" s="74" t="s">
        <v>6</v>
      </c>
      <c r="C7" s="74" t="s">
        <v>365</v>
      </c>
      <c r="D7" s="543">
        <v>5.0555693762438632E-2</v>
      </c>
      <c r="E7" s="565">
        <f t="shared" si="0"/>
        <v>19.122721044894043</v>
      </c>
      <c r="F7" s="72">
        <v>6993</v>
      </c>
      <c r="G7" s="566">
        <f t="shared" si="1"/>
        <v>353.53596648073335</v>
      </c>
      <c r="H7" s="562">
        <v>7255</v>
      </c>
      <c r="I7" s="566">
        <f t="shared" si="2"/>
        <v>366.7815582464923</v>
      </c>
      <c r="J7" s="1086">
        <f t="shared" si="3"/>
        <v>-3.6113025499655436</v>
      </c>
      <c r="K7" s="191"/>
    </row>
    <row r="8" spans="2:11" hidden="1" x14ac:dyDescent="0.3">
      <c r="B8" s="74" t="s">
        <v>7</v>
      </c>
      <c r="C8" s="74" t="s">
        <v>58</v>
      </c>
      <c r="D8" s="543">
        <v>2.3002695242571831E-2</v>
      </c>
      <c r="E8" s="565">
        <f t="shared" si="0"/>
        <v>8.7007830704763425</v>
      </c>
      <c r="F8" s="70">
        <v>7029</v>
      </c>
      <c r="G8" s="566">
        <f t="shared" si="1"/>
        <v>161.68594486003741</v>
      </c>
      <c r="H8" s="533">
        <v>6559</v>
      </c>
      <c r="I8" s="566">
        <f t="shared" si="2"/>
        <v>150.87467809602865</v>
      </c>
      <c r="J8" s="1085">
        <f t="shared" si="3"/>
        <v>7.1657264826955327</v>
      </c>
      <c r="K8" s="191"/>
    </row>
    <row r="9" spans="2:11" hidden="1" x14ac:dyDescent="0.3">
      <c r="B9" s="74" t="s">
        <v>9</v>
      </c>
      <c r="C9" s="74" t="s">
        <v>10</v>
      </c>
      <c r="D9" s="543">
        <v>1.3219939794581513E-2</v>
      </c>
      <c r="E9" s="565">
        <f t="shared" si="0"/>
        <v>5.0004500405036456</v>
      </c>
      <c r="F9" s="70">
        <v>5975</v>
      </c>
      <c r="G9" s="566">
        <f t="shared" si="1"/>
        <v>78.989140272624539</v>
      </c>
      <c r="H9" s="560">
        <v>5761</v>
      </c>
      <c r="I9" s="566">
        <f t="shared" si="2"/>
        <v>76.160073156584104</v>
      </c>
      <c r="J9" s="1085">
        <f t="shared" si="3"/>
        <v>3.7146328762367631</v>
      </c>
      <c r="K9" s="191"/>
    </row>
    <row r="10" spans="2:11" hidden="1" x14ac:dyDescent="0.3">
      <c r="B10" s="74" t="s">
        <v>8</v>
      </c>
      <c r="C10" s="74" t="s">
        <v>56</v>
      </c>
      <c r="D10" s="543">
        <v>1.1786898320848876E-2</v>
      </c>
      <c r="E10" s="565">
        <f t="shared" si="0"/>
        <v>4.4584012561130493</v>
      </c>
      <c r="F10" s="72">
        <v>1500</v>
      </c>
      <c r="G10" s="566">
        <f t="shared" si="1"/>
        <v>17.680347481273312</v>
      </c>
      <c r="H10" s="560">
        <v>1500</v>
      </c>
      <c r="I10" s="566">
        <f t="shared" si="2"/>
        <v>17.680347481273312</v>
      </c>
      <c r="J10" s="566">
        <f t="shared" si="3"/>
        <v>0</v>
      </c>
      <c r="K10" s="191"/>
    </row>
    <row r="11" spans="2:11" hidden="1" x14ac:dyDescent="0.3">
      <c r="B11" s="74" t="s">
        <v>11</v>
      </c>
      <c r="C11" s="74" t="s">
        <v>12</v>
      </c>
      <c r="D11" s="543">
        <v>7.9319638767489081E-3</v>
      </c>
      <c r="E11" s="565">
        <f t="shared" si="0"/>
        <v>3.0002700243021869</v>
      </c>
      <c r="F11" s="72">
        <v>16084</v>
      </c>
      <c r="G11" s="566">
        <f t="shared" si="1"/>
        <v>127.57770699362943</v>
      </c>
      <c r="H11" s="533">
        <v>15638</v>
      </c>
      <c r="I11" s="566">
        <f t="shared" si="2"/>
        <v>124.04005110459943</v>
      </c>
      <c r="J11" s="1085">
        <f t="shared" si="3"/>
        <v>2.8520271134416078</v>
      </c>
      <c r="K11" s="191"/>
    </row>
    <row r="12" spans="2:11" hidden="1" x14ac:dyDescent="0.3">
      <c r="B12" s="74" t="s">
        <v>13</v>
      </c>
      <c r="C12" s="74" t="s">
        <v>14</v>
      </c>
      <c r="D12" s="543">
        <v>2.9083867548079312E-3</v>
      </c>
      <c r="E12" s="565">
        <f t="shared" si="0"/>
        <v>1.1000990089108014</v>
      </c>
      <c r="F12" s="562">
        <v>33158</v>
      </c>
      <c r="G12" s="566">
        <f t="shared" si="1"/>
        <v>96.436288015921377</v>
      </c>
      <c r="H12" s="562">
        <v>31122</v>
      </c>
      <c r="I12" s="566">
        <f t="shared" si="2"/>
        <v>90.514812583132439</v>
      </c>
      <c r="J12" s="1085">
        <f t="shared" si="3"/>
        <v>6.5419960156802119</v>
      </c>
      <c r="K12" s="191"/>
    </row>
    <row r="13" spans="2:11" hidden="1" x14ac:dyDescent="0.3">
      <c r="B13" s="74" t="s">
        <v>15</v>
      </c>
      <c r="C13" s="74" t="s">
        <v>16</v>
      </c>
      <c r="D13" s="543">
        <v>2.6439879589163014E-3</v>
      </c>
      <c r="E13" s="565">
        <f t="shared" si="0"/>
        <v>1.0000900081007285</v>
      </c>
      <c r="F13" s="533">
        <v>28967</v>
      </c>
      <c r="G13" s="566">
        <f t="shared" si="1"/>
        <v>76.588399205928496</v>
      </c>
      <c r="H13" s="533">
        <v>29262</v>
      </c>
      <c r="I13" s="566">
        <f t="shared" si="2"/>
        <v>77.368375653808812</v>
      </c>
      <c r="J13" s="1086">
        <f t="shared" si="3"/>
        <v>-1.0081334153509687</v>
      </c>
      <c r="K13" s="191"/>
    </row>
    <row r="14" spans="2:11" hidden="1" x14ac:dyDescent="0.3">
      <c r="B14" s="74" t="s">
        <v>17</v>
      </c>
      <c r="C14" s="74" t="s">
        <v>18</v>
      </c>
      <c r="D14" s="543">
        <v>2.5514483803542316E-3</v>
      </c>
      <c r="E14" s="565">
        <f t="shared" si="0"/>
        <v>0.96508685781720327</v>
      </c>
      <c r="F14" s="1087">
        <v>878</v>
      </c>
      <c r="G14" s="566">
        <f t="shared" si="1"/>
        <v>2.2401716779510155</v>
      </c>
      <c r="H14" s="560">
        <v>878</v>
      </c>
      <c r="I14" s="566">
        <f t="shared" si="2"/>
        <v>2.2401716779510155</v>
      </c>
      <c r="J14" s="566">
        <f t="shared" si="3"/>
        <v>0</v>
      </c>
      <c r="K14" s="191"/>
    </row>
    <row r="15" spans="2:11" hidden="1" x14ac:dyDescent="0.3">
      <c r="B15" s="74" t="s">
        <v>19</v>
      </c>
      <c r="C15" s="74" t="s">
        <v>20</v>
      </c>
      <c r="D15" s="190">
        <v>1.7846918722685039E-3</v>
      </c>
      <c r="E15" s="565">
        <f t="shared" si="0"/>
        <v>0.67506075546799205</v>
      </c>
      <c r="F15" s="566">
        <v>27308</v>
      </c>
      <c r="G15" s="566">
        <f t="shared" si="1"/>
        <v>48.736365647908301</v>
      </c>
      <c r="H15" s="539">
        <v>27308</v>
      </c>
      <c r="I15" s="566">
        <f t="shared" si="2"/>
        <v>48.736365647908301</v>
      </c>
      <c r="J15" s="566">
        <f t="shared" si="3"/>
        <v>0</v>
      </c>
      <c r="K15" s="191"/>
    </row>
    <row r="16" spans="2:11" hidden="1" x14ac:dyDescent="0.3">
      <c r="B16" s="74" t="s">
        <v>21</v>
      </c>
      <c r="C16" s="74" t="s">
        <v>22</v>
      </c>
      <c r="D16" s="190">
        <v>1.5863927753497812E-3</v>
      </c>
      <c r="E16" s="565">
        <f t="shared" si="0"/>
        <v>0.60005400486043725</v>
      </c>
      <c r="F16" s="70">
        <v>10412</v>
      </c>
      <c r="G16" s="566">
        <f t="shared" si="1"/>
        <v>16.51752157694192</v>
      </c>
      <c r="H16" s="539">
        <v>10412</v>
      </c>
      <c r="I16" s="566">
        <f t="shared" si="2"/>
        <v>16.51752157694192</v>
      </c>
      <c r="J16" s="566">
        <f t="shared" si="3"/>
        <v>0</v>
      </c>
      <c r="K16" s="191"/>
    </row>
    <row r="17" spans="2:13" hidden="1" x14ac:dyDescent="0.3">
      <c r="B17" s="74" t="s">
        <v>23</v>
      </c>
      <c r="C17" s="74" t="s">
        <v>24</v>
      </c>
      <c r="D17" s="190">
        <v>1.3748737386364773E-3</v>
      </c>
      <c r="E17" s="565">
        <f t="shared" si="0"/>
        <v>0.52004680421237903</v>
      </c>
      <c r="F17" s="555">
        <v>20854</v>
      </c>
      <c r="G17" s="566">
        <f t="shared" si="1"/>
        <v>28.671616945525098</v>
      </c>
      <c r="H17" s="533">
        <v>19616</v>
      </c>
      <c r="I17" s="566">
        <f t="shared" si="2"/>
        <v>26.969523257093137</v>
      </c>
      <c r="J17" s="1085">
        <f t="shared" si="3"/>
        <v>6.3111745513866282</v>
      </c>
      <c r="K17" s="191"/>
    </row>
    <row r="18" spans="2:13" hidden="1" x14ac:dyDescent="0.3">
      <c r="B18" s="74" t="s">
        <v>25</v>
      </c>
      <c r="C18" s="74" t="s">
        <v>26</v>
      </c>
      <c r="D18" s="190">
        <v>1.3219939794581507E-3</v>
      </c>
      <c r="E18" s="565">
        <f t="shared" si="0"/>
        <v>0.50004500405036423</v>
      </c>
      <c r="F18" s="566">
        <v>59418</v>
      </c>
      <c r="G18" s="566">
        <f t="shared" si="1"/>
        <v>78.5502382714444</v>
      </c>
      <c r="H18" s="560">
        <v>59227</v>
      </c>
      <c r="I18" s="566">
        <f t="shared" si="2"/>
        <v>78.297737421367884</v>
      </c>
      <c r="J18" s="1085">
        <f t="shared" si="3"/>
        <v>0.32248805443461492</v>
      </c>
      <c r="K18" s="191"/>
    </row>
    <row r="19" spans="2:13" hidden="1" x14ac:dyDescent="0.3">
      <c r="B19" s="74" t="s">
        <v>27</v>
      </c>
      <c r="C19" s="74" t="s">
        <v>28</v>
      </c>
      <c r="D19" s="190">
        <v>4.4947795301577133E-4</v>
      </c>
      <c r="E19" s="565">
        <f t="shared" si="0"/>
        <v>0.17001530137712387</v>
      </c>
      <c r="F19" s="555">
        <v>16132</v>
      </c>
      <c r="G19" s="566">
        <f t="shared" si="1"/>
        <v>7.2509783380504231</v>
      </c>
      <c r="H19" s="70">
        <v>16110</v>
      </c>
      <c r="I19" s="566">
        <f t="shared" si="2"/>
        <v>7.2410898230840761</v>
      </c>
      <c r="J19" s="1085">
        <f t="shared" si="3"/>
        <v>0.13656114214772686</v>
      </c>
      <c r="K19" s="191"/>
    </row>
    <row r="20" spans="2:13" hidden="1" x14ac:dyDescent="0.3">
      <c r="B20" s="74" t="s">
        <v>29</v>
      </c>
      <c r="C20" s="74" t="s">
        <v>30</v>
      </c>
      <c r="D20" s="190">
        <v>4.4154598913902248E-4</v>
      </c>
      <c r="E20" s="565">
        <f t="shared" si="0"/>
        <v>0.16701503135282172</v>
      </c>
      <c r="F20" s="70">
        <v>2500</v>
      </c>
      <c r="G20" s="566">
        <f t="shared" si="1"/>
        <v>1.1038649728475562</v>
      </c>
      <c r="H20" s="70">
        <v>2554</v>
      </c>
      <c r="I20" s="566">
        <f t="shared" si="2"/>
        <v>1.1277084562610633</v>
      </c>
      <c r="J20" s="1086">
        <f t="shared" si="3"/>
        <v>-2.1143304620203622</v>
      </c>
      <c r="K20" s="191"/>
    </row>
    <row r="21" spans="2:13" hidden="1" x14ac:dyDescent="0.3">
      <c r="B21" s="74" t="s">
        <v>31</v>
      </c>
      <c r="C21" s="74" t="s">
        <v>32</v>
      </c>
      <c r="D21" s="190">
        <v>1.4013136182256401E-4</v>
      </c>
      <c r="E21" s="565">
        <f t="shared" si="0"/>
        <v>5.300477042933862E-2</v>
      </c>
      <c r="F21" s="70">
        <v>121899</v>
      </c>
      <c r="G21" s="566">
        <f t="shared" si="1"/>
        <v>17.081872874808731</v>
      </c>
      <c r="H21" s="88">
        <v>121899</v>
      </c>
      <c r="I21" s="566">
        <f t="shared" si="2"/>
        <v>17.081872874808731</v>
      </c>
      <c r="J21" s="566">
        <f t="shared" si="3"/>
        <v>0</v>
      </c>
      <c r="K21" s="191"/>
    </row>
    <row r="22" spans="2:13" hidden="1" x14ac:dyDescent="0.3">
      <c r="B22" s="74" t="s">
        <v>33</v>
      </c>
      <c r="C22" s="74" t="s">
        <v>34</v>
      </c>
      <c r="D22" s="190">
        <v>1.2823341600744066E-4</v>
      </c>
      <c r="E22" s="565">
        <f t="shared" si="0"/>
        <v>4.850436539288535E-2</v>
      </c>
      <c r="F22" s="70">
        <v>26800</v>
      </c>
      <c r="G22" s="566">
        <f t="shared" si="1"/>
        <v>3.4366555489994095</v>
      </c>
      <c r="H22" s="70">
        <v>26800</v>
      </c>
      <c r="I22" s="566">
        <f t="shared" si="2"/>
        <v>3.4366555489994095</v>
      </c>
      <c r="J22" s="566">
        <f t="shared" si="3"/>
        <v>0</v>
      </c>
      <c r="K22" s="191"/>
    </row>
    <row r="23" spans="2:13" hidden="1" x14ac:dyDescent="0.3">
      <c r="B23" s="74" t="s">
        <v>35</v>
      </c>
      <c r="C23" s="74" t="s">
        <v>36</v>
      </c>
      <c r="D23" s="1088">
        <v>3.5693837445370074E-5</v>
      </c>
      <c r="E23" s="565">
        <f t="shared" si="0"/>
        <v>1.3501215109359838E-2</v>
      </c>
      <c r="F23" s="70">
        <v>169210</v>
      </c>
      <c r="G23" s="566">
        <f t="shared" si="1"/>
        <v>6.0397542341310704</v>
      </c>
      <c r="H23" s="88">
        <v>169210</v>
      </c>
      <c r="I23" s="566">
        <f t="shared" si="2"/>
        <v>6.0397542341310704</v>
      </c>
      <c r="J23" s="566">
        <f t="shared" si="3"/>
        <v>0</v>
      </c>
      <c r="K23" s="191"/>
    </row>
    <row r="24" spans="2:13" hidden="1" x14ac:dyDescent="0.3">
      <c r="B24" s="527"/>
      <c r="C24" s="527"/>
      <c r="D24" s="1089"/>
      <c r="E24" s="1090"/>
      <c r="F24" s="1091"/>
      <c r="G24" s="877"/>
      <c r="H24" s="1092"/>
      <c r="I24" s="877"/>
      <c r="J24" s="877"/>
      <c r="K24" s="191"/>
    </row>
    <row r="25" spans="2:13" hidden="1" x14ac:dyDescent="0.25">
      <c r="B25" s="1876" t="s">
        <v>37</v>
      </c>
      <c r="C25" s="1876"/>
      <c r="D25" s="1093">
        <f>SUM(D5:D23)</f>
        <v>0.26437500000000003</v>
      </c>
      <c r="E25" s="1093">
        <f>SUM(E5:E23)</f>
        <v>100.00000000000001</v>
      </c>
      <c r="F25" s="1094"/>
      <c r="G25" s="1095">
        <f>SUM(G5:G22)</f>
        <v>1421.1842188922001</v>
      </c>
      <c r="H25" s="1096"/>
      <c r="I25" s="1094">
        <f>SUM(I5:I22)</f>
        <v>1408.4484461726556</v>
      </c>
      <c r="J25" s="1094">
        <f>((G25/I25)*100)-100</f>
        <v>0.9042413127830855</v>
      </c>
    </row>
    <row r="26" spans="2:13" hidden="1" x14ac:dyDescent="0.25"/>
    <row r="27" spans="2:13" ht="30" customHeight="1" x14ac:dyDescent="0.25">
      <c r="B27" s="1877" t="s">
        <v>531</v>
      </c>
      <c r="C27" s="1877"/>
      <c r="D27" s="1877"/>
      <c r="E27" s="1877"/>
      <c r="F27" s="1877"/>
      <c r="G27" s="1877"/>
      <c r="H27" s="1877"/>
      <c r="I27" s="1877"/>
    </row>
    <row r="29" spans="2:13" s="979" customFormat="1" ht="28.5" x14ac:dyDescent="0.25">
      <c r="B29" s="1348" t="s">
        <v>0</v>
      </c>
      <c r="C29" s="1348" t="s">
        <v>1</v>
      </c>
      <c r="D29" s="1490" t="s">
        <v>2</v>
      </c>
      <c r="E29" s="1490" t="s">
        <v>3</v>
      </c>
      <c r="F29" s="1335" t="str">
        <f>+'CIF Y PV'!$F$2</f>
        <v xml:space="preserve">JUN-COP/Kg </v>
      </c>
      <c r="G29" s="1335" t="str">
        <f>+'CIF Y PV'!$G$2</f>
        <v>JUN-COP/APP</v>
      </c>
      <c r="H29" s="1335" t="str">
        <f>+'CIF Y PV'!$H$2</f>
        <v xml:space="preserve">MAY-COP/Kg </v>
      </c>
      <c r="I29" s="1335" t="str">
        <f>+'CIF Y PV'!$I$2</f>
        <v>MAY-COP/APP</v>
      </c>
      <c r="J29" s="1491" t="s">
        <v>3</v>
      </c>
      <c r="K29" s="1454">
        <f>+D51/1000</f>
        <v>0.262125</v>
      </c>
      <c r="L29" s="1432">
        <v>1999.82</v>
      </c>
      <c r="M29" s="1498" t="s">
        <v>1128</v>
      </c>
    </row>
    <row r="30" spans="2:13" ht="17.25" x14ac:dyDescent="0.3">
      <c r="B30" s="1717">
        <v>1112002</v>
      </c>
      <c r="C30" s="1718" t="s">
        <v>796</v>
      </c>
      <c r="D30" s="1719">
        <v>0.10092720844876037</v>
      </c>
      <c r="E30" s="1720">
        <v>38.50346531187806</v>
      </c>
      <c r="F30" s="1721">
        <f>VLOOKUP(B30,[2]Hoja1!$C$2:$E$279,3,FALSE)</f>
        <v>3575.02</v>
      </c>
      <c r="G30" s="1722">
        <f>F30*D30</f>
        <v>360.81678874848728</v>
      </c>
      <c r="H30" s="1721">
        <v>4222.72</v>
      </c>
      <c r="I30" s="1723">
        <f>H30*D30</f>
        <v>426.18734166074938</v>
      </c>
      <c r="J30" s="1723">
        <f>((G30/I30)*100)-100</f>
        <v>-15.338454834798426</v>
      </c>
      <c r="K30" s="1724">
        <f t="shared" ref="K30:K47" si="4">$K$29*E30%</f>
        <v>0.10092720844876037</v>
      </c>
      <c r="L30" s="1725">
        <f t="shared" ref="L30:L47" si="5">+$L$29*E30%</f>
        <v>769.99999999999977</v>
      </c>
      <c r="M30" s="1726">
        <f t="shared" ref="M30:M47" si="6">L30*F30</f>
        <v>2752765.399999999</v>
      </c>
    </row>
    <row r="31" spans="2:13" ht="17.25" x14ac:dyDescent="0.3">
      <c r="B31" s="1717">
        <v>1121009</v>
      </c>
      <c r="C31" s="1718" t="s">
        <v>1272</v>
      </c>
      <c r="D31" s="1719">
        <v>9.1743750000000002E-3</v>
      </c>
      <c r="E31" s="1720">
        <v>3.5</v>
      </c>
      <c r="F31" s="1721">
        <f>VLOOKUP(B31,[2]Hoja1!$C$2:$E$279,3,FALSE)</f>
        <v>8741.6200000000008</v>
      </c>
      <c r="G31" s="1722">
        <f t="shared" ref="G31:G47" si="7">F31*D31</f>
        <v>80.198899987500013</v>
      </c>
      <c r="H31" s="1721">
        <v>8754.2800000000007</v>
      </c>
      <c r="I31" s="1723">
        <f t="shared" ref="I31:I47" si="8">H31*D31</f>
        <v>80.315047575000008</v>
      </c>
      <c r="J31" s="1723">
        <f>((G31/I31)*100)-100</f>
        <v>-0.14461497690273006</v>
      </c>
      <c r="K31" s="1724">
        <f t="shared" si="4"/>
        <v>9.1743750000000002E-3</v>
      </c>
      <c r="L31" s="1725">
        <f t="shared" si="5"/>
        <v>69.993700000000004</v>
      </c>
      <c r="M31" s="1726">
        <f t="shared" si="6"/>
        <v>611858.32779400004</v>
      </c>
    </row>
    <row r="32" spans="2:13" ht="17.25" x14ac:dyDescent="0.3">
      <c r="B32" s="1717">
        <v>2906001</v>
      </c>
      <c r="C32" s="1718" t="s">
        <v>831</v>
      </c>
      <c r="D32" s="1719">
        <v>2.1365110359932386E-2</v>
      </c>
      <c r="E32" s="1720">
        <v>8.1507335660209392</v>
      </c>
      <c r="F32" s="1721">
        <f>VLOOKUP(B32,[2]Hoja1!$C$2:$E$279,3,FALSE)</f>
        <v>1956.71</v>
      </c>
      <c r="G32" s="1722">
        <f t="shared" si="7"/>
        <v>41.805325092383299</v>
      </c>
      <c r="H32" s="1721">
        <v>2033.73</v>
      </c>
      <c r="I32" s="1723">
        <f t="shared" si="8"/>
        <v>43.450865892305288</v>
      </c>
      <c r="J32" s="1723">
        <f>((G32/I32)*100)-100</f>
        <v>-3.7871300516784316</v>
      </c>
      <c r="K32" s="1724">
        <f t="shared" si="4"/>
        <v>2.1365110359932386E-2</v>
      </c>
      <c r="L32" s="1725">
        <f t="shared" si="5"/>
        <v>162.99999999999994</v>
      </c>
      <c r="M32" s="1726">
        <f t="shared" si="6"/>
        <v>318943.72999999992</v>
      </c>
    </row>
    <row r="33" spans="2:13" ht="17.25" x14ac:dyDescent="0.3">
      <c r="B33" s="1717">
        <v>1131002</v>
      </c>
      <c r="C33" s="1718" t="s">
        <v>663</v>
      </c>
      <c r="D33" s="1719">
        <v>8.92011375E-2</v>
      </c>
      <c r="E33" s="1720">
        <v>34.03</v>
      </c>
      <c r="F33" s="1721">
        <f>VLOOKUP(B33,[2]Hoja1!$C$2:$E$279,3,FALSE)</f>
        <v>0</v>
      </c>
      <c r="G33" s="1722">
        <f t="shared" si="7"/>
        <v>0</v>
      </c>
      <c r="H33" s="1727">
        <v>0</v>
      </c>
      <c r="I33" s="1723">
        <f t="shared" si="8"/>
        <v>0</v>
      </c>
      <c r="J33" s="1723" t="e">
        <f t="shared" ref="J33:J47" si="9">((G33/I33)*100)-100</f>
        <v>#DIV/0!</v>
      </c>
      <c r="K33" s="1724">
        <f t="shared" si="4"/>
        <v>8.92011375E-2</v>
      </c>
      <c r="L33" s="1725">
        <f t="shared" si="5"/>
        <v>680.53874599999995</v>
      </c>
      <c r="M33" s="1726">
        <f t="shared" si="6"/>
        <v>0</v>
      </c>
    </row>
    <row r="34" spans="2:13" ht="17.25" x14ac:dyDescent="0.3">
      <c r="B34" s="1717">
        <v>1250009</v>
      </c>
      <c r="C34" s="1718" t="s">
        <v>1279</v>
      </c>
      <c r="D34" s="1719">
        <v>1.9661144503005268E-4</v>
      </c>
      <c r="E34" s="1723">
        <v>7.500675060755467E-2</v>
      </c>
      <c r="F34" s="1721">
        <f>VLOOKUP(B34,[2]Hoja1!$C$2:$E$279,3,FALSE)</f>
        <v>83551.55</v>
      </c>
      <c r="G34" s="1722">
        <f t="shared" si="7"/>
        <v>16.427190980000699</v>
      </c>
      <c r="H34" s="1728">
        <v>71910.02</v>
      </c>
      <c r="I34" s="1723">
        <f t="shared" si="8"/>
        <v>14.138332944339989</v>
      </c>
      <c r="J34" s="1723">
        <f t="shared" si="9"/>
        <v>16.18902344902699</v>
      </c>
      <c r="K34" s="1724">
        <f t="shared" si="4"/>
        <v>1.9661144503005268E-4</v>
      </c>
      <c r="L34" s="1725">
        <f t="shared" si="5"/>
        <v>1.4999999999999998</v>
      </c>
      <c r="M34" s="1726">
        <f t="shared" si="6"/>
        <v>125327.32499999998</v>
      </c>
    </row>
    <row r="35" spans="2:13" ht="17.25" x14ac:dyDescent="0.3">
      <c r="B35" s="1717">
        <v>1250004</v>
      </c>
      <c r="C35" s="1718" t="s">
        <v>969</v>
      </c>
      <c r="D35" s="1719">
        <v>2.6214859337340358E-5</v>
      </c>
      <c r="E35" s="1720">
        <v>1.0000900081007289E-2</v>
      </c>
      <c r="F35" s="1721">
        <f>VLOOKUP(B35,[2]Hoja1!$C$2:$E$279,3,FALSE)</f>
        <v>164481.95000000001</v>
      </c>
      <c r="G35" s="1722">
        <f t="shared" si="7"/>
        <v>4.3118711827814504</v>
      </c>
      <c r="H35" s="1729">
        <v>156520.01999999999</v>
      </c>
      <c r="I35" s="1723">
        <f t="shared" si="8"/>
        <v>4.1031503077776996</v>
      </c>
      <c r="J35" s="1723">
        <f t="shared" si="9"/>
        <v>5.0868444816196927</v>
      </c>
      <c r="K35" s="1724">
        <f t="shared" si="4"/>
        <v>2.6214859337340358E-5</v>
      </c>
      <c r="L35" s="1725">
        <f t="shared" si="5"/>
        <v>0.19999999999999998</v>
      </c>
      <c r="M35" s="1726">
        <f t="shared" si="6"/>
        <v>32896.39</v>
      </c>
    </row>
    <row r="36" spans="2:13" ht="17.25" x14ac:dyDescent="0.3">
      <c r="B36" s="1717">
        <v>1210005</v>
      </c>
      <c r="C36" s="1718" t="s">
        <v>1155</v>
      </c>
      <c r="D36" s="1719">
        <v>2.7523125E-3</v>
      </c>
      <c r="E36" s="1720">
        <v>1.05</v>
      </c>
      <c r="F36" s="1721">
        <f>VLOOKUP(B36,[2]Hoja1!$C$2:$E$279,3,FALSE)</f>
        <v>1356</v>
      </c>
      <c r="G36" s="1722">
        <f t="shared" si="7"/>
        <v>3.7321357499999999</v>
      </c>
      <c r="H36" s="1728">
        <v>1360</v>
      </c>
      <c r="I36" s="1723">
        <f t="shared" si="8"/>
        <v>3.7431450000000002</v>
      </c>
      <c r="J36" s="1723">
        <f>((G36/I36)*100)-100</f>
        <v>-0.29411764705884025</v>
      </c>
      <c r="K36" s="1724">
        <f t="shared" si="4"/>
        <v>2.7523125E-3</v>
      </c>
      <c r="L36" s="1725">
        <f t="shared" si="5"/>
        <v>20.99811</v>
      </c>
      <c r="M36" s="1726">
        <f t="shared" si="6"/>
        <v>28473.437160000001</v>
      </c>
    </row>
    <row r="37" spans="2:13" ht="17.25" x14ac:dyDescent="0.3">
      <c r="B37" s="1717">
        <v>1210004</v>
      </c>
      <c r="C37" s="1718" t="s">
        <v>1131</v>
      </c>
      <c r="D37" s="1719">
        <v>2.3591249999999999E-4</v>
      </c>
      <c r="E37" s="1720">
        <v>0.09</v>
      </c>
      <c r="F37" s="1721">
        <f>VLOOKUP(B37,[2]Hoja1!$C$2:$E$279,3,FALSE)</f>
        <v>3841</v>
      </c>
      <c r="G37" s="1722">
        <f t="shared" si="7"/>
        <v>0.90613991250000003</v>
      </c>
      <c r="H37" s="1727">
        <v>3508.01</v>
      </c>
      <c r="I37" s="1723">
        <f t="shared" si="8"/>
        <v>0.82758340912500006</v>
      </c>
      <c r="J37" s="1723">
        <f t="shared" si="9"/>
        <v>9.4922762477872169</v>
      </c>
      <c r="K37" s="1724">
        <f t="shared" si="4"/>
        <v>2.3591249999999999E-4</v>
      </c>
      <c r="L37" s="1725">
        <f t="shared" si="5"/>
        <v>1.7998379999999998</v>
      </c>
      <c r="M37" s="1726">
        <f t="shared" si="6"/>
        <v>6913.1777579999989</v>
      </c>
    </row>
    <row r="38" spans="2:13" ht="17.25" x14ac:dyDescent="0.3">
      <c r="B38" s="1717">
        <v>1210002</v>
      </c>
      <c r="C38" s="1718" t="s">
        <v>1033</v>
      </c>
      <c r="D38" s="1719">
        <v>4.4565260873478599E-4</v>
      </c>
      <c r="E38" s="1720">
        <v>0.1700153013771239</v>
      </c>
      <c r="F38" s="1721">
        <f>VLOOKUP(B38,[2]Hoja1!$C$2:$E$279,3,FALSE)</f>
        <v>12886</v>
      </c>
      <c r="G38" s="1722">
        <f t="shared" si="7"/>
        <v>5.7426795161564526</v>
      </c>
      <c r="H38" s="1729">
        <v>12858.08</v>
      </c>
      <c r="I38" s="1723">
        <f t="shared" si="8"/>
        <v>5.7302368953205773</v>
      </c>
      <c r="J38" s="1723">
        <f t="shared" si="9"/>
        <v>0.21713972848201024</v>
      </c>
      <c r="K38" s="1724">
        <f t="shared" si="4"/>
        <v>4.4565260873478599E-4</v>
      </c>
      <c r="L38" s="1725">
        <f t="shared" si="5"/>
        <v>3.399999999999999</v>
      </c>
      <c r="M38" s="1726">
        <f t="shared" si="6"/>
        <v>43812.399999999987</v>
      </c>
    </row>
    <row r="39" spans="2:13" ht="17.25" x14ac:dyDescent="0.3">
      <c r="B39" s="1717">
        <v>1240002</v>
      </c>
      <c r="C39" s="1718" t="s">
        <v>1140</v>
      </c>
      <c r="D39" s="1719">
        <v>1.3107429668670178E-3</v>
      </c>
      <c r="E39" s="1720">
        <v>0.50004500405036445</v>
      </c>
      <c r="F39" s="1721">
        <f>VLOOKUP(B39,[2]Hoja1!$C$2:$E$279,3,FALSE)</f>
        <v>66115.8</v>
      </c>
      <c r="G39" s="1722">
        <f t="shared" si="7"/>
        <v>86.660819848786375</v>
      </c>
      <c r="H39" s="1730">
        <v>70840.75</v>
      </c>
      <c r="I39" s="1723">
        <f t="shared" si="8"/>
        <v>92.854014830084694</v>
      </c>
      <c r="J39" s="1723">
        <f t="shared" si="9"/>
        <v>-6.669819277746214</v>
      </c>
      <c r="K39" s="1724">
        <f t="shared" si="4"/>
        <v>1.3107429668670178E-3</v>
      </c>
      <c r="L39" s="1725">
        <f t="shared" si="5"/>
        <v>9.9999999999999982</v>
      </c>
      <c r="M39" s="1726">
        <f t="shared" si="6"/>
        <v>661157.99999999988</v>
      </c>
    </row>
    <row r="40" spans="2:13" ht="17.25" x14ac:dyDescent="0.3">
      <c r="B40" s="1717">
        <v>1220015</v>
      </c>
      <c r="C40" s="1718" t="s">
        <v>1036</v>
      </c>
      <c r="D40" s="1719">
        <v>1.7695030052704739E-3</v>
      </c>
      <c r="E40" s="1720">
        <v>0.67506075546799194</v>
      </c>
      <c r="F40" s="1721">
        <f>VLOOKUP(B40,[2]Hoja1!$C$2:$E$279,3,FALSE)</f>
        <v>30702.27</v>
      </c>
      <c r="G40" s="1722">
        <f t="shared" si="7"/>
        <v>54.327759033625512</v>
      </c>
      <c r="H40" s="1729">
        <v>29189.39</v>
      </c>
      <c r="I40" s="1723">
        <f t="shared" si="8"/>
        <v>51.650713327011914</v>
      </c>
      <c r="J40" s="1723">
        <f t="shared" si="9"/>
        <v>5.1829791578378348</v>
      </c>
      <c r="K40" s="1724">
        <f t="shared" si="4"/>
        <v>1.7695030052704739E-3</v>
      </c>
      <c r="L40" s="1725">
        <f t="shared" si="5"/>
        <v>13.499999999999996</v>
      </c>
      <c r="M40" s="1726">
        <f t="shared" si="6"/>
        <v>414480.6449999999</v>
      </c>
    </row>
    <row r="41" spans="2:13" ht="17.25" x14ac:dyDescent="0.3">
      <c r="B41" s="1717">
        <v>1220014</v>
      </c>
      <c r="C41" s="1718" t="s">
        <v>1146</v>
      </c>
      <c r="D41" s="1719">
        <v>1.5728915602404214E-3</v>
      </c>
      <c r="E41" s="1720">
        <v>0.60005400486043736</v>
      </c>
      <c r="F41" s="1721">
        <f>VLOOKUP(B41,[2]Hoja1!$C$2:$E$279,3,FALSE)</f>
        <v>14060</v>
      </c>
      <c r="G41" s="1722">
        <f t="shared" si="7"/>
        <v>22.114855336980327</v>
      </c>
      <c r="H41" s="1729">
        <v>13300.01</v>
      </c>
      <c r="I41" s="1723">
        <f t="shared" si="8"/>
        <v>20.919473480113208</v>
      </c>
      <c r="J41" s="1723">
        <f t="shared" si="9"/>
        <v>5.714206229920137</v>
      </c>
      <c r="K41" s="1724">
        <f t="shared" si="4"/>
        <v>1.5728915602404214E-3</v>
      </c>
      <c r="L41" s="1725">
        <f t="shared" si="5"/>
        <v>11.999999999999998</v>
      </c>
      <c r="M41" s="1726">
        <f t="shared" si="6"/>
        <v>168719.99999999997</v>
      </c>
    </row>
    <row r="42" spans="2:13" ht="17.25" x14ac:dyDescent="0.3">
      <c r="B42" s="1717">
        <v>1210003</v>
      </c>
      <c r="C42" s="1718" t="s">
        <v>1143</v>
      </c>
      <c r="D42" s="1719">
        <v>1.3107429668670178E-4</v>
      </c>
      <c r="E42" s="1720">
        <v>5.0004500405036442E-2</v>
      </c>
      <c r="F42" s="1721">
        <f>VLOOKUP(B42,[2]Hoja1!$C$2:$E$279,3,FALSE)</f>
        <v>16235.45</v>
      </c>
      <c r="G42" s="1722">
        <f t="shared" si="7"/>
        <v>2.1280501901421123</v>
      </c>
      <c r="H42" s="1731">
        <v>12852.58</v>
      </c>
      <c r="I42" s="1723">
        <f t="shared" si="8"/>
        <v>1.6846428841095695</v>
      </c>
      <c r="J42" s="1723">
        <f t="shared" si="9"/>
        <v>26.320551982559138</v>
      </c>
      <c r="K42" s="1724">
        <f t="shared" si="4"/>
        <v>1.3107429668670178E-4</v>
      </c>
      <c r="L42" s="1725">
        <f t="shared" si="5"/>
        <v>0.99999999999999967</v>
      </c>
      <c r="M42" s="1726">
        <f t="shared" si="6"/>
        <v>16235.449999999995</v>
      </c>
    </row>
    <row r="43" spans="2:13" ht="17.25" x14ac:dyDescent="0.3">
      <c r="B43" s="1717">
        <v>1260024</v>
      </c>
      <c r="C43" s="1718" t="s">
        <v>1290</v>
      </c>
      <c r="D43" s="1719">
        <v>1.3107429668670178E-3</v>
      </c>
      <c r="E43" s="1720">
        <v>0.50004500405036445</v>
      </c>
      <c r="F43" s="1721">
        <f>VLOOKUP(B43,[2]Hoja1!$C$2:$E$279,3,FALSE)</f>
        <v>12625.84</v>
      </c>
      <c r="G43" s="1722">
        <f t="shared" si="7"/>
        <v>16.54923098078827</v>
      </c>
      <c r="H43" s="1732">
        <v>18900</v>
      </c>
      <c r="I43" s="1723">
        <f t="shared" si="8"/>
        <v>24.773042073786637</v>
      </c>
      <c r="J43" s="1723">
        <f t="shared" si="9"/>
        <v>-33.196613756613758</v>
      </c>
      <c r="K43" s="1724">
        <f t="shared" si="4"/>
        <v>1.3107429668670178E-3</v>
      </c>
      <c r="L43" s="1725">
        <f t="shared" si="5"/>
        <v>9.9999999999999982</v>
      </c>
      <c r="M43" s="1726">
        <f t="shared" si="6"/>
        <v>126258.39999999998</v>
      </c>
    </row>
    <row r="44" spans="2:13" ht="17.25" x14ac:dyDescent="0.3">
      <c r="B44" s="1717">
        <v>1260022</v>
      </c>
      <c r="C44" s="1718" t="s">
        <v>974</v>
      </c>
      <c r="D44" s="1719">
        <v>2.8833750000000001E-3</v>
      </c>
      <c r="E44" s="1720">
        <v>1.1000000000000001</v>
      </c>
      <c r="F44" s="1721">
        <f>VLOOKUP(B44,[2]Hoja1!$C$2:$E$279,3,FALSE)</f>
        <v>22988.01</v>
      </c>
      <c r="G44" s="1722">
        <f t="shared" si="7"/>
        <v>66.283053333750004</v>
      </c>
      <c r="H44" s="1732">
        <v>27066.49</v>
      </c>
      <c r="I44" s="1723">
        <f t="shared" si="8"/>
        <v>78.042840603750008</v>
      </c>
      <c r="J44" s="1723">
        <f t="shared" si="9"/>
        <v>-15.06837421475781</v>
      </c>
      <c r="K44" s="1724">
        <f t="shared" si="4"/>
        <v>2.8833750000000001E-3</v>
      </c>
      <c r="L44" s="1725">
        <f t="shared" si="5"/>
        <v>21.99802</v>
      </c>
      <c r="M44" s="1726">
        <f t="shared" si="6"/>
        <v>505690.70374019997</v>
      </c>
    </row>
    <row r="45" spans="2:13" ht="17.25" x14ac:dyDescent="0.3">
      <c r="B45" s="1717">
        <v>1260005</v>
      </c>
      <c r="C45" s="1718" t="s">
        <v>811</v>
      </c>
      <c r="D45" s="1719">
        <v>2.6214859337340356E-3</v>
      </c>
      <c r="E45" s="1720">
        <v>1.0000900081007289</v>
      </c>
      <c r="F45" s="1721">
        <f>VLOOKUP(B45,[2]Hoja1!$C$2:$E$279,3,FALSE)</f>
        <v>26429</v>
      </c>
      <c r="G45" s="1722">
        <f t="shared" si="7"/>
        <v>69.28325174265683</v>
      </c>
      <c r="H45" s="1728">
        <v>25850</v>
      </c>
      <c r="I45" s="1723">
        <f t="shared" si="8"/>
        <v>67.765411387024827</v>
      </c>
      <c r="J45" s="1723">
        <f t="shared" si="9"/>
        <v>2.2398452611218431</v>
      </c>
      <c r="K45" s="1724">
        <f t="shared" si="4"/>
        <v>2.6214859337340356E-3</v>
      </c>
      <c r="L45" s="1725">
        <f t="shared" si="5"/>
        <v>19.999999999999996</v>
      </c>
      <c r="M45" s="1726">
        <f t="shared" si="6"/>
        <v>528579.99999999988</v>
      </c>
    </row>
    <row r="46" spans="2:13" ht="17.25" x14ac:dyDescent="0.3">
      <c r="B46" s="1717">
        <v>1260010</v>
      </c>
      <c r="C46" s="1718" t="s">
        <v>1043</v>
      </c>
      <c r="D46" s="1719">
        <v>1.3107429668670175E-2</v>
      </c>
      <c r="E46" s="1720">
        <v>5.0004500405036438</v>
      </c>
      <c r="F46" s="1721">
        <f>VLOOKUP(B46,[2]Hoja1!$C$2:$E$279,3,FALSE)</f>
        <v>6959.71</v>
      </c>
      <c r="G46" s="1722">
        <f t="shared" si="7"/>
        <v>91.223909339340508</v>
      </c>
      <c r="H46" s="1729">
        <v>8234.27</v>
      </c>
      <c r="I46" s="1723">
        <f t="shared" si="8"/>
        <v>107.93011489784077</v>
      </c>
      <c r="J46" s="1723">
        <f t="shared" si="9"/>
        <v>-15.478724890002397</v>
      </c>
      <c r="K46" s="1724">
        <f t="shared" si="4"/>
        <v>1.3107429668670175E-2</v>
      </c>
      <c r="L46" s="1725">
        <f t="shared" si="5"/>
        <v>99.999999999999957</v>
      </c>
      <c r="M46" s="1726">
        <f t="shared" si="6"/>
        <v>695970.99999999965</v>
      </c>
    </row>
    <row r="47" spans="2:13" ht="17.25" x14ac:dyDescent="0.3">
      <c r="B47" s="1717">
        <v>1260015</v>
      </c>
      <c r="C47" s="1718" t="s">
        <v>785</v>
      </c>
      <c r="D47" s="1719">
        <v>1.3107429668670175E-2</v>
      </c>
      <c r="E47" s="1720">
        <v>5.0004500405036438</v>
      </c>
      <c r="F47" s="1721">
        <f>VLOOKUP(B47,[2]Hoja1!$C$2:$E$279,3,FALSE)</f>
        <v>3450.01</v>
      </c>
      <c r="G47" s="1722">
        <f t="shared" si="7"/>
        <v>45.220763431208795</v>
      </c>
      <c r="H47" s="1730">
        <v>3400.01</v>
      </c>
      <c r="I47" s="1723">
        <f t="shared" si="8"/>
        <v>44.565391947775282</v>
      </c>
      <c r="J47" s="1723">
        <f t="shared" si="9"/>
        <v>1.4705839100473241</v>
      </c>
      <c r="K47" s="1724">
        <f t="shared" si="4"/>
        <v>1.3107429668670175E-2</v>
      </c>
      <c r="L47" s="1725">
        <f t="shared" si="5"/>
        <v>99.999999999999957</v>
      </c>
      <c r="M47" s="1726">
        <f t="shared" si="6"/>
        <v>345000.99999999988</v>
      </c>
    </row>
    <row r="48" spans="2:13" x14ac:dyDescent="0.25">
      <c r="B48" s="1854" t="s">
        <v>37</v>
      </c>
      <c r="C48" s="1878"/>
      <c r="D48" s="1492">
        <f>SUM(D30:D47)</f>
        <v>0.26213921028880094</v>
      </c>
      <c r="E48" s="1493">
        <f>SUM(E30:E47)</f>
        <v>100.0054211879069</v>
      </c>
      <c r="F48" s="1494"/>
      <c r="G48" s="1494">
        <f>SUM(G30:G47)</f>
        <v>967.73272440708774</v>
      </c>
      <c r="H48" s="1495"/>
      <c r="I48" s="1496">
        <f>SUM(I30:I47)</f>
        <v>1068.6813491161149</v>
      </c>
      <c r="J48" s="1496">
        <f>((G48/I48)*100)-100</f>
        <v>-9.4460921202114889</v>
      </c>
      <c r="K48" s="1337"/>
      <c r="L48" s="1337"/>
      <c r="M48" s="1497">
        <f>SUM(M30:M47)</f>
        <v>7383085.386452199</v>
      </c>
    </row>
    <row r="49" spans="2:10" x14ac:dyDescent="0.25">
      <c r="B49" s="1014"/>
      <c r="C49" s="1014"/>
      <c r="D49" s="1097"/>
      <c r="E49" s="1016"/>
      <c r="F49" s="1097"/>
      <c r="G49" s="1097"/>
      <c r="I49" s="1097"/>
      <c r="J49" s="1098"/>
    </row>
    <row r="50" spans="2:10" x14ac:dyDescent="0.25">
      <c r="B50" s="1014"/>
      <c r="C50" s="1014"/>
      <c r="D50" s="1097"/>
      <c r="E50" s="1016"/>
      <c r="F50" s="1097"/>
      <c r="G50" s="1097"/>
      <c r="I50" s="1097"/>
      <c r="J50" s="1098"/>
    </row>
    <row r="51" spans="2:10" x14ac:dyDescent="0.3">
      <c r="B51" s="1855" t="s">
        <v>50</v>
      </c>
      <c r="C51" s="1856"/>
      <c r="D51" s="693">
        <f>+C54+(C54*C60%)</f>
        <v>262.125</v>
      </c>
      <c r="E51" s="966"/>
      <c r="F51" s="1099"/>
      <c r="G51" s="1099"/>
      <c r="H51" s="1099"/>
      <c r="I51" s="1099"/>
    </row>
    <row r="52" spans="2:10" x14ac:dyDescent="0.25">
      <c r="B52" s="1345" t="s">
        <v>38</v>
      </c>
      <c r="C52" s="968" t="s">
        <v>167</v>
      </c>
    </row>
    <row r="53" spans="2:10" x14ac:dyDescent="0.25">
      <c r="B53" s="1345" t="s">
        <v>39</v>
      </c>
      <c r="C53" s="968" t="s">
        <v>366</v>
      </c>
    </row>
    <row r="54" spans="2:10" x14ac:dyDescent="0.25">
      <c r="B54" s="1345" t="s">
        <v>40</v>
      </c>
      <c r="C54" s="968">
        <v>225</v>
      </c>
    </row>
    <row r="55" spans="2:10" x14ac:dyDescent="0.25">
      <c r="B55" s="1345" t="s">
        <v>41</v>
      </c>
      <c r="C55" s="968">
        <v>0</v>
      </c>
    </row>
    <row r="56" spans="2:10" x14ac:dyDescent="0.25">
      <c r="B56" s="1345" t="s">
        <v>42</v>
      </c>
      <c r="C56" s="968">
        <v>9</v>
      </c>
      <c r="I56" s="345" t="s">
        <v>85</v>
      </c>
    </row>
    <row r="57" spans="2:10" x14ac:dyDescent="0.25">
      <c r="B57" s="1345" t="s">
        <v>43</v>
      </c>
      <c r="C57" s="968">
        <v>2</v>
      </c>
    </row>
    <row r="58" spans="2:10" x14ac:dyDescent="0.25">
      <c r="B58" s="1345" t="s">
        <v>44</v>
      </c>
      <c r="C58" s="968">
        <v>1</v>
      </c>
    </row>
    <row r="59" spans="2:10" x14ac:dyDescent="0.25">
      <c r="B59" s="1345" t="s">
        <v>45</v>
      </c>
      <c r="C59" s="968">
        <v>4.5</v>
      </c>
    </row>
    <row r="60" spans="2:10" x14ac:dyDescent="0.25">
      <c r="B60" s="1345" t="s">
        <v>46</v>
      </c>
      <c r="C60" s="968">
        <f>C59+C58+C57+C56</f>
        <v>16.5</v>
      </c>
    </row>
    <row r="62" spans="2:10" x14ac:dyDescent="0.25">
      <c r="B62" s="1786" t="s">
        <v>47</v>
      </c>
      <c r="C62" s="1787"/>
      <c r="D62" s="1787"/>
      <c r="E62" s="1787"/>
      <c r="F62" s="1787"/>
      <c r="G62" s="1787"/>
      <c r="H62" s="1787"/>
      <c r="I62" s="1787"/>
    </row>
    <row r="63" spans="2:10" ht="28.5" x14ac:dyDescent="0.25">
      <c r="B63" s="1346" t="s">
        <v>0</v>
      </c>
      <c r="C63" s="1346" t="s">
        <v>1</v>
      </c>
      <c r="D63" s="1349" t="s">
        <v>2</v>
      </c>
      <c r="E63" s="1335" t="str">
        <f>+'CIF Y PV'!$F$4</f>
        <v xml:space="preserve">JUN-COP/UMB </v>
      </c>
      <c r="F63" s="1335" t="str">
        <f>+'CIF Y PV'!$G$4</f>
        <v>JUN-COP/APP</v>
      </c>
      <c r="G63" s="1335" t="str">
        <f>+'CIF Y PV'!$H$4</f>
        <v xml:space="preserve">MAY-COP/UMB </v>
      </c>
      <c r="H63" s="1335" t="str">
        <f>+'CIF Y PV'!$I$4</f>
        <v>MAY-COP/APP</v>
      </c>
      <c r="I63" s="1364" t="s">
        <v>3</v>
      </c>
      <c r="J63" s="345">
        <v>300000</v>
      </c>
    </row>
    <row r="64" spans="2:10" x14ac:dyDescent="0.25">
      <c r="B64" s="576">
        <v>1370030</v>
      </c>
      <c r="C64" s="576" t="s">
        <v>1371</v>
      </c>
      <c r="D64" s="494">
        <v>1.1200000000000001</v>
      </c>
      <c r="E64" s="507">
        <f>VLOOKUP(B64,[2]Hoja1!$C$2:$E$279,3,FALSE)</f>
        <v>180.22</v>
      </c>
      <c r="F64" s="507">
        <f>E64*D64</f>
        <v>201.84640000000002</v>
      </c>
      <c r="G64" s="507">
        <v>151.16</v>
      </c>
      <c r="H64" s="507">
        <f>G64*D64</f>
        <v>169.29920000000001</v>
      </c>
      <c r="I64" s="566">
        <f>((E64/G64)*100)-100</f>
        <v>19.224662609155871</v>
      </c>
      <c r="J64" s="345">
        <f>J63*D64</f>
        <v>336000.00000000006</v>
      </c>
    </row>
    <row r="65" spans="2:11" x14ac:dyDescent="0.25">
      <c r="B65" s="576">
        <v>1310015</v>
      </c>
      <c r="C65" s="576" t="s">
        <v>1192</v>
      </c>
      <c r="D65" s="494">
        <v>4.7E-2</v>
      </c>
      <c r="E65" s="507">
        <f>VLOOKUP(B65,[2]Hoja1!$C$2:$E$279,3,FALSE)</f>
        <v>695.61</v>
      </c>
      <c r="F65" s="507">
        <f>E65*D65</f>
        <v>32.693669999999997</v>
      </c>
      <c r="G65" s="866">
        <v>711.04</v>
      </c>
      <c r="H65" s="507">
        <f>G65*D65</f>
        <v>33.418880000000001</v>
      </c>
      <c r="I65" s="566">
        <f>((E65/G65)*100)-100</f>
        <v>-2.1700607560755998</v>
      </c>
      <c r="J65" s="345">
        <f>J63*D65</f>
        <v>14100</v>
      </c>
    </row>
    <row r="66" spans="2:11" x14ac:dyDescent="0.3">
      <c r="B66" s="576">
        <v>1320003</v>
      </c>
      <c r="C66" s="576" t="s">
        <v>919</v>
      </c>
      <c r="D66" s="494">
        <v>4.7E-2</v>
      </c>
      <c r="E66" s="507">
        <f>VLOOKUP(B66,[2]Hoja1!$C$2:$E$279,3,FALSE)</f>
        <v>701.94</v>
      </c>
      <c r="F66" s="507">
        <f>E66*D66</f>
        <v>32.99118</v>
      </c>
      <c r="G66" s="582">
        <v>700.44</v>
      </c>
      <c r="H66" s="507">
        <f>G66*D66</f>
        <v>32.920680000000004</v>
      </c>
      <c r="I66" s="566">
        <f>((E66/G66)*100)-100</f>
        <v>0.21415110501969536</v>
      </c>
      <c r="J66" s="345">
        <f>J63*D66</f>
        <v>14100</v>
      </c>
    </row>
    <row r="67" spans="2:11" x14ac:dyDescent="0.25">
      <c r="B67" s="1346"/>
      <c r="C67" s="1346" t="s">
        <v>37</v>
      </c>
      <c r="D67" s="1349"/>
      <c r="E67" s="1349"/>
      <c r="F67" s="1349">
        <f>SUM(F64:F66)</f>
        <v>267.53125</v>
      </c>
      <c r="G67" s="1349"/>
      <c r="H67" s="1349">
        <f>SUM(H64:H66)</f>
        <v>235.63876000000002</v>
      </c>
      <c r="I67" s="1350">
        <f>((F67/H67)*100)-100</f>
        <v>13.534483885418496</v>
      </c>
    </row>
    <row r="68" spans="2:11" x14ac:dyDescent="0.25">
      <c r="I68" s="1098"/>
    </row>
    <row r="69" spans="2:11" x14ac:dyDescent="0.3">
      <c r="H69" s="527" t="str">
        <f>+'CIF Y PV'!$G$1</f>
        <v>MAYO</v>
      </c>
    </row>
    <row r="70" spans="2:11" x14ac:dyDescent="0.25">
      <c r="B70" s="1779" t="s">
        <v>72</v>
      </c>
      <c r="C70" s="1779"/>
      <c r="E70" s="972"/>
      <c r="F70" s="972"/>
      <c r="G70" s="972"/>
      <c r="H70" s="972">
        <f>+G48+F67</f>
        <v>1235.2639744070877</v>
      </c>
      <c r="I70" s="1018"/>
      <c r="J70" s="972"/>
    </row>
    <row r="71" spans="2:11" x14ac:dyDescent="0.25">
      <c r="B71" s="1777" t="s">
        <v>48</v>
      </c>
      <c r="C71" s="1778"/>
      <c r="E71" s="972"/>
      <c r="F71" s="972"/>
      <c r="G71" s="972"/>
      <c r="H71" s="972">
        <f>+('CIF Y PV'!C3/1000)*225</f>
        <v>425.25</v>
      </c>
      <c r="I71" s="185"/>
      <c r="J71" s="972"/>
    </row>
    <row r="72" spans="2:11" x14ac:dyDescent="0.25">
      <c r="B72" s="1777" t="s">
        <v>73</v>
      </c>
      <c r="C72" s="1778"/>
      <c r="E72" s="972"/>
      <c r="F72" s="972"/>
      <c r="G72" s="972"/>
      <c r="H72" s="972">
        <f>+H70+H71</f>
        <v>1660.5139744070877</v>
      </c>
      <c r="I72" s="185"/>
      <c r="J72" s="972"/>
    </row>
    <row r="73" spans="2:11" hidden="1" x14ac:dyDescent="0.25">
      <c r="B73" s="1874" t="s">
        <v>49</v>
      </c>
      <c r="C73" s="1874"/>
      <c r="D73" s="1875">
        <f>H72/I74</f>
        <v>1802.9467691716479</v>
      </c>
      <c r="E73" s="1875"/>
      <c r="F73" s="1875"/>
      <c r="G73" s="1875"/>
      <c r="H73" s="1875"/>
      <c r="I73" s="1100">
        <v>7.9000000000000001E-2</v>
      </c>
      <c r="K73" s="1101"/>
    </row>
    <row r="74" spans="2:11" x14ac:dyDescent="0.25">
      <c r="I74" s="1102">
        <f>1-I73</f>
        <v>0.92100000000000004</v>
      </c>
      <c r="K74" s="1020"/>
    </row>
  </sheetData>
  <autoFilter ref="A29:K47" xr:uid="{0EA1E942-9FC3-433D-9370-5A1BB1847EF5}"/>
  <mergeCells count="11">
    <mergeCell ref="B71:C71"/>
    <mergeCell ref="B72:C72"/>
    <mergeCell ref="B73:C73"/>
    <mergeCell ref="D73:H73"/>
    <mergeCell ref="B2:I2"/>
    <mergeCell ref="B25:C25"/>
    <mergeCell ref="B51:C51"/>
    <mergeCell ref="B62:I62"/>
    <mergeCell ref="B70:C70"/>
    <mergeCell ref="B27:I27"/>
    <mergeCell ref="B48:C48"/>
  </mergeCells>
  <pageMargins left="0.7" right="0.7" top="0.75" bottom="0.75" header="0.3" footer="0.3"/>
  <pageSetup scale="34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AE68-2714-43AC-9A71-16C2CF4F791C}">
  <sheetPr codeName="Hoja76"/>
  <dimension ref="B2:K76"/>
  <sheetViews>
    <sheetView view="pageBreakPreview" topLeftCell="A55" zoomScale="70" zoomScaleNormal="100" zoomScaleSheetLayoutView="70" workbookViewId="0">
      <selection activeCell="J64" sqref="J64"/>
    </sheetView>
  </sheetViews>
  <sheetFormatPr baseColWidth="10" defaultColWidth="11.5703125" defaultRowHeight="13.5" x14ac:dyDescent="0.25"/>
  <cols>
    <col min="1" max="1" width="7" style="120" bestFit="1" customWidth="1"/>
    <col min="2" max="2" width="17.42578125" style="120" customWidth="1"/>
    <col min="3" max="3" width="58.28515625" style="120" customWidth="1"/>
    <col min="4" max="4" width="14.140625" style="146" customWidth="1"/>
    <col min="5" max="5" width="13.140625" style="120" bestFit="1" customWidth="1"/>
    <col min="6" max="7" width="13.140625" style="146" customWidth="1"/>
    <col min="8" max="8" width="12.85546875" style="146" customWidth="1"/>
    <col min="9" max="9" width="12.28515625" style="146" bestFit="1" customWidth="1"/>
    <col min="10" max="10" width="11.5703125" style="146"/>
    <col min="11" max="16384" width="11.5703125" style="120"/>
  </cols>
  <sheetData>
    <row r="2" spans="2:11" ht="30" hidden="1" customHeight="1" x14ac:dyDescent="0.25">
      <c r="B2" s="1738" t="s">
        <v>381</v>
      </c>
      <c r="C2" s="1738"/>
      <c r="D2" s="1738"/>
      <c r="E2" s="1738"/>
      <c r="F2" s="1738"/>
      <c r="G2" s="1738"/>
      <c r="H2" s="1738"/>
      <c r="I2" s="1738"/>
    </row>
    <row r="3" spans="2:11" hidden="1" x14ac:dyDescent="0.25"/>
    <row r="4" spans="2:11" s="3" customFormat="1" ht="25.5" hidden="1" x14ac:dyDescent="0.25">
      <c r="B4" s="2" t="s">
        <v>0</v>
      </c>
      <c r="C4" s="2" t="s">
        <v>1</v>
      </c>
      <c r="D4" s="2" t="s">
        <v>2</v>
      </c>
      <c r="E4" s="2" t="s">
        <v>3</v>
      </c>
      <c r="F4" s="149" t="s">
        <v>523</v>
      </c>
      <c r="G4" s="149" t="s">
        <v>512</v>
      </c>
      <c r="H4" s="121" t="s">
        <v>319</v>
      </c>
      <c r="I4" s="121" t="s">
        <v>307</v>
      </c>
      <c r="J4" s="121" t="s">
        <v>3</v>
      </c>
    </row>
    <row r="5" spans="2:11" ht="16.5" hidden="1" x14ac:dyDescent="0.25">
      <c r="B5" s="6" t="s">
        <v>4</v>
      </c>
      <c r="C5" s="6" t="s">
        <v>53</v>
      </c>
      <c r="D5" s="247">
        <v>0.17323409106819618</v>
      </c>
      <c r="E5" s="247">
        <f t="shared" ref="E5:E23" si="0">(D5*100)/$D$25</f>
        <v>32.902961266514005</v>
      </c>
      <c r="F5" s="72">
        <v>7</v>
      </c>
      <c r="G5" s="270">
        <f t="shared" ref="G5:G23" si="1">F5*D5</f>
        <v>1.2126386374773732</v>
      </c>
      <c r="H5" s="270">
        <v>7</v>
      </c>
      <c r="I5" s="270">
        <f t="shared" ref="I5:I23" si="2">H5*D5</f>
        <v>1.2126386374773732</v>
      </c>
      <c r="J5" s="270">
        <f t="shared" ref="J5:J23" si="3">((F5/H5)*100)-100</f>
        <v>0</v>
      </c>
      <c r="K5" s="119"/>
    </row>
    <row r="6" spans="2:11" hidden="1" x14ac:dyDescent="0.25">
      <c r="B6" s="6" t="s">
        <v>5</v>
      </c>
      <c r="C6" s="6" t="s">
        <v>55</v>
      </c>
      <c r="D6" s="232">
        <v>0.11057495174565712</v>
      </c>
      <c r="E6" s="247">
        <f t="shared" si="0"/>
        <v>21.00189017011532</v>
      </c>
      <c r="F6" s="25">
        <v>5484</v>
      </c>
      <c r="G6" s="270">
        <f t="shared" si="1"/>
        <v>606.39303537318369</v>
      </c>
      <c r="H6" s="33">
        <v>5453</v>
      </c>
      <c r="I6" s="270">
        <f t="shared" si="2"/>
        <v>602.9652118690683</v>
      </c>
      <c r="J6" s="391">
        <f t="shared" si="3"/>
        <v>0.56849440674857021</v>
      </c>
      <c r="K6" s="119"/>
    </row>
    <row r="7" spans="2:11" ht="16.5" hidden="1" x14ac:dyDescent="0.25">
      <c r="B7" s="6" t="s">
        <v>6</v>
      </c>
      <c r="C7" s="6" t="s">
        <v>365</v>
      </c>
      <c r="D7" s="232">
        <v>0.10068112630136712</v>
      </c>
      <c r="E7" s="247">
        <f t="shared" si="0"/>
        <v>19.122721044894046</v>
      </c>
      <c r="F7" s="72">
        <v>6993</v>
      </c>
      <c r="G7" s="270">
        <f t="shared" si="1"/>
        <v>704.06311622546025</v>
      </c>
      <c r="H7" s="39">
        <v>7255</v>
      </c>
      <c r="I7" s="270">
        <f t="shared" si="2"/>
        <v>730.4415713164185</v>
      </c>
      <c r="J7" s="390">
        <f t="shared" si="3"/>
        <v>-3.6113025499655436</v>
      </c>
      <c r="K7" s="119"/>
    </row>
    <row r="8" spans="2:11" hidden="1" x14ac:dyDescent="0.25">
      <c r="B8" s="6" t="s">
        <v>7</v>
      </c>
      <c r="C8" s="6" t="s">
        <v>58</v>
      </c>
      <c r="D8" s="232">
        <v>4.5809622866057942E-2</v>
      </c>
      <c r="E8" s="247">
        <f t="shared" si="0"/>
        <v>8.700783070476346</v>
      </c>
      <c r="F8" s="106">
        <v>7029</v>
      </c>
      <c r="G8" s="270">
        <f t="shared" si="1"/>
        <v>321.99583912552129</v>
      </c>
      <c r="H8" s="25">
        <v>6559</v>
      </c>
      <c r="I8" s="270">
        <f t="shared" si="2"/>
        <v>300.46531637847403</v>
      </c>
      <c r="J8" s="391">
        <f t="shared" si="3"/>
        <v>7.1657264826955327</v>
      </c>
      <c r="K8" s="119"/>
    </row>
    <row r="9" spans="2:11" hidden="1" x14ac:dyDescent="0.25">
      <c r="B9" s="6" t="s">
        <v>9</v>
      </c>
      <c r="C9" s="6" t="s">
        <v>10</v>
      </c>
      <c r="D9" s="232">
        <v>2.6327369463251694E-2</v>
      </c>
      <c r="E9" s="247">
        <f t="shared" si="0"/>
        <v>5.0004500405036465</v>
      </c>
      <c r="F9" s="106">
        <v>5975</v>
      </c>
      <c r="G9" s="270">
        <f t="shared" si="1"/>
        <v>157.30603254292888</v>
      </c>
      <c r="H9" s="250">
        <v>5761</v>
      </c>
      <c r="I9" s="270">
        <f t="shared" si="2"/>
        <v>151.67197547779301</v>
      </c>
      <c r="J9" s="391">
        <f t="shared" si="3"/>
        <v>3.7146328762367631</v>
      </c>
      <c r="K9" s="119"/>
    </row>
    <row r="10" spans="2:11" ht="16.5" hidden="1" x14ac:dyDescent="0.25">
      <c r="B10" s="6" t="s">
        <v>8</v>
      </c>
      <c r="C10" s="6" t="s">
        <v>56</v>
      </c>
      <c r="D10" s="232">
        <v>2.3473482613435206E-2</v>
      </c>
      <c r="E10" s="247">
        <f t="shared" si="0"/>
        <v>4.4584012561130502</v>
      </c>
      <c r="F10" s="72">
        <v>1500</v>
      </c>
      <c r="G10" s="270">
        <f t="shared" si="1"/>
        <v>35.210223920152806</v>
      </c>
      <c r="H10" s="250">
        <v>1500</v>
      </c>
      <c r="I10" s="270">
        <f t="shared" si="2"/>
        <v>35.210223920152806</v>
      </c>
      <c r="J10" s="270">
        <f t="shared" si="3"/>
        <v>0</v>
      </c>
      <c r="K10" s="119"/>
    </row>
    <row r="11" spans="2:11" ht="16.5" hidden="1" x14ac:dyDescent="0.25">
      <c r="B11" s="6" t="s">
        <v>11</v>
      </c>
      <c r="C11" s="6" t="s">
        <v>12</v>
      </c>
      <c r="D11" s="232">
        <v>1.5796421677951013E-2</v>
      </c>
      <c r="E11" s="247">
        <f t="shared" si="0"/>
        <v>3.0002700243021878</v>
      </c>
      <c r="F11" s="184">
        <v>16084</v>
      </c>
      <c r="G11" s="270">
        <f t="shared" si="1"/>
        <v>254.06964626816409</v>
      </c>
      <c r="H11" s="25">
        <v>15638</v>
      </c>
      <c r="I11" s="270">
        <f t="shared" si="2"/>
        <v>247.02444219979793</v>
      </c>
      <c r="J11" s="391">
        <f t="shared" si="3"/>
        <v>2.8520271134416078</v>
      </c>
      <c r="K11" s="119"/>
    </row>
    <row r="12" spans="2:11" hidden="1" x14ac:dyDescent="0.25">
      <c r="B12" s="6" t="s">
        <v>13</v>
      </c>
      <c r="C12" s="6" t="s">
        <v>14</v>
      </c>
      <c r="D12" s="232">
        <v>5.7920212819153683E-3</v>
      </c>
      <c r="E12" s="247">
        <f t="shared" si="0"/>
        <v>1.1000990089108016</v>
      </c>
      <c r="F12" s="32">
        <v>33158</v>
      </c>
      <c r="G12" s="270">
        <f t="shared" si="1"/>
        <v>192.05184166574978</v>
      </c>
      <c r="H12" s="39">
        <v>31122</v>
      </c>
      <c r="I12" s="270">
        <f t="shared" si="2"/>
        <v>180.2592863357701</v>
      </c>
      <c r="J12" s="391">
        <f t="shared" si="3"/>
        <v>6.5419960156802119</v>
      </c>
      <c r="K12" s="119"/>
    </row>
    <row r="13" spans="2:11" hidden="1" x14ac:dyDescent="0.25">
      <c r="B13" s="6" t="s">
        <v>15</v>
      </c>
      <c r="C13" s="6" t="s">
        <v>16</v>
      </c>
      <c r="D13" s="232">
        <v>5.2654738926503353E-3</v>
      </c>
      <c r="E13" s="247">
        <f t="shared" si="0"/>
        <v>1.0000900081007287</v>
      </c>
      <c r="F13" s="25">
        <v>28967</v>
      </c>
      <c r="G13" s="270">
        <f t="shared" si="1"/>
        <v>152.52498224840227</v>
      </c>
      <c r="H13" s="25">
        <v>29262</v>
      </c>
      <c r="I13" s="270">
        <f t="shared" si="2"/>
        <v>154.07829704673412</v>
      </c>
      <c r="J13" s="390">
        <f t="shared" si="3"/>
        <v>-1.0081334153509687</v>
      </c>
      <c r="K13" s="119"/>
    </row>
    <row r="14" spans="2:11" hidden="1" x14ac:dyDescent="0.25">
      <c r="B14" s="6" t="s">
        <v>17</v>
      </c>
      <c r="C14" s="6" t="s">
        <v>18</v>
      </c>
      <c r="D14" s="232">
        <v>5.0811823064075747E-3</v>
      </c>
      <c r="E14" s="247">
        <f t="shared" si="0"/>
        <v>0.96508685781720338</v>
      </c>
      <c r="F14" s="274">
        <v>878</v>
      </c>
      <c r="G14" s="270">
        <f t="shared" si="1"/>
        <v>4.4612780650258506</v>
      </c>
      <c r="H14" s="250">
        <v>878</v>
      </c>
      <c r="I14" s="270">
        <f t="shared" si="2"/>
        <v>4.4612780650258506</v>
      </c>
      <c r="J14" s="270">
        <f t="shared" si="3"/>
        <v>0</v>
      </c>
      <c r="K14" s="119"/>
    </row>
    <row r="15" spans="2:11" hidden="1" x14ac:dyDescent="0.25">
      <c r="B15" s="6" t="s">
        <v>19</v>
      </c>
      <c r="C15" s="6" t="s">
        <v>20</v>
      </c>
      <c r="D15" s="143">
        <v>3.5541948775389778E-3</v>
      </c>
      <c r="E15" s="247">
        <f t="shared" si="0"/>
        <v>0.67506075546799216</v>
      </c>
      <c r="F15" s="248">
        <v>27308</v>
      </c>
      <c r="G15" s="270">
        <f t="shared" si="1"/>
        <v>97.057953715834401</v>
      </c>
      <c r="H15" s="234">
        <v>27308</v>
      </c>
      <c r="I15" s="270">
        <f t="shared" si="2"/>
        <v>97.057953715834401</v>
      </c>
      <c r="J15" s="270">
        <f t="shared" si="3"/>
        <v>0</v>
      </c>
      <c r="K15" s="119"/>
    </row>
    <row r="16" spans="2:11" hidden="1" x14ac:dyDescent="0.25">
      <c r="B16" s="6" t="s">
        <v>21</v>
      </c>
      <c r="C16" s="6" t="s">
        <v>22</v>
      </c>
      <c r="D16" s="143">
        <v>3.1592843355902019E-3</v>
      </c>
      <c r="E16" s="247">
        <f t="shared" si="0"/>
        <v>0.60005400486043736</v>
      </c>
      <c r="F16" s="96">
        <v>10412</v>
      </c>
      <c r="G16" s="270">
        <f t="shared" si="1"/>
        <v>32.894468502165182</v>
      </c>
      <c r="H16" s="234">
        <v>10412</v>
      </c>
      <c r="I16" s="270">
        <f t="shared" si="2"/>
        <v>32.894468502165182</v>
      </c>
      <c r="J16" s="270">
        <f t="shared" si="3"/>
        <v>0</v>
      </c>
      <c r="K16" s="119"/>
    </row>
    <row r="17" spans="2:11" hidden="1" x14ac:dyDescent="0.25">
      <c r="B17" s="6" t="s">
        <v>23</v>
      </c>
      <c r="C17" s="6" t="s">
        <v>24</v>
      </c>
      <c r="D17" s="143">
        <v>2.7380464241781753E-3</v>
      </c>
      <c r="E17" s="247">
        <f t="shared" si="0"/>
        <v>0.52004680421237914</v>
      </c>
      <c r="F17" s="32">
        <v>20854</v>
      </c>
      <c r="G17" s="270">
        <f t="shared" si="1"/>
        <v>57.09922012981167</v>
      </c>
      <c r="H17" s="25">
        <v>19616</v>
      </c>
      <c r="I17" s="270">
        <f t="shared" si="2"/>
        <v>53.709518656679087</v>
      </c>
      <c r="J17" s="391">
        <f t="shared" si="3"/>
        <v>6.3111745513866282</v>
      </c>
      <c r="K17" s="119"/>
    </row>
    <row r="18" spans="2:11" hidden="1" x14ac:dyDescent="0.25">
      <c r="B18" s="6" t="s">
        <v>25</v>
      </c>
      <c r="C18" s="6" t="s">
        <v>26</v>
      </c>
      <c r="D18" s="143">
        <v>2.6327369463251676E-3</v>
      </c>
      <c r="E18" s="247">
        <f t="shared" si="0"/>
        <v>0.50004500405036434</v>
      </c>
      <c r="F18" s="270">
        <v>59418</v>
      </c>
      <c r="G18" s="270">
        <f t="shared" si="1"/>
        <v>156.43196387674882</v>
      </c>
      <c r="H18" s="250">
        <v>59227</v>
      </c>
      <c r="I18" s="270">
        <f t="shared" si="2"/>
        <v>155.9291111200007</v>
      </c>
      <c r="J18" s="391">
        <f t="shared" si="3"/>
        <v>0.32248805443461492</v>
      </c>
      <c r="K18" s="119"/>
    </row>
    <row r="19" spans="2:11" hidden="1" x14ac:dyDescent="0.25">
      <c r="B19" s="6" t="s">
        <v>27</v>
      </c>
      <c r="C19" s="6" t="s">
        <v>28</v>
      </c>
      <c r="D19" s="143">
        <v>8.9513056175055715E-4</v>
      </c>
      <c r="E19" s="247">
        <f t="shared" si="0"/>
        <v>0.1700153013771239</v>
      </c>
      <c r="F19" s="32">
        <v>16132</v>
      </c>
      <c r="G19" s="270">
        <f t="shared" si="1"/>
        <v>14.440246222159988</v>
      </c>
      <c r="H19" s="106">
        <v>16110</v>
      </c>
      <c r="I19" s="270">
        <f t="shared" si="2"/>
        <v>14.420553349801475</v>
      </c>
      <c r="J19" s="391">
        <f t="shared" si="3"/>
        <v>0.13656114214772686</v>
      </c>
      <c r="K19" s="119"/>
    </row>
    <row r="20" spans="2:11" hidden="1" x14ac:dyDescent="0.25">
      <c r="B20" s="6" t="s">
        <v>29</v>
      </c>
      <c r="C20" s="6" t="s">
        <v>30</v>
      </c>
      <c r="D20" s="143">
        <v>8.7933414007260635E-4</v>
      </c>
      <c r="E20" s="247">
        <f t="shared" si="0"/>
        <v>0.16701503135282178</v>
      </c>
      <c r="F20" s="106">
        <v>2500</v>
      </c>
      <c r="G20" s="270">
        <f t="shared" si="1"/>
        <v>2.1983353501815159</v>
      </c>
      <c r="H20" s="106">
        <v>2554</v>
      </c>
      <c r="I20" s="270">
        <f t="shared" si="2"/>
        <v>2.2458193937454367</v>
      </c>
      <c r="J20" s="390">
        <f t="shared" si="3"/>
        <v>-2.1143304620203622</v>
      </c>
      <c r="K20" s="119"/>
    </row>
    <row r="21" spans="2:11" hidden="1" x14ac:dyDescent="0.25">
      <c r="B21" s="6" t="s">
        <v>31</v>
      </c>
      <c r="C21" s="6" t="s">
        <v>32</v>
      </c>
      <c r="D21" s="143">
        <v>2.7907011631046779E-4</v>
      </c>
      <c r="E21" s="247">
        <f t="shared" si="0"/>
        <v>5.3004770429338627E-2</v>
      </c>
      <c r="F21" s="95">
        <v>121899</v>
      </c>
      <c r="G21" s="270">
        <f t="shared" si="1"/>
        <v>34.018368108129714</v>
      </c>
      <c r="H21" s="95">
        <v>121899</v>
      </c>
      <c r="I21" s="270">
        <f t="shared" si="2"/>
        <v>34.018368108129714</v>
      </c>
      <c r="J21" s="270">
        <f t="shared" si="3"/>
        <v>0</v>
      </c>
      <c r="K21" s="119"/>
    </row>
    <row r="22" spans="2:11" hidden="1" x14ac:dyDescent="0.25">
      <c r="B22" s="6" t="s">
        <v>33</v>
      </c>
      <c r="C22" s="6" t="s">
        <v>34</v>
      </c>
      <c r="D22" s="143">
        <v>2.5537548379354137E-4</v>
      </c>
      <c r="E22" s="247">
        <f t="shared" si="0"/>
        <v>4.8504365392885364E-2</v>
      </c>
      <c r="F22" s="106">
        <v>26800</v>
      </c>
      <c r="G22" s="270">
        <f t="shared" si="1"/>
        <v>6.8440629656669092</v>
      </c>
      <c r="H22" s="106">
        <v>26800</v>
      </c>
      <c r="I22" s="270">
        <f t="shared" si="2"/>
        <v>6.8440629656669092</v>
      </c>
      <c r="J22" s="270">
        <f t="shared" si="3"/>
        <v>0</v>
      </c>
      <c r="K22" s="119"/>
    </row>
    <row r="23" spans="2:11" hidden="1" x14ac:dyDescent="0.25">
      <c r="B23" s="6" t="s">
        <v>35</v>
      </c>
      <c r="C23" s="6" t="s">
        <v>36</v>
      </c>
      <c r="D23" s="273">
        <v>7.1083897550779546E-5</v>
      </c>
      <c r="E23" s="247">
        <f t="shared" si="0"/>
        <v>1.3501215109359841E-2</v>
      </c>
      <c r="F23" s="95">
        <v>169210</v>
      </c>
      <c r="G23" s="270">
        <f t="shared" si="1"/>
        <v>12.028106304567407</v>
      </c>
      <c r="H23" s="95">
        <v>169210</v>
      </c>
      <c r="I23" s="270">
        <f t="shared" si="2"/>
        <v>12.028106304567407</v>
      </c>
      <c r="J23" s="270">
        <f t="shared" si="3"/>
        <v>0</v>
      </c>
      <c r="K23" s="119"/>
    </row>
    <row r="24" spans="2:11" hidden="1" x14ac:dyDescent="0.25">
      <c r="B24" s="1"/>
      <c r="C24" s="1"/>
      <c r="D24" s="386"/>
      <c r="E24" s="387"/>
      <c r="F24" s="388"/>
      <c r="G24" s="389"/>
      <c r="H24" s="388"/>
      <c r="I24" s="389"/>
      <c r="J24" s="389"/>
      <c r="K24" s="119"/>
    </row>
    <row r="25" spans="2:11" hidden="1" x14ac:dyDescent="0.25">
      <c r="B25" s="1832" t="s">
        <v>37</v>
      </c>
      <c r="C25" s="1832"/>
      <c r="D25" s="238">
        <f>SUM(D5:D23)</f>
        <v>0.52649999999999986</v>
      </c>
      <c r="E25" s="238">
        <f>SUM(E5:E23)</f>
        <v>100.00000000000004</v>
      </c>
      <c r="F25" s="271"/>
      <c r="G25" s="275">
        <f>SUM(G5:G22)</f>
        <v>2830.2732529427649</v>
      </c>
      <c r="H25" s="276"/>
      <c r="I25" s="271">
        <f>SUM(I5:I22)</f>
        <v>2804.9100970587351</v>
      </c>
      <c r="J25" s="271">
        <f>((G25/I25)*100)-100</f>
        <v>0.90424131278309972</v>
      </c>
    </row>
    <row r="26" spans="2:11" hidden="1" x14ac:dyDescent="0.25"/>
    <row r="28" spans="2:11" ht="30" customHeight="1" x14ac:dyDescent="0.25">
      <c r="B28" s="1738" t="s">
        <v>531</v>
      </c>
      <c r="C28" s="1738"/>
      <c r="D28" s="1738"/>
      <c r="E28" s="1738"/>
      <c r="F28" s="1738"/>
      <c r="G28" s="1738"/>
      <c r="H28" s="1738"/>
      <c r="I28" s="1738"/>
    </row>
    <row r="30" spans="2:11" s="3" customFormat="1" ht="25.5" x14ac:dyDescent="0.25">
      <c r="B30" s="2" t="s">
        <v>0</v>
      </c>
      <c r="C30" s="2" t="s">
        <v>1</v>
      </c>
      <c r="D30" s="660" t="s">
        <v>2</v>
      </c>
      <c r="E30" s="660" t="s">
        <v>3</v>
      </c>
      <c r="F30" s="673" t="s">
        <v>628</v>
      </c>
      <c r="G30" s="661" t="s">
        <v>627</v>
      </c>
      <c r="H30" s="662" t="s">
        <v>536</v>
      </c>
      <c r="I30" s="662" t="s">
        <v>512</v>
      </c>
      <c r="J30" s="662" t="s">
        <v>3</v>
      </c>
      <c r="K30" s="267"/>
    </row>
    <row r="31" spans="2:11" ht="16.5" x14ac:dyDescent="0.25">
      <c r="B31" s="6" t="s">
        <v>4</v>
      </c>
      <c r="C31" s="659" t="s">
        <v>448</v>
      </c>
      <c r="D31" s="663">
        <v>0.1961266216644055</v>
      </c>
      <c r="E31" s="634">
        <f>(D31*100)/$D$52</f>
        <v>37.251020259146323</v>
      </c>
      <c r="F31" s="664">
        <v>7</v>
      </c>
      <c r="G31" s="664">
        <f>F31*D31</f>
        <v>1.3728863516508385</v>
      </c>
      <c r="H31" s="634">
        <v>7</v>
      </c>
      <c r="I31" s="634">
        <f>H31*D31</f>
        <v>1.3728863516508385</v>
      </c>
      <c r="J31" s="634">
        <f>((I31/G31)*100)-100</f>
        <v>0</v>
      </c>
      <c r="K31" s="119"/>
    </row>
    <row r="32" spans="2:11" ht="16.5" x14ac:dyDescent="0.25">
      <c r="B32" s="30" t="s">
        <v>5</v>
      </c>
      <c r="C32" s="675" t="s">
        <v>503</v>
      </c>
      <c r="D32" s="663">
        <v>0.10127882675361718</v>
      </c>
      <c r="E32" s="634">
        <f t="shared" ref="E32:E50" si="4">(D32*100)/$D$52</f>
        <v>19.236244397648075</v>
      </c>
      <c r="F32" s="123">
        <v>5420</v>
      </c>
      <c r="G32" s="664">
        <f t="shared" ref="G32:G50" si="5">F32*D32</f>
        <v>548.93124100460511</v>
      </c>
      <c r="H32" s="634">
        <v>5484</v>
      </c>
      <c r="I32" s="634">
        <f t="shared" ref="I32:I50" si="6">H32*D32</f>
        <v>555.41308591683662</v>
      </c>
      <c r="J32" s="649">
        <f>((G32/I32)*100)-100</f>
        <v>-1.167031363967908</v>
      </c>
      <c r="K32" s="119"/>
    </row>
    <row r="33" spans="2:11" ht="16.5" x14ac:dyDescent="0.25">
      <c r="B33" s="30" t="s">
        <v>5</v>
      </c>
      <c r="C33" s="675" t="s">
        <v>503</v>
      </c>
      <c r="D33" s="663">
        <v>0.10127882675361718</v>
      </c>
      <c r="E33" s="634">
        <f t="shared" si="4"/>
        <v>19.236244397648075</v>
      </c>
      <c r="F33" s="123">
        <v>5420</v>
      </c>
      <c r="G33" s="664">
        <f t="shared" si="5"/>
        <v>548.93124100460511</v>
      </c>
      <c r="H33" s="634">
        <v>5484</v>
      </c>
      <c r="I33" s="634">
        <f t="shared" si="6"/>
        <v>555.41308591683662</v>
      </c>
      <c r="J33" s="649">
        <f t="shared" ref="J33:J50" si="7">((G33/I33)*100)-100</f>
        <v>-1.167031363967908</v>
      </c>
      <c r="K33" s="119"/>
    </row>
    <row r="34" spans="2:11" ht="16.5" x14ac:dyDescent="0.25">
      <c r="B34" s="30" t="s">
        <v>7</v>
      </c>
      <c r="C34" s="675" t="s">
        <v>58</v>
      </c>
      <c r="D34" s="663">
        <v>8.0133343580903894E-3</v>
      </c>
      <c r="E34" s="634">
        <f t="shared" si="4"/>
        <v>1.5220008277474615</v>
      </c>
      <c r="F34" s="225">
        <v>7022</v>
      </c>
      <c r="G34" s="664">
        <f t="shared" si="5"/>
        <v>56.269633862510716</v>
      </c>
      <c r="H34" s="634">
        <v>7029</v>
      </c>
      <c r="I34" s="634">
        <f t="shared" si="6"/>
        <v>56.325727203017344</v>
      </c>
      <c r="J34" s="649">
        <f t="shared" si="7"/>
        <v>-9.9587423531076524E-2</v>
      </c>
      <c r="K34" s="119"/>
    </row>
    <row r="35" spans="2:11" ht="16.5" x14ac:dyDescent="0.25">
      <c r="B35" s="30" t="s">
        <v>8</v>
      </c>
      <c r="C35" s="675" t="s">
        <v>449</v>
      </c>
      <c r="D35" s="663">
        <v>4.2965179428620541E-2</v>
      </c>
      <c r="E35" s="634">
        <f t="shared" si="4"/>
        <v>8.1605279066705627</v>
      </c>
      <c r="F35" s="225">
        <v>1500</v>
      </c>
      <c r="G35" s="664">
        <f t="shared" si="5"/>
        <v>64.447769142930809</v>
      </c>
      <c r="H35" s="634">
        <v>1500</v>
      </c>
      <c r="I35" s="634">
        <f t="shared" si="6"/>
        <v>64.447769142930809</v>
      </c>
      <c r="J35" s="634">
        <f t="shared" si="7"/>
        <v>0</v>
      </c>
      <c r="K35" s="119"/>
    </row>
    <row r="36" spans="2:11" ht="16.5" x14ac:dyDescent="0.25">
      <c r="B36" s="30" t="s">
        <v>9</v>
      </c>
      <c r="C36" s="675" t="s">
        <v>10</v>
      </c>
      <c r="D36" s="663">
        <v>2.6329393947914878E-2</v>
      </c>
      <c r="E36" s="634">
        <f t="shared" si="4"/>
        <v>5.0008345580085214</v>
      </c>
      <c r="F36" s="376">
        <v>6316.85</v>
      </c>
      <c r="G36" s="664">
        <f t="shared" si="5"/>
        <v>166.31883215988611</v>
      </c>
      <c r="H36" s="634">
        <v>5975</v>
      </c>
      <c r="I36" s="634">
        <f t="shared" si="6"/>
        <v>157.31812883879141</v>
      </c>
      <c r="J36" s="648">
        <f t="shared" si="7"/>
        <v>5.7213389121338878</v>
      </c>
      <c r="K36" s="119"/>
    </row>
    <row r="37" spans="2:11" ht="16.5" x14ac:dyDescent="0.25">
      <c r="B37" s="30" t="s">
        <v>529</v>
      </c>
      <c r="C37" s="675" t="s">
        <v>530</v>
      </c>
      <c r="D37" s="663">
        <v>1.9113186436996641E-2</v>
      </c>
      <c r="E37" s="634">
        <f t="shared" si="4"/>
        <v>3.6302348408350675</v>
      </c>
      <c r="F37" s="664">
        <v>14450</v>
      </c>
      <c r="G37" s="664">
        <f t="shared" si="5"/>
        <v>276.18554401460148</v>
      </c>
      <c r="H37" s="634">
        <v>14450</v>
      </c>
      <c r="I37" s="634">
        <f t="shared" si="6"/>
        <v>276.18554401460148</v>
      </c>
      <c r="J37" s="634">
        <f t="shared" si="7"/>
        <v>0</v>
      </c>
      <c r="K37" s="119"/>
    </row>
    <row r="38" spans="2:11" ht="16.5" x14ac:dyDescent="0.25">
      <c r="B38" s="30" t="s">
        <v>13</v>
      </c>
      <c r="C38" s="675" t="s">
        <v>14</v>
      </c>
      <c r="D38" s="663">
        <v>5.7924666685412714E-3</v>
      </c>
      <c r="E38" s="634">
        <f t="shared" si="4"/>
        <v>1.1001836027618743</v>
      </c>
      <c r="F38" s="674">
        <v>34415.269999999997</v>
      </c>
      <c r="G38" s="664">
        <f t="shared" si="5"/>
        <v>199.34930436384835</v>
      </c>
      <c r="H38" s="634">
        <v>33158</v>
      </c>
      <c r="I38" s="634">
        <f t="shared" si="6"/>
        <v>192.06660979549147</v>
      </c>
      <c r="J38" s="648">
        <f t="shared" si="7"/>
        <v>3.791754629350379</v>
      </c>
      <c r="K38" s="119"/>
    </row>
    <row r="39" spans="2:11" ht="16.5" x14ac:dyDescent="0.25">
      <c r="B39" s="6" t="s">
        <v>15</v>
      </c>
      <c r="C39" s="659" t="s">
        <v>16</v>
      </c>
      <c r="D39" s="663">
        <v>5.265878789582977E-3</v>
      </c>
      <c r="E39" s="634">
        <f t="shared" si="4"/>
        <v>1.0001669116017045</v>
      </c>
      <c r="F39" s="106">
        <v>29262</v>
      </c>
      <c r="G39" s="664">
        <f t="shared" si="5"/>
        <v>154.09014514077708</v>
      </c>
      <c r="H39" s="634">
        <v>28967</v>
      </c>
      <c r="I39" s="634">
        <f t="shared" si="6"/>
        <v>152.5367108978501</v>
      </c>
      <c r="J39" s="648">
        <f t="shared" si="7"/>
        <v>1.0184002485587058</v>
      </c>
      <c r="K39" s="119"/>
    </row>
    <row r="40" spans="2:11" ht="16.5" x14ac:dyDescent="0.25">
      <c r="B40" s="6" t="s">
        <v>17</v>
      </c>
      <c r="C40" s="659" t="s">
        <v>18</v>
      </c>
      <c r="D40" s="663">
        <v>5.0815730319475685E-3</v>
      </c>
      <c r="E40" s="634">
        <f t="shared" si="4"/>
        <v>0.96516106969564397</v>
      </c>
      <c r="F40" s="665">
        <v>878</v>
      </c>
      <c r="G40" s="664">
        <f t="shared" si="5"/>
        <v>4.4616211220499649</v>
      </c>
      <c r="H40" s="634">
        <v>878</v>
      </c>
      <c r="I40" s="634">
        <f t="shared" si="6"/>
        <v>4.4616211220499649</v>
      </c>
      <c r="J40" s="634">
        <f t="shared" si="7"/>
        <v>0</v>
      </c>
      <c r="K40" s="119"/>
    </row>
    <row r="41" spans="2:11" ht="16.5" x14ac:dyDescent="0.25">
      <c r="B41" s="6" t="s">
        <v>19</v>
      </c>
      <c r="C41" s="659" t="s">
        <v>20</v>
      </c>
      <c r="D41" s="221">
        <v>3.5544681829685074E-3</v>
      </c>
      <c r="E41" s="634">
        <f t="shared" si="4"/>
        <v>0.67511266533115011</v>
      </c>
      <c r="F41" s="634">
        <v>27308</v>
      </c>
      <c r="G41" s="664">
        <f t="shared" si="5"/>
        <v>97.065417140503996</v>
      </c>
      <c r="H41" s="634">
        <v>27308</v>
      </c>
      <c r="I41" s="634">
        <f t="shared" si="6"/>
        <v>97.065417140503996</v>
      </c>
      <c r="J41" s="634">
        <f t="shared" si="7"/>
        <v>0</v>
      </c>
      <c r="K41" s="119"/>
    </row>
    <row r="42" spans="2:11" ht="16.5" x14ac:dyDescent="0.25">
      <c r="B42" s="6" t="s">
        <v>21</v>
      </c>
      <c r="C42" s="659" t="s">
        <v>22</v>
      </c>
      <c r="D42" s="221">
        <v>3.1595272737497855E-3</v>
      </c>
      <c r="E42" s="634">
        <f t="shared" si="4"/>
        <v>0.60010014696102254</v>
      </c>
      <c r="F42" s="225">
        <v>10412</v>
      </c>
      <c r="G42" s="664">
        <f t="shared" si="5"/>
        <v>32.896997974282769</v>
      </c>
      <c r="H42" s="634">
        <v>10412</v>
      </c>
      <c r="I42" s="634">
        <f t="shared" si="6"/>
        <v>32.896997974282769</v>
      </c>
      <c r="J42" s="634">
        <f t="shared" si="7"/>
        <v>0</v>
      </c>
      <c r="K42" s="119"/>
    </row>
    <row r="43" spans="2:11" ht="16.5" x14ac:dyDescent="0.25">
      <c r="B43" s="6" t="s">
        <v>23</v>
      </c>
      <c r="C43" s="659" t="s">
        <v>24</v>
      </c>
      <c r="D43" s="221">
        <v>2.7382569705831469E-3</v>
      </c>
      <c r="E43" s="634">
        <f t="shared" si="4"/>
        <v>0.52008679403288616</v>
      </c>
      <c r="F43" s="233">
        <v>22615.13</v>
      </c>
      <c r="G43" s="664">
        <f t="shared" si="5"/>
        <v>61.926037363144047</v>
      </c>
      <c r="H43" s="634">
        <v>20854</v>
      </c>
      <c r="I43" s="634">
        <f t="shared" si="6"/>
        <v>57.103610864540947</v>
      </c>
      <c r="J43" s="648">
        <f t="shared" si="7"/>
        <v>8.4450465138582729</v>
      </c>
      <c r="K43" s="119"/>
    </row>
    <row r="44" spans="2:11" ht="16.5" x14ac:dyDescent="0.25">
      <c r="B44" s="6" t="s">
        <v>525</v>
      </c>
      <c r="C44" s="659" t="s">
        <v>524</v>
      </c>
      <c r="D44" s="221">
        <v>8.0028043523635965E-4</v>
      </c>
      <c r="E44" s="634">
        <f t="shared" si="4"/>
        <v>0.15200008266597514</v>
      </c>
      <c r="F44" s="106">
        <v>34163</v>
      </c>
      <c r="G44" s="664">
        <f t="shared" si="5"/>
        <v>27.339980508979753</v>
      </c>
      <c r="H44" s="634">
        <v>34163</v>
      </c>
      <c r="I44" s="634">
        <f t="shared" si="6"/>
        <v>27.339980508979753</v>
      </c>
      <c r="J44" s="634">
        <f t="shared" si="7"/>
        <v>0</v>
      </c>
      <c r="K44" s="119"/>
    </row>
    <row r="45" spans="2:11" ht="16.5" x14ac:dyDescent="0.25">
      <c r="B45" s="6" t="s">
        <v>25</v>
      </c>
      <c r="C45" s="659" t="s">
        <v>26</v>
      </c>
      <c r="D45" s="221">
        <v>2.6329393947914885E-3</v>
      </c>
      <c r="E45" s="634">
        <f t="shared" si="4"/>
        <v>0.50008345580085223</v>
      </c>
      <c r="F45" s="184">
        <v>62980</v>
      </c>
      <c r="G45" s="664">
        <f t="shared" si="5"/>
        <v>165.82252308396795</v>
      </c>
      <c r="H45" s="634">
        <v>59418</v>
      </c>
      <c r="I45" s="634">
        <f t="shared" si="6"/>
        <v>156.44399295972067</v>
      </c>
      <c r="J45" s="648">
        <f t="shared" si="7"/>
        <v>5.9948163856070664</v>
      </c>
      <c r="K45" s="119"/>
    </row>
    <row r="46" spans="2:11" ht="16.5" x14ac:dyDescent="0.25">
      <c r="B46" s="6" t="s">
        <v>27</v>
      </c>
      <c r="C46" s="659" t="s">
        <v>28</v>
      </c>
      <c r="D46" s="221">
        <v>8.9504618797163005E-4</v>
      </c>
      <c r="E46" s="634">
        <f t="shared" si="4"/>
        <v>0.16999927596802081</v>
      </c>
      <c r="F46" s="32">
        <v>17733.52</v>
      </c>
      <c r="G46" s="664">
        <f t="shared" si="5"/>
        <v>15.872319475318662</v>
      </c>
      <c r="H46" s="634">
        <v>16132</v>
      </c>
      <c r="I46" s="634">
        <f t="shared" si="6"/>
        <v>14.438885104358336</v>
      </c>
      <c r="J46" s="648">
        <f t="shared" si="7"/>
        <v>9.9275973220927369</v>
      </c>
      <c r="K46" s="119"/>
    </row>
    <row r="47" spans="2:11" ht="16.5" x14ac:dyDescent="0.25">
      <c r="B47" s="6" t="s">
        <v>29</v>
      </c>
      <c r="C47" s="659" t="s">
        <v>30</v>
      </c>
      <c r="D47" s="221">
        <v>8.9504618797163005E-4</v>
      </c>
      <c r="E47" s="634">
        <f t="shared" si="4"/>
        <v>0.16999927596802081</v>
      </c>
      <c r="F47" s="225">
        <v>2500</v>
      </c>
      <c r="G47" s="664">
        <f t="shared" si="5"/>
        <v>2.2376154699290751</v>
      </c>
      <c r="H47" s="634">
        <v>2500</v>
      </c>
      <c r="I47" s="634">
        <f t="shared" si="6"/>
        <v>2.2376154699290751</v>
      </c>
      <c r="J47" s="634">
        <f t="shared" si="7"/>
        <v>0</v>
      </c>
      <c r="K47" s="119"/>
    </row>
    <row r="48" spans="2:11" ht="16.5" x14ac:dyDescent="0.25">
      <c r="B48" s="6" t="s">
        <v>31</v>
      </c>
      <c r="C48" s="659" t="s">
        <v>32</v>
      </c>
      <c r="D48" s="221">
        <v>2.6324887881518533E-4</v>
      </c>
      <c r="E48" s="634">
        <f t="shared" si="4"/>
        <v>4.999978704941789E-2</v>
      </c>
      <c r="F48" s="95">
        <v>121899</v>
      </c>
      <c r="G48" s="664">
        <f t="shared" si="5"/>
        <v>32.089775078692277</v>
      </c>
      <c r="H48" s="634">
        <v>121899</v>
      </c>
      <c r="I48" s="634">
        <f t="shared" si="6"/>
        <v>32.089775078692277</v>
      </c>
      <c r="J48" s="634">
        <f t="shared" si="7"/>
        <v>0</v>
      </c>
      <c r="K48" s="119"/>
    </row>
    <row r="49" spans="2:11" ht="16.5" x14ac:dyDescent="0.25">
      <c r="B49" s="6" t="s">
        <v>33</v>
      </c>
      <c r="C49" s="659" t="s">
        <v>34</v>
      </c>
      <c r="D49" s="221">
        <v>2.6324887881518533E-4</v>
      </c>
      <c r="E49" s="634">
        <f t="shared" si="4"/>
        <v>4.999978704941789E-2</v>
      </c>
      <c r="F49" s="634">
        <v>26800</v>
      </c>
      <c r="G49" s="664">
        <f t="shared" si="5"/>
        <v>7.0550699522469671</v>
      </c>
      <c r="H49" s="634">
        <v>26800</v>
      </c>
      <c r="I49" s="634">
        <f t="shared" si="6"/>
        <v>7.0550699522469671</v>
      </c>
      <c r="J49" s="634">
        <f t="shared" si="7"/>
        <v>0</v>
      </c>
      <c r="K49" s="119"/>
    </row>
    <row r="50" spans="2:11" ht="16.5" x14ac:dyDescent="0.25">
      <c r="B50" s="6" t="s">
        <v>35</v>
      </c>
      <c r="C50" s="659" t="s">
        <v>36</v>
      </c>
      <c r="D50" s="221">
        <v>5.2649775763037071E-5</v>
      </c>
      <c r="E50" s="634">
        <f t="shared" si="4"/>
        <v>9.999957409883577E-3</v>
      </c>
      <c r="F50" s="634">
        <v>169210</v>
      </c>
      <c r="G50" s="664">
        <f t="shared" si="5"/>
        <v>8.9088685568635029</v>
      </c>
      <c r="H50" s="634">
        <v>169210</v>
      </c>
      <c r="I50" s="634">
        <f t="shared" si="6"/>
        <v>8.9088685568635029</v>
      </c>
      <c r="J50" s="634">
        <f t="shared" si="7"/>
        <v>0</v>
      </c>
      <c r="K50" s="119"/>
    </row>
    <row r="51" spans="2:11" hidden="1" x14ac:dyDescent="0.25">
      <c r="B51" s="1"/>
      <c r="C51" s="1"/>
      <c r="D51" s="221"/>
      <c r="E51" s="634"/>
      <c r="F51" s="225"/>
      <c r="G51" s="496"/>
      <c r="H51" s="666"/>
      <c r="I51" s="634"/>
      <c r="J51" s="634"/>
      <c r="K51" s="119"/>
    </row>
    <row r="52" spans="2:11" x14ac:dyDescent="0.25">
      <c r="B52" s="1832" t="s">
        <v>37</v>
      </c>
      <c r="C52" s="1879"/>
      <c r="D52" s="667">
        <f>SUM(D31:D50)</f>
        <v>0.5265000000000003</v>
      </c>
      <c r="E52" s="668">
        <f>SUM(E31:E50)</f>
        <v>99.999999999999986</v>
      </c>
      <c r="F52" s="668"/>
      <c r="G52" s="669">
        <f>SUM(G31:G50)</f>
        <v>2471.5728227713953</v>
      </c>
      <c r="H52" s="670"/>
      <c r="I52" s="671">
        <f>SUM(I31:I50)</f>
        <v>2451.121382810175</v>
      </c>
      <c r="J52" s="676">
        <f>((G52/I52)*100)-100</f>
        <v>0.83437075391887561</v>
      </c>
    </row>
    <row r="53" spans="2:11" x14ac:dyDescent="0.25">
      <c r="B53" s="240"/>
      <c r="C53" s="240"/>
      <c r="D53" s="241"/>
      <c r="E53" s="242"/>
      <c r="F53" s="241"/>
      <c r="G53" s="241"/>
      <c r="I53" s="241"/>
    </row>
    <row r="54" spans="2:11" x14ac:dyDescent="0.25">
      <c r="B54" s="240"/>
      <c r="C54" s="240"/>
      <c r="D54" s="241"/>
      <c r="E54" s="242"/>
      <c r="F54" s="241"/>
      <c r="G54" s="241"/>
      <c r="I54" s="241"/>
    </row>
    <row r="55" spans="2:11" x14ac:dyDescent="0.25">
      <c r="B55" s="162" t="s">
        <v>40</v>
      </c>
      <c r="C55" s="163">
        <v>450</v>
      </c>
    </row>
    <row r="56" spans="2:11" x14ac:dyDescent="0.25">
      <c r="B56" s="162" t="s">
        <v>41</v>
      </c>
      <c r="C56" s="163">
        <v>0</v>
      </c>
    </row>
    <row r="57" spans="2:11" x14ac:dyDescent="0.25">
      <c r="B57" s="162" t="s">
        <v>42</v>
      </c>
      <c r="C57" s="163">
        <v>9</v>
      </c>
      <c r="I57" s="146" t="s">
        <v>85</v>
      </c>
    </row>
    <row r="58" spans="2:11" x14ac:dyDescent="0.25">
      <c r="B58" s="162" t="s">
        <v>43</v>
      </c>
      <c r="C58" s="163">
        <v>2</v>
      </c>
    </row>
    <row r="59" spans="2:11" x14ac:dyDescent="0.25">
      <c r="B59" s="162" t="s">
        <v>44</v>
      </c>
      <c r="C59" s="163">
        <v>2</v>
      </c>
    </row>
    <row r="60" spans="2:11" x14ac:dyDescent="0.25">
      <c r="B60" s="162" t="s">
        <v>45</v>
      </c>
      <c r="C60" s="163">
        <v>4</v>
      </c>
    </row>
    <row r="61" spans="2:11" x14ac:dyDescent="0.25">
      <c r="B61" s="162" t="s">
        <v>46</v>
      </c>
      <c r="C61" s="163">
        <f>C60+C59+C58+C57</f>
        <v>17</v>
      </c>
    </row>
    <row r="63" spans="2:11" ht="25.5" x14ac:dyDescent="0.25">
      <c r="B63" s="1802" t="s">
        <v>47</v>
      </c>
      <c r="C63" s="1803"/>
      <c r="D63" s="1803"/>
      <c r="E63" s="1803"/>
      <c r="F63" s="1803"/>
      <c r="G63" s="1803"/>
      <c r="H63" s="1803"/>
      <c r="I63" s="1803"/>
    </row>
    <row r="64" spans="2:11" ht="25.5" x14ac:dyDescent="0.25">
      <c r="B64" s="132" t="s">
        <v>0</v>
      </c>
      <c r="C64" s="132" t="s">
        <v>1</v>
      </c>
      <c r="D64" s="133" t="s">
        <v>2</v>
      </c>
      <c r="E64" s="200" t="s">
        <v>628</v>
      </c>
      <c r="F64" s="201" t="s">
        <v>627</v>
      </c>
      <c r="G64" s="138" t="s">
        <v>536</v>
      </c>
      <c r="H64" s="138" t="s">
        <v>512</v>
      </c>
      <c r="I64" s="138" t="s">
        <v>3</v>
      </c>
    </row>
    <row r="65" spans="2:11" x14ac:dyDescent="0.25">
      <c r="B65" s="165" t="s">
        <v>370</v>
      </c>
      <c r="C65" s="165" t="s">
        <v>369</v>
      </c>
      <c r="D65" s="166">
        <v>1.76</v>
      </c>
      <c r="E65" s="392">
        <v>186</v>
      </c>
      <c r="F65" s="167">
        <f>E65*D65</f>
        <v>327.36</v>
      </c>
      <c r="G65" s="167">
        <v>186</v>
      </c>
      <c r="H65" s="167">
        <f>G65*D65</f>
        <v>327.36</v>
      </c>
      <c r="I65" s="270">
        <f>((E65/G65)*100)-100</f>
        <v>0</v>
      </c>
    </row>
    <row r="66" spans="2:11" x14ac:dyDescent="0.25">
      <c r="B66" s="165" t="s">
        <v>382</v>
      </c>
      <c r="C66" s="165" t="s">
        <v>383</v>
      </c>
      <c r="D66" s="166">
        <v>4.5999999999999999E-2</v>
      </c>
      <c r="E66" s="392">
        <v>893</v>
      </c>
      <c r="F66" s="167">
        <f>E66*D66</f>
        <v>41.077999999999996</v>
      </c>
      <c r="G66" s="167">
        <v>893</v>
      </c>
      <c r="H66" s="167">
        <f>G66*D66</f>
        <v>41.077999999999996</v>
      </c>
      <c r="I66" s="270">
        <f>((E66/G66)*100)-100</f>
        <v>0</v>
      </c>
    </row>
    <row r="67" spans="2:11" x14ac:dyDescent="0.25">
      <c r="B67" s="165" t="s">
        <v>386</v>
      </c>
      <c r="C67" s="165" t="s">
        <v>387</v>
      </c>
      <c r="D67" s="166">
        <v>4.4999999999999998E-2</v>
      </c>
      <c r="E67" s="392">
        <v>1816</v>
      </c>
      <c r="F67" s="167">
        <f>E67*D67</f>
        <v>81.72</v>
      </c>
      <c r="G67" s="167">
        <v>1816</v>
      </c>
      <c r="H67" s="167">
        <f>G67*D67</f>
        <v>81.72</v>
      </c>
      <c r="I67" s="270">
        <f>((E67/G67)*100)-100</f>
        <v>0</v>
      </c>
    </row>
    <row r="68" spans="2:11" x14ac:dyDescent="0.25">
      <c r="B68" s="165" t="s">
        <v>384</v>
      </c>
      <c r="C68" s="165" t="s">
        <v>385</v>
      </c>
      <c r="D68" s="166">
        <v>4.5999999999999999E-2</v>
      </c>
      <c r="E68" s="392">
        <v>2046</v>
      </c>
      <c r="F68" s="167">
        <f>E68*D68</f>
        <v>94.116</v>
      </c>
      <c r="G68" s="167">
        <v>2046</v>
      </c>
      <c r="H68" s="167">
        <f>G68*D68</f>
        <v>94.116</v>
      </c>
      <c r="I68" s="270">
        <f>((E68/G68)*100)-100</f>
        <v>0</v>
      </c>
    </row>
    <row r="69" spans="2:11" x14ac:dyDescent="0.25">
      <c r="B69" s="132"/>
      <c r="C69" s="132" t="s">
        <v>37</v>
      </c>
      <c r="D69" s="133"/>
      <c r="E69" s="133"/>
      <c r="F69" s="134">
        <f>SUM(F65:F68)</f>
        <v>544.274</v>
      </c>
      <c r="G69" s="133"/>
      <c r="H69" s="133">
        <f>SUM(H65:H68)</f>
        <v>544.274</v>
      </c>
      <c r="I69" s="133">
        <f>((F69/H69)*100)-100</f>
        <v>0</v>
      </c>
    </row>
    <row r="71" spans="2:11" x14ac:dyDescent="0.25">
      <c r="H71" s="269"/>
      <c r="I71" s="269"/>
    </row>
    <row r="72" spans="2:11" x14ac:dyDescent="0.25">
      <c r="B72" s="1798" t="s">
        <v>388</v>
      </c>
      <c r="C72" s="1798"/>
      <c r="D72" s="1799">
        <f>+F69+G52</f>
        <v>3015.8468227713952</v>
      </c>
      <c r="E72" s="1799"/>
      <c r="F72" s="1799"/>
      <c r="G72" s="1799"/>
      <c r="H72" s="1799"/>
      <c r="I72" s="262"/>
      <c r="J72" s="218"/>
    </row>
    <row r="73" spans="2:11" x14ac:dyDescent="0.25">
      <c r="B73" s="1800" t="s">
        <v>48</v>
      </c>
      <c r="C73" s="1801"/>
      <c r="D73" s="1799">
        <f>+(921.6/1000)*450</f>
        <v>414.71999999999997</v>
      </c>
      <c r="E73" s="1799"/>
      <c r="F73" s="1799"/>
      <c r="G73" s="1799"/>
      <c r="H73" s="1799"/>
      <c r="I73" s="218"/>
      <c r="J73" s="218"/>
    </row>
    <row r="74" spans="2:11" x14ac:dyDescent="0.25">
      <c r="B74" s="1800" t="s">
        <v>389</v>
      </c>
      <c r="C74" s="1801"/>
      <c r="D74" s="1799">
        <f>+D72+D73</f>
        <v>3430.566822771395</v>
      </c>
      <c r="E74" s="1799"/>
      <c r="F74" s="1799"/>
      <c r="G74" s="1799"/>
      <c r="H74" s="1799"/>
      <c r="I74" s="218"/>
      <c r="J74" s="218"/>
    </row>
    <row r="75" spans="2:11" x14ac:dyDescent="0.25">
      <c r="B75" s="1798" t="s">
        <v>49</v>
      </c>
      <c r="C75" s="1798"/>
      <c r="D75" s="1799">
        <f>D74/I76</f>
        <v>3809.6244561592393</v>
      </c>
      <c r="E75" s="1799"/>
      <c r="F75" s="1799"/>
      <c r="G75" s="1799"/>
      <c r="H75" s="1799"/>
      <c r="I75" s="303">
        <v>9.9500000000000005E-2</v>
      </c>
      <c r="J75" s="218"/>
      <c r="K75" s="301"/>
    </row>
    <row r="76" spans="2:11" x14ac:dyDescent="0.25">
      <c r="I76" s="278">
        <f>1-I75</f>
        <v>0.90049999999999997</v>
      </c>
      <c r="K76" s="168"/>
    </row>
  </sheetData>
  <mergeCells count="13">
    <mergeCell ref="B75:C75"/>
    <mergeCell ref="D75:H75"/>
    <mergeCell ref="B72:C72"/>
    <mergeCell ref="D72:H72"/>
    <mergeCell ref="B73:C73"/>
    <mergeCell ref="D73:H73"/>
    <mergeCell ref="B74:C74"/>
    <mergeCell ref="D74:H74"/>
    <mergeCell ref="B2:I2"/>
    <mergeCell ref="B25:C25"/>
    <mergeCell ref="B63:I63"/>
    <mergeCell ref="B28:I28"/>
    <mergeCell ref="B52:C52"/>
  </mergeCells>
  <pageMargins left="0.7" right="0.7" top="0.75" bottom="0.75" header="0.3" footer="0.3"/>
  <pageSetup scale="43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FFEC-6EB5-43DB-979E-190A168A8AF1}">
  <sheetPr codeName="Hoja77"/>
  <dimension ref="B2:H51"/>
  <sheetViews>
    <sheetView view="pageBreakPreview" zoomScale="70" zoomScaleNormal="100" zoomScaleSheetLayoutView="70" workbookViewId="0">
      <selection activeCell="B4" sqref="B4"/>
    </sheetView>
  </sheetViews>
  <sheetFormatPr baseColWidth="10" defaultColWidth="11.5703125" defaultRowHeight="13.5" x14ac:dyDescent="0.25"/>
  <cols>
    <col min="1" max="1" width="7" style="120" bestFit="1" customWidth="1"/>
    <col min="2" max="2" width="24.140625" style="120" bestFit="1" customWidth="1"/>
    <col min="3" max="3" width="58.28515625" style="120" customWidth="1"/>
    <col min="4" max="4" width="17.42578125" style="146" bestFit="1" customWidth="1"/>
    <col min="5" max="5" width="13.140625" style="120" bestFit="1" customWidth="1"/>
    <col min="6" max="7" width="13.140625" style="146" customWidth="1"/>
    <col min="8" max="16384" width="11.5703125" style="120"/>
  </cols>
  <sheetData>
    <row r="2" spans="2:8" ht="30" customHeight="1" x14ac:dyDescent="0.25">
      <c r="B2" s="1738" t="s">
        <v>812</v>
      </c>
      <c r="C2" s="1738"/>
      <c r="D2" s="1738"/>
      <c r="E2" s="1738"/>
      <c r="F2" s="1738"/>
      <c r="G2" s="1738"/>
    </row>
    <row r="4" spans="2:8" s="3" customFormat="1" ht="25.5" x14ac:dyDescent="0.25">
      <c r="B4" s="778" t="s">
        <v>0</v>
      </c>
      <c r="C4" s="778" t="s">
        <v>1</v>
      </c>
      <c r="D4" s="778" t="s">
        <v>2</v>
      </c>
      <c r="E4" s="778" t="s">
        <v>3</v>
      </c>
      <c r="F4" s="778" t="s">
        <v>813</v>
      </c>
      <c r="G4" s="778" t="s">
        <v>814</v>
      </c>
    </row>
    <row r="5" spans="2:8" ht="16.5" x14ac:dyDescent="0.25">
      <c r="B5" s="777" t="s">
        <v>4</v>
      </c>
      <c r="C5" s="777" t="s">
        <v>448</v>
      </c>
      <c r="D5" s="247">
        <v>0.17433562695714894</v>
      </c>
      <c r="E5" s="270">
        <f t="shared" ref="E5:E23" si="0">(D5*100)/$D$25</f>
        <v>37.251202341271146</v>
      </c>
      <c r="F5" s="495">
        <v>7</v>
      </c>
      <c r="G5" s="270">
        <f>F5*D5</f>
        <v>1.2203493887000425</v>
      </c>
      <c r="H5" s="178"/>
    </row>
    <row r="6" spans="2:8" x14ac:dyDescent="0.25">
      <c r="B6" s="30" t="s">
        <v>5</v>
      </c>
      <c r="C6" s="30" t="s">
        <v>503</v>
      </c>
      <c r="D6" s="232">
        <v>0.18004984007514901</v>
      </c>
      <c r="E6" s="270">
        <f t="shared" si="0"/>
        <v>38.472188050245521</v>
      </c>
      <c r="F6" s="25">
        <v>4964</v>
      </c>
      <c r="G6" s="270">
        <f t="shared" ref="G6:G23" si="1">F6*D6</f>
        <v>893.76740613303969</v>
      </c>
      <c r="H6" s="178"/>
    </row>
    <row r="7" spans="2:8" x14ac:dyDescent="0.25">
      <c r="B7" s="30" t="s">
        <v>8</v>
      </c>
      <c r="C7" s="30" t="s">
        <v>449</v>
      </c>
      <c r="D7" s="232">
        <v>3.8191457281264975E-2</v>
      </c>
      <c r="E7" s="270">
        <f t="shared" si="0"/>
        <v>8.1605677951420894</v>
      </c>
      <c r="F7" s="106">
        <v>2378</v>
      </c>
      <c r="G7" s="270">
        <f t="shared" si="1"/>
        <v>90.81928541484811</v>
      </c>
      <c r="H7" s="178"/>
    </row>
    <row r="8" spans="2:8" x14ac:dyDescent="0.25">
      <c r="B8" s="30" t="s">
        <v>9</v>
      </c>
      <c r="C8" s="30" t="s">
        <v>815</v>
      </c>
      <c r="D8" s="232">
        <v>2.3404020129229392E-2</v>
      </c>
      <c r="E8" s="270">
        <f t="shared" si="0"/>
        <v>5.0008590019720929</v>
      </c>
      <c r="F8" s="106">
        <v>5390</v>
      </c>
      <c r="G8" s="270">
        <f t="shared" si="1"/>
        <v>126.14766849654643</v>
      </c>
      <c r="H8" s="178"/>
    </row>
    <row r="9" spans="2:8" x14ac:dyDescent="0.25">
      <c r="B9" s="30" t="s">
        <v>529</v>
      </c>
      <c r="C9" s="30" t="s">
        <v>530</v>
      </c>
      <c r="D9" s="232">
        <v>1.6989582099386263E-2</v>
      </c>
      <c r="E9" s="270">
        <f t="shared" si="0"/>
        <v>3.6302525853389453</v>
      </c>
      <c r="F9" s="106">
        <v>15950</v>
      </c>
      <c r="G9" s="270">
        <f t="shared" si="1"/>
        <v>270.98383448521088</v>
      </c>
      <c r="H9" s="178"/>
    </row>
    <row r="10" spans="2:8" ht="16.5" x14ac:dyDescent="0.25">
      <c r="B10" s="30" t="s">
        <v>7</v>
      </c>
      <c r="C10" s="30" t="s">
        <v>58</v>
      </c>
      <c r="D10" s="232">
        <v>7.1229986907406697E-3</v>
      </c>
      <c r="E10" s="270">
        <f t="shared" si="0"/>
        <v>1.5220082672522799</v>
      </c>
      <c r="F10" s="184">
        <v>8300</v>
      </c>
      <c r="G10" s="270">
        <f t="shared" si="1"/>
        <v>59.120889133147557</v>
      </c>
      <c r="H10" s="178"/>
    </row>
    <row r="11" spans="2:8" x14ac:dyDescent="0.25">
      <c r="B11" s="30" t="s">
        <v>13</v>
      </c>
      <c r="C11" s="30" t="s">
        <v>14</v>
      </c>
      <c r="D11" s="232">
        <v>5.1488844284304641E-3</v>
      </c>
      <c r="E11" s="270">
        <f t="shared" si="0"/>
        <v>1.10018898043386</v>
      </c>
      <c r="F11" s="32">
        <v>34350</v>
      </c>
      <c r="G11" s="270">
        <f t="shared" si="1"/>
        <v>176.86418011658645</v>
      </c>
      <c r="H11" s="178"/>
    </row>
    <row r="12" spans="2:8" x14ac:dyDescent="0.25">
      <c r="B12" s="30" t="s">
        <v>15</v>
      </c>
      <c r="C12" s="30" t="s">
        <v>16</v>
      </c>
      <c r="D12" s="232">
        <v>4.6808040258458795E-3</v>
      </c>
      <c r="E12" s="270">
        <f t="shared" si="0"/>
        <v>1.0001718003944187</v>
      </c>
      <c r="F12" s="25">
        <v>28250</v>
      </c>
      <c r="G12" s="270">
        <f t="shared" si="1"/>
        <v>132.23271373014609</v>
      </c>
      <c r="H12" s="178"/>
    </row>
    <row r="13" spans="2:8" x14ac:dyDescent="0.25">
      <c r="B13" s="30" t="s">
        <v>17</v>
      </c>
      <c r="C13" s="30" t="s">
        <v>18</v>
      </c>
      <c r="D13" s="232">
        <v>4.5169758849412699E-3</v>
      </c>
      <c r="E13" s="270">
        <f t="shared" si="0"/>
        <v>0.96516578738061332</v>
      </c>
      <c r="F13" s="274">
        <v>1064</v>
      </c>
      <c r="G13" s="270">
        <f t="shared" si="1"/>
        <v>4.806062341577511</v>
      </c>
      <c r="H13" s="178"/>
    </row>
    <row r="14" spans="2:8" x14ac:dyDescent="0.25">
      <c r="B14" s="30" t="s">
        <v>19</v>
      </c>
      <c r="C14" s="30" t="s">
        <v>20</v>
      </c>
      <c r="D14" s="143">
        <v>3.1595427174459672E-3</v>
      </c>
      <c r="E14" s="270">
        <f t="shared" si="0"/>
        <v>0.67511596526623241</v>
      </c>
      <c r="F14" s="248">
        <v>26002</v>
      </c>
      <c r="G14" s="270">
        <f t="shared" si="1"/>
        <v>82.154429739030036</v>
      </c>
      <c r="H14" s="178"/>
    </row>
    <row r="15" spans="2:8" x14ac:dyDescent="0.25">
      <c r="B15" s="30" t="s">
        <v>21</v>
      </c>
      <c r="C15" s="30" t="s">
        <v>22</v>
      </c>
      <c r="D15" s="143">
        <v>2.808482415507527E-3</v>
      </c>
      <c r="E15" s="270">
        <f t="shared" si="0"/>
        <v>0.60010308023665115</v>
      </c>
      <c r="F15" s="96">
        <v>11140.62</v>
      </c>
      <c r="G15" s="270">
        <f t="shared" si="1"/>
        <v>31.288235367851467</v>
      </c>
      <c r="H15" s="178"/>
    </row>
    <row r="16" spans="2:8" x14ac:dyDescent="0.25">
      <c r="B16" s="30" t="s">
        <v>23</v>
      </c>
      <c r="C16" s="30" t="s">
        <v>24</v>
      </c>
      <c r="D16" s="143">
        <v>2.434018093439857E-3</v>
      </c>
      <c r="E16" s="270">
        <f t="shared" si="0"/>
        <v>0.52008933620509767</v>
      </c>
      <c r="F16" s="32">
        <v>23667</v>
      </c>
      <c r="G16" s="270">
        <f t="shared" si="1"/>
        <v>57.605906217441095</v>
      </c>
      <c r="H16" s="178"/>
    </row>
    <row r="17" spans="2:8" x14ac:dyDescent="0.25">
      <c r="B17" s="30" t="s">
        <v>25</v>
      </c>
      <c r="C17" s="30" t="s">
        <v>26</v>
      </c>
      <c r="D17" s="143">
        <v>2.3404020129229397E-3</v>
      </c>
      <c r="E17" s="270">
        <f t="shared" si="0"/>
        <v>0.50008590019720933</v>
      </c>
      <c r="F17" s="270">
        <v>65954</v>
      </c>
      <c r="G17" s="270">
        <f t="shared" si="1"/>
        <v>154.35887436031956</v>
      </c>
      <c r="H17" s="178"/>
    </row>
    <row r="18" spans="2:8" x14ac:dyDescent="0.25">
      <c r="B18" s="30" t="s">
        <v>27</v>
      </c>
      <c r="C18" s="30" t="s">
        <v>28</v>
      </c>
      <c r="D18" s="143">
        <v>7.9560050038815998E-4</v>
      </c>
      <c r="E18" s="270">
        <f t="shared" si="0"/>
        <v>0.17000010692054701</v>
      </c>
      <c r="F18" s="270">
        <v>19300</v>
      </c>
      <c r="G18" s="270">
        <f t="shared" si="1"/>
        <v>15.355089657491488</v>
      </c>
      <c r="H18" s="178"/>
    </row>
    <row r="19" spans="2:8" x14ac:dyDescent="0.25">
      <c r="B19" s="30" t="s">
        <v>29</v>
      </c>
      <c r="C19" s="30" t="s">
        <v>30</v>
      </c>
      <c r="D19" s="143">
        <v>7.9560050038815998E-4</v>
      </c>
      <c r="E19" s="270">
        <f t="shared" si="0"/>
        <v>0.17000010692054701</v>
      </c>
      <c r="F19" s="250">
        <v>3120</v>
      </c>
      <c r="G19" s="270">
        <f t="shared" si="1"/>
        <v>2.4822735612110591</v>
      </c>
      <c r="H19" s="178"/>
    </row>
    <row r="20" spans="2:8" x14ac:dyDescent="0.25">
      <c r="B20" s="30" t="s">
        <v>525</v>
      </c>
      <c r="C20" s="30" t="s">
        <v>524</v>
      </c>
      <c r="D20" s="143">
        <v>7.1136386398986979E-4</v>
      </c>
      <c r="E20" s="270">
        <f t="shared" si="0"/>
        <v>0.15200082563886108</v>
      </c>
      <c r="F20" s="106">
        <v>42186</v>
      </c>
      <c r="G20" s="270">
        <f t="shared" si="1"/>
        <v>30.009595966276645</v>
      </c>
      <c r="H20" s="178"/>
    </row>
    <row r="21" spans="2:8" x14ac:dyDescent="0.25">
      <c r="B21" s="30" t="s">
        <v>31</v>
      </c>
      <c r="C21" s="30" t="s">
        <v>32</v>
      </c>
      <c r="D21" s="143">
        <v>2.340001471729882E-4</v>
      </c>
      <c r="E21" s="270">
        <f t="shared" si="0"/>
        <v>5.0000031447219706E-2</v>
      </c>
      <c r="F21" s="106">
        <v>126775</v>
      </c>
      <c r="G21" s="270">
        <f t="shared" si="1"/>
        <v>29.665368657855581</v>
      </c>
      <c r="H21" s="178"/>
    </row>
    <row r="22" spans="2:8" x14ac:dyDescent="0.25">
      <c r="B22" s="30" t="s">
        <v>33</v>
      </c>
      <c r="C22" s="30" t="s">
        <v>34</v>
      </c>
      <c r="D22" s="143">
        <v>2.340001471729882E-4</v>
      </c>
      <c r="E22" s="270">
        <f t="shared" si="0"/>
        <v>5.0000031447219706E-2</v>
      </c>
      <c r="F22" s="32">
        <v>19950</v>
      </c>
      <c r="G22" s="270">
        <f t="shared" si="1"/>
        <v>4.6683029361011146</v>
      </c>
      <c r="H22" s="178"/>
    </row>
    <row r="23" spans="2:8" x14ac:dyDescent="0.25">
      <c r="B23" s="30" t="s">
        <v>35</v>
      </c>
      <c r="C23" s="30" t="s">
        <v>36</v>
      </c>
      <c r="D23" s="143">
        <v>4.6800029434597642E-5</v>
      </c>
      <c r="E23" s="270">
        <f t="shared" si="0"/>
        <v>1.0000006289443942E-2</v>
      </c>
      <c r="F23" s="106">
        <v>169210</v>
      </c>
      <c r="G23" s="270">
        <f t="shared" si="1"/>
        <v>7.9190329806282671</v>
      </c>
      <c r="H23" s="178"/>
    </row>
    <row r="24" spans="2:8" hidden="1" x14ac:dyDescent="0.25">
      <c r="B24" s="1"/>
      <c r="C24" s="1"/>
      <c r="D24" s="386"/>
      <c r="E24" s="387"/>
      <c r="F24" s="672"/>
      <c r="G24" s="389"/>
    </row>
    <row r="25" spans="2:8" x14ac:dyDescent="0.25">
      <c r="B25" s="1832" t="s">
        <v>37</v>
      </c>
      <c r="C25" s="1832"/>
      <c r="D25" s="238">
        <f>SUM(D5:D23)</f>
        <v>0.46799999999999997</v>
      </c>
      <c r="E25" s="238">
        <f>SUM(E5:E23)</f>
        <v>100</v>
      </c>
      <c r="F25" s="271"/>
      <c r="G25" s="850">
        <f>SUM(G5:G23)</f>
        <v>2171.4694986840095</v>
      </c>
    </row>
    <row r="26" spans="2:8" x14ac:dyDescent="0.25">
      <c r="B26" s="240"/>
      <c r="C26" s="240"/>
      <c r="D26" s="241"/>
      <c r="E26" s="242"/>
      <c r="F26" s="241"/>
      <c r="G26" s="241"/>
    </row>
    <row r="27" spans="2:8" ht="25.5" x14ac:dyDescent="0.25">
      <c r="B27" s="1833" t="s">
        <v>50</v>
      </c>
      <c r="C27" s="1834"/>
      <c r="D27" s="272"/>
      <c r="E27" s="195"/>
      <c r="F27" s="272"/>
      <c r="G27" s="272"/>
    </row>
    <row r="28" spans="2:8" x14ac:dyDescent="0.25">
      <c r="B28" s="162" t="s">
        <v>38</v>
      </c>
      <c r="C28" s="163" t="s">
        <v>167</v>
      </c>
    </row>
    <row r="29" spans="2:8" x14ac:dyDescent="0.25">
      <c r="B29" s="162" t="s">
        <v>39</v>
      </c>
      <c r="C29" s="163" t="s">
        <v>366</v>
      </c>
    </row>
    <row r="30" spans="2:8" x14ac:dyDescent="0.25">
      <c r="B30" s="162" t="s">
        <v>40</v>
      </c>
      <c r="C30" s="163">
        <v>400</v>
      </c>
    </row>
    <row r="31" spans="2:8" x14ac:dyDescent="0.25">
      <c r="B31" s="162" t="s">
        <v>41</v>
      </c>
      <c r="C31" s="163">
        <v>0</v>
      </c>
    </row>
    <row r="32" spans="2:8" x14ac:dyDescent="0.25">
      <c r="B32" s="162" t="s">
        <v>42</v>
      </c>
      <c r="C32" s="163">
        <v>9</v>
      </c>
    </row>
    <row r="33" spans="2:7" x14ac:dyDescent="0.25">
      <c r="B33" s="162" t="s">
        <v>43</v>
      </c>
      <c r="C33" s="163">
        <v>2</v>
      </c>
    </row>
    <row r="34" spans="2:7" x14ac:dyDescent="0.25">
      <c r="B34" s="162" t="s">
        <v>44</v>
      </c>
      <c r="C34" s="163">
        <v>2</v>
      </c>
    </row>
    <row r="35" spans="2:7" x14ac:dyDescent="0.25">
      <c r="B35" s="162" t="s">
        <v>45</v>
      </c>
      <c r="C35" s="163">
        <v>4</v>
      </c>
    </row>
    <row r="36" spans="2:7" x14ac:dyDescent="0.25">
      <c r="B36" s="162" t="s">
        <v>46</v>
      </c>
      <c r="C36" s="163">
        <f>C35+C34+C33+C32</f>
        <v>17</v>
      </c>
    </row>
    <row r="38" spans="2:7" ht="25.5" x14ac:dyDescent="0.25">
      <c r="B38" s="1816" t="s">
        <v>47</v>
      </c>
      <c r="C38" s="1816"/>
      <c r="D38" s="1816"/>
      <c r="E38" s="1816"/>
      <c r="F38" s="1816"/>
      <c r="G38" s="120"/>
    </row>
    <row r="39" spans="2:7" ht="25.5" x14ac:dyDescent="0.25">
      <c r="B39" s="127" t="s">
        <v>0</v>
      </c>
      <c r="C39" s="127" t="s">
        <v>1</v>
      </c>
      <c r="D39" s="128" t="s">
        <v>2</v>
      </c>
      <c r="E39" s="778" t="s">
        <v>813</v>
      </c>
      <c r="F39" s="778" t="s">
        <v>814</v>
      </c>
      <c r="G39" s="120"/>
    </row>
    <row r="40" spans="2:7" s="775" customFormat="1" x14ac:dyDescent="0.25">
      <c r="B40" s="246" t="s">
        <v>370</v>
      </c>
      <c r="C40" s="246" t="s">
        <v>369</v>
      </c>
      <c r="D40" s="247">
        <v>1.54</v>
      </c>
      <c r="E40" s="270">
        <v>208</v>
      </c>
      <c r="F40" s="270">
        <v>186</v>
      </c>
    </row>
    <row r="41" spans="2:7" x14ac:dyDescent="0.25">
      <c r="B41" s="165" t="s">
        <v>386</v>
      </c>
      <c r="C41" s="165" t="s">
        <v>387</v>
      </c>
      <c r="D41" s="166">
        <v>5.1999999999999998E-2</v>
      </c>
      <c r="E41" s="167">
        <v>1624</v>
      </c>
      <c r="F41" s="167">
        <f>E41*D41</f>
        <v>84.447999999999993</v>
      </c>
      <c r="G41" s="120"/>
    </row>
    <row r="42" spans="2:7" x14ac:dyDescent="0.25">
      <c r="B42" s="165" t="s">
        <v>382</v>
      </c>
      <c r="C42" s="165" t="s">
        <v>383</v>
      </c>
      <c r="D42" s="166">
        <v>4.7E-2</v>
      </c>
      <c r="E42" s="167">
        <v>1058</v>
      </c>
      <c r="F42" s="167">
        <f>E42*D42</f>
        <v>49.725999999999999</v>
      </c>
      <c r="G42" s="120"/>
    </row>
    <row r="43" spans="2:7" x14ac:dyDescent="0.25">
      <c r="B43" s="165" t="s">
        <v>384</v>
      </c>
      <c r="C43" s="165" t="s">
        <v>385</v>
      </c>
      <c r="D43" s="166">
        <v>4.7E-2</v>
      </c>
      <c r="E43" s="167">
        <v>1515</v>
      </c>
      <c r="F43" s="167">
        <f>E43*D43</f>
        <v>71.204999999999998</v>
      </c>
      <c r="G43" s="120"/>
    </row>
    <row r="44" spans="2:7" hidden="1" x14ac:dyDescent="0.25">
      <c r="D44" s="386"/>
      <c r="E44" s="672"/>
      <c r="F44" s="672"/>
      <c r="G44" s="120"/>
    </row>
    <row r="45" spans="2:7" x14ac:dyDescent="0.25">
      <c r="B45" s="132"/>
      <c r="C45" s="132" t="s">
        <v>37</v>
      </c>
      <c r="D45" s="133"/>
      <c r="E45" s="133"/>
      <c r="F45" s="134">
        <f>SUM(F40:F43)</f>
        <v>391.37899999999996</v>
      </c>
      <c r="G45" s="120"/>
    </row>
    <row r="47" spans="2:7" x14ac:dyDescent="0.25">
      <c r="B47" s="1798" t="s">
        <v>816</v>
      </c>
      <c r="C47" s="1798"/>
      <c r="D47" s="1799">
        <f>+F45+G25</f>
        <v>2562.8484986840094</v>
      </c>
      <c r="E47" s="1799"/>
      <c r="F47" s="1799"/>
      <c r="G47" s="1799"/>
    </row>
    <row r="48" spans="2:7" x14ac:dyDescent="0.25">
      <c r="B48" s="1800" t="s">
        <v>48</v>
      </c>
      <c r="C48" s="1801"/>
      <c r="D48" s="1799">
        <f>+(921.6/1000)*400</f>
        <v>368.64</v>
      </c>
      <c r="E48" s="1799"/>
      <c r="F48" s="1799"/>
      <c r="G48" s="1799"/>
    </row>
    <row r="49" spans="2:8" x14ac:dyDescent="0.25">
      <c r="B49" s="1800" t="s">
        <v>817</v>
      </c>
      <c r="C49" s="1801"/>
      <c r="D49" s="1799">
        <f>+D47+D48</f>
        <v>2931.4884986840093</v>
      </c>
      <c r="E49" s="1799"/>
      <c r="F49" s="1799"/>
      <c r="G49" s="1799"/>
    </row>
    <row r="50" spans="2:8" x14ac:dyDescent="0.25">
      <c r="B50" s="1798" t="s">
        <v>49</v>
      </c>
      <c r="C50" s="1798"/>
      <c r="D50" s="1799">
        <f>D49/H51</f>
        <v>3908.6513315786792</v>
      </c>
      <c r="E50" s="1799"/>
      <c r="F50" s="1799"/>
      <c r="G50" s="1799"/>
      <c r="H50" s="301">
        <v>0.25</v>
      </c>
    </row>
    <row r="51" spans="2:8" x14ac:dyDescent="0.25">
      <c r="H51" s="168">
        <f>1-H50</f>
        <v>0.75</v>
      </c>
    </row>
  </sheetData>
  <autoFilter ref="B39:F39" xr:uid="{1927FFEC-6EB5-43DB-979E-190A168A8AF1}">
    <sortState xmlns:xlrd2="http://schemas.microsoft.com/office/spreadsheetml/2017/richdata2" ref="B40:F43">
      <sortCondition descending="1" ref="D39"/>
    </sortState>
  </autoFilter>
  <mergeCells count="12">
    <mergeCell ref="B2:G2"/>
    <mergeCell ref="B25:C25"/>
    <mergeCell ref="B27:C27"/>
    <mergeCell ref="B47:C47"/>
    <mergeCell ref="D47:G47"/>
    <mergeCell ref="B38:F38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scale="46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7729-1772-4314-9B46-425FE6610871}">
  <sheetPr codeName="Hoja78"/>
  <dimension ref="B2:K55"/>
  <sheetViews>
    <sheetView view="pageBreakPreview" topLeftCell="A5" zoomScale="90" zoomScaleNormal="100" zoomScaleSheetLayoutView="90" workbookViewId="0">
      <selection activeCell="F6" sqref="F6"/>
    </sheetView>
  </sheetViews>
  <sheetFormatPr baseColWidth="10" defaultColWidth="11.5703125" defaultRowHeight="13.5" x14ac:dyDescent="0.25"/>
  <cols>
    <col min="1" max="1" width="7" style="1" bestFit="1" customWidth="1"/>
    <col min="2" max="2" width="24.140625" style="1" bestFit="1" customWidth="1"/>
    <col min="3" max="3" width="58.28515625" style="1" customWidth="1"/>
    <col min="4" max="4" width="20" style="1" bestFit="1" customWidth="1"/>
    <col min="5" max="5" width="13.140625" style="1" customWidth="1"/>
    <col min="6" max="6" width="17" style="1" customWidth="1"/>
    <col min="7" max="7" width="12" style="1" customWidth="1"/>
    <col min="8" max="8" width="13.28515625" style="1" bestFit="1" customWidth="1"/>
    <col min="9" max="9" width="12.28515625" style="1" bestFit="1" customWidth="1"/>
    <col min="10" max="10" width="12.28515625" style="1" customWidth="1"/>
    <col min="11" max="16384" width="11.5703125" style="1"/>
  </cols>
  <sheetData>
    <row r="2" spans="2:10" ht="30" customHeight="1" x14ac:dyDescent="0.35">
      <c r="B2" s="1769" t="s">
        <v>371</v>
      </c>
      <c r="C2" s="1769"/>
      <c r="D2" s="1769"/>
      <c r="E2" s="1769"/>
      <c r="F2" s="1769"/>
      <c r="G2" s="1769"/>
      <c r="H2" s="1769"/>
      <c r="I2" s="1769"/>
    </row>
    <row r="3" spans="2:10" x14ac:dyDescent="0.25">
      <c r="D3" s="1">
        <v>53.42</v>
      </c>
    </row>
    <row r="4" spans="2:10" s="3" customFormat="1" ht="25.5" x14ac:dyDescent="0.25">
      <c r="B4" s="2" t="s">
        <v>0</v>
      </c>
      <c r="C4" s="2" t="s">
        <v>1</v>
      </c>
      <c r="D4" s="2" t="s">
        <v>2</v>
      </c>
      <c r="E4" s="2" t="s">
        <v>3</v>
      </c>
      <c r="F4" s="129" t="str">
        <f>+'CIF Y PV'!$F$2</f>
        <v xml:space="preserve">JUN-COP/Kg </v>
      </c>
      <c r="G4" s="129" t="str">
        <f>+'CIF Y PV'!$G$2</f>
        <v>JUN-COP/APP</v>
      </c>
      <c r="H4" s="129" t="str">
        <f>+'CIF Y PV'!$H$2</f>
        <v xml:space="preserve">MAY-COP/Kg </v>
      </c>
      <c r="I4" s="129" t="str">
        <f>+'CIF Y PV'!$I$2</f>
        <v>MAY-COP/APP</v>
      </c>
      <c r="J4" s="118" t="s">
        <v>3</v>
      </c>
    </row>
    <row r="5" spans="2:10" s="112" customFormat="1" x14ac:dyDescent="0.25">
      <c r="B5" s="108">
        <v>10096</v>
      </c>
      <c r="C5" s="108" t="s">
        <v>372</v>
      </c>
      <c r="D5" s="109">
        <v>1</v>
      </c>
      <c r="E5" s="110">
        <f>(D5*100)/$D$10</f>
        <v>25</v>
      </c>
      <c r="F5" s="1587">
        <f>'SCHA VIANDÉ   225 G 8 UNDS'!H70</f>
        <v>1235.2639744070877</v>
      </c>
      <c r="G5" s="110">
        <f>F5*D5</f>
        <v>1235.2639744070877</v>
      </c>
      <c r="H5" s="110">
        <v>1733.3177970686149</v>
      </c>
      <c r="I5" s="111">
        <f>H5*D5</f>
        <v>1733.3177970686149</v>
      </c>
      <c r="J5" s="110">
        <f>((F5/H5)*100)-100</f>
        <v>-28.73413193494207</v>
      </c>
    </row>
    <row r="6" spans="2:10" s="112" customFormat="1" x14ac:dyDescent="0.25">
      <c r="B6" s="113">
        <v>20046</v>
      </c>
      <c r="C6" s="113" t="s">
        <v>373</v>
      </c>
      <c r="D6" s="109">
        <v>1</v>
      </c>
      <c r="E6" s="110">
        <f>(D6*100)/$D$10</f>
        <v>25</v>
      </c>
      <c r="F6" s="1587">
        <f>'MDELA VIANDÉ X 225 G - 17 UND S'!H79</f>
        <v>1798.2099666239999</v>
      </c>
      <c r="G6" s="110">
        <f>F6*D6</f>
        <v>1798.2099666239999</v>
      </c>
      <c r="H6" s="110">
        <v>1960.1858971239999</v>
      </c>
      <c r="I6" s="111">
        <f t="shared" ref="I6:I8" si="0">H6*D6</f>
        <v>1960.1858971239999</v>
      </c>
      <c r="J6" s="110">
        <f>((F6/H6)*100)-100</f>
        <v>-8.2632943506864507</v>
      </c>
    </row>
    <row r="7" spans="2:10" s="112" customFormat="1" x14ac:dyDescent="0.25">
      <c r="B7" s="113">
        <v>30055</v>
      </c>
      <c r="C7" s="113" t="s">
        <v>374</v>
      </c>
      <c r="D7" s="109">
        <v>1</v>
      </c>
      <c r="E7" s="110">
        <f>(D7*100)/$D$10</f>
        <v>25</v>
      </c>
      <c r="F7" s="1587">
        <f>'SCHON CERV VIANDÉ X 225 G'!H43</f>
        <v>1279.5844643779169</v>
      </c>
      <c r="G7" s="110">
        <f>F7*D7</f>
        <v>1279.5844643779169</v>
      </c>
      <c r="H7" s="110">
        <v>1343.0837659442741</v>
      </c>
      <c r="I7" s="111">
        <f t="shared" si="0"/>
        <v>1343.0837659442741</v>
      </c>
      <c r="J7" s="110">
        <f>((F7/H7)*100)-100</f>
        <v>-4.7278735084488943</v>
      </c>
    </row>
    <row r="8" spans="2:10" s="112" customFormat="1" x14ac:dyDescent="0.25">
      <c r="B8" s="113">
        <v>30054</v>
      </c>
      <c r="C8" s="113" t="s">
        <v>375</v>
      </c>
      <c r="D8" s="109">
        <v>1</v>
      </c>
      <c r="E8" s="110">
        <f>(D8*100)/$D$10</f>
        <v>25</v>
      </c>
      <c r="F8" s="1587">
        <f>'SCHON POLLO BRAKEL X 225'!H45</f>
        <v>1230.4231456529999</v>
      </c>
      <c r="G8" s="110">
        <f>F8*D8</f>
        <v>1230.4231456529999</v>
      </c>
      <c r="H8" s="110">
        <v>1294.1822579727998</v>
      </c>
      <c r="I8" s="111">
        <f t="shared" si="0"/>
        <v>1294.1822579727998</v>
      </c>
      <c r="J8" s="110">
        <f>((F8/H8)*100)-100</f>
        <v>-4.9265945292490585</v>
      </c>
    </row>
    <row r="9" spans="2:10" hidden="1" x14ac:dyDescent="0.25">
      <c r="B9" s="11"/>
      <c r="C9" s="11"/>
      <c r="D9" s="11"/>
      <c r="E9" s="11"/>
      <c r="F9" s="11"/>
      <c r="G9" s="11"/>
      <c r="H9" s="11"/>
      <c r="I9" s="111">
        <f>H9*D9</f>
        <v>0</v>
      </c>
      <c r="J9" s="912"/>
    </row>
    <row r="10" spans="2:10" x14ac:dyDescent="0.25">
      <c r="B10" s="1824" t="s">
        <v>37</v>
      </c>
      <c r="C10" s="1824"/>
      <c r="D10" s="12">
        <f>SUM(D5:D8)</f>
        <v>4</v>
      </c>
      <c r="E10" s="13">
        <f>SUM(E5:E8)</f>
        <v>100</v>
      </c>
      <c r="F10" s="13"/>
      <c r="G10" s="876">
        <f>SUM(G5:G8)</f>
        <v>5543.4815510620047</v>
      </c>
      <c r="H10" s="14"/>
      <c r="I10" s="15">
        <f>SUM(I5:I8)</f>
        <v>6330.7697181096883</v>
      </c>
      <c r="J10" s="911">
        <f>((G10/I10)*100)-100</f>
        <v>-12.435899615738364</v>
      </c>
    </row>
    <row r="11" spans="2:10" x14ac:dyDescent="0.25">
      <c r="B11" s="16"/>
      <c r="C11" s="16"/>
      <c r="D11" s="17">
        <v>34.68</v>
      </c>
      <c r="E11" s="18"/>
      <c r="F11" s="18"/>
      <c r="G11" s="18"/>
      <c r="H11" s="153"/>
      <c r="I11" s="19"/>
      <c r="J11" s="873"/>
    </row>
    <row r="12" spans="2:10" ht="25.5" x14ac:dyDescent="0.35">
      <c r="B12" s="1827" t="s">
        <v>50</v>
      </c>
      <c r="C12" s="1828"/>
      <c r="D12" s="91">
        <v>37.53</v>
      </c>
      <c r="E12" s="91">
        <v>37.33</v>
      </c>
      <c r="F12" s="91"/>
      <c r="G12" s="91"/>
      <c r="H12" s="91"/>
      <c r="I12" s="91"/>
    </row>
    <row r="13" spans="2:10" x14ac:dyDescent="0.25">
      <c r="B13" s="20" t="s">
        <v>38</v>
      </c>
      <c r="C13" s="21" t="s">
        <v>294</v>
      </c>
      <c r="D13" s="1">
        <v>36.869999999999997</v>
      </c>
    </row>
    <row r="14" spans="2:10" x14ac:dyDescent="0.25">
      <c r="B14" s="20" t="s">
        <v>39</v>
      </c>
      <c r="C14" s="21" t="s">
        <v>376</v>
      </c>
      <c r="D14" s="1">
        <v>44.13</v>
      </c>
      <c r="J14" s="1">
        <v>1318</v>
      </c>
    </row>
    <row r="15" spans="2:10" x14ac:dyDescent="0.25">
      <c r="B15" s="20" t="s">
        <v>40</v>
      </c>
      <c r="C15" s="21">
        <v>900</v>
      </c>
      <c r="D15" s="1">
        <v>41.34</v>
      </c>
      <c r="J15" s="1">
        <v>1551</v>
      </c>
    </row>
    <row r="16" spans="2:10" x14ac:dyDescent="0.25">
      <c r="B16" s="20" t="s">
        <v>41</v>
      </c>
      <c r="C16" s="21">
        <v>0</v>
      </c>
      <c r="D16" s="1">
        <v>29.6</v>
      </c>
      <c r="J16" s="1">
        <v>884</v>
      </c>
    </row>
    <row r="17" spans="2:11" x14ac:dyDescent="0.25">
      <c r="B17" s="20" t="s">
        <v>42</v>
      </c>
      <c r="C17" s="21">
        <v>0</v>
      </c>
      <c r="D17" s="1">
        <v>29.4</v>
      </c>
      <c r="G17" s="1123"/>
      <c r="I17" s="1" t="s">
        <v>85</v>
      </c>
      <c r="J17" s="1">
        <v>952</v>
      </c>
    </row>
    <row r="18" spans="2:11" x14ac:dyDescent="0.25">
      <c r="B18" s="20" t="s">
        <v>43</v>
      </c>
      <c r="C18" s="21">
        <v>0</v>
      </c>
      <c r="J18" s="1">
        <f>SUM(J14:J17)</f>
        <v>4705</v>
      </c>
    </row>
    <row r="19" spans="2:11" x14ac:dyDescent="0.25">
      <c r="B19" s="20" t="s">
        <v>44</v>
      </c>
      <c r="C19" s="21">
        <v>0</v>
      </c>
      <c r="D19" s="1">
        <v>42.27</v>
      </c>
    </row>
    <row r="20" spans="2:11" x14ac:dyDescent="0.25">
      <c r="B20" s="20" t="s">
        <v>45</v>
      </c>
      <c r="C20" s="1124">
        <v>0</v>
      </c>
      <c r="D20" s="1">
        <v>39.42</v>
      </c>
    </row>
    <row r="21" spans="2:11" x14ac:dyDescent="0.25">
      <c r="B21" s="20" t="s">
        <v>46</v>
      </c>
      <c r="C21" s="21">
        <f>C20+C19+C18+C17</f>
        <v>0</v>
      </c>
      <c r="D21" s="1">
        <v>35.96</v>
      </c>
    </row>
    <row r="22" spans="2:11" x14ac:dyDescent="0.25">
      <c r="D22" s="1">
        <v>38.25</v>
      </c>
    </row>
    <row r="23" spans="2:11" ht="25.5" x14ac:dyDescent="0.35">
      <c r="B23" s="1829" t="s">
        <v>47</v>
      </c>
      <c r="C23" s="1826"/>
      <c r="D23" s="1826"/>
      <c r="E23" s="1826"/>
      <c r="F23" s="1826"/>
      <c r="G23" s="1880"/>
      <c r="H23" s="1826"/>
      <c r="I23" s="1826"/>
    </row>
    <row r="24" spans="2:11" s="120" customFormat="1" ht="25.5" x14ac:dyDescent="0.25">
      <c r="B24" s="132" t="s">
        <v>0</v>
      </c>
      <c r="C24" s="1125" t="s">
        <v>1</v>
      </c>
      <c r="D24" s="132">
        <v>31.43</v>
      </c>
      <c r="E24" s="129" t="str">
        <f>+'CIF Y PV'!$F$4</f>
        <v xml:space="preserve">JUN-COP/UMB </v>
      </c>
      <c r="F24" s="129" t="str">
        <f>+'CIF Y PV'!$G$4</f>
        <v>JUN-COP/APP</v>
      </c>
      <c r="G24" s="129" t="str">
        <f>+'CIF Y PV'!$H$4</f>
        <v xml:space="preserve">MAY-COP/UMB </v>
      </c>
      <c r="H24" s="129" t="str">
        <f>+'CIF Y PV'!$I$4</f>
        <v>MAY-COP/APP</v>
      </c>
      <c r="I24" s="144" t="s">
        <v>3</v>
      </c>
      <c r="J24" s="146">
        <v>375000</v>
      </c>
    </row>
    <row r="25" spans="2:11" x14ac:dyDescent="0.25">
      <c r="B25" s="4">
        <v>1310012</v>
      </c>
      <c r="C25" s="1126" t="s">
        <v>1066</v>
      </c>
      <c r="D25" s="103">
        <v>1.0999999999999999E-2</v>
      </c>
      <c r="E25" s="5">
        <f>VLOOKUP(B25,[2]Hoja1!$C$2:$E$279,3,FALSE)</f>
        <v>26973.66</v>
      </c>
      <c r="F25" s="5">
        <f>E25*D25</f>
        <v>296.71026000000001</v>
      </c>
      <c r="G25" s="5">
        <v>24980</v>
      </c>
      <c r="H25" s="5">
        <v>274.77999999999997</v>
      </c>
      <c r="I25" s="643">
        <f>((E25/G25)*100)-100</f>
        <v>7.9810248198558753</v>
      </c>
      <c r="J25" s="38">
        <f>J24*D25</f>
        <v>4125</v>
      </c>
    </row>
    <row r="26" spans="2:11" x14ac:dyDescent="0.25">
      <c r="B26" s="4">
        <v>1350005</v>
      </c>
      <c r="C26" s="4" t="s">
        <v>1245</v>
      </c>
      <c r="D26" s="103">
        <v>0.11</v>
      </c>
      <c r="E26" s="5">
        <f>VLOOKUP(B26,[2]Hoja1!$C$2:$E$279,3,FALSE)</f>
        <v>2752</v>
      </c>
      <c r="F26" s="5">
        <f>E26*D26</f>
        <v>302.72000000000003</v>
      </c>
      <c r="G26" s="5">
        <v>2572.89</v>
      </c>
      <c r="H26" s="5">
        <v>231.99</v>
      </c>
      <c r="I26" s="643">
        <f>((E26/G26)*100)-100</f>
        <v>6.9614324747657292</v>
      </c>
      <c r="J26" s="38">
        <f>J24*D26</f>
        <v>41250</v>
      </c>
    </row>
    <row r="27" spans="2:11" x14ac:dyDescent="0.25">
      <c r="B27" s="22"/>
      <c r="C27" s="22" t="s">
        <v>37</v>
      </c>
      <c r="D27" s="26"/>
      <c r="E27" s="23"/>
      <c r="F27" s="651">
        <f>SUM(F25:F26)</f>
        <v>599.43026000000009</v>
      </c>
      <c r="G27" s="23"/>
      <c r="H27" s="23">
        <f>SUM(H25:H26)</f>
        <v>506.77</v>
      </c>
      <c r="I27" s="643">
        <f>((F27/H27)*100)-100</f>
        <v>18.284480138919051</v>
      </c>
    </row>
    <row r="29" spans="2:11" x14ac:dyDescent="0.25">
      <c r="H29" s="1" t="str">
        <f>+'CIF Y PV'!$G$1</f>
        <v>MAYO</v>
      </c>
      <c r="I29" s="182"/>
      <c r="K29" s="182"/>
    </row>
    <row r="30" spans="2:11" x14ac:dyDescent="0.25">
      <c r="B30" s="1825" t="s">
        <v>301</v>
      </c>
      <c r="C30" s="1825"/>
      <c r="E30" s="881"/>
      <c r="F30" s="881"/>
      <c r="G30" s="881"/>
      <c r="H30" s="881">
        <f>+F27+G10</f>
        <v>6142.9118110620047</v>
      </c>
      <c r="I30" s="181"/>
      <c r="J30" s="881"/>
      <c r="K30" s="181"/>
    </row>
    <row r="31" spans="2:11" x14ac:dyDescent="0.25">
      <c r="B31" s="1830" t="s">
        <v>48</v>
      </c>
      <c r="C31" s="1831"/>
      <c r="E31" s="881"/>
      <c r="F31" s="881"/>
      <c r="G31" s="881"/>
      <c r="H31" s="881">
        <v>0</v>
      </c>
      <c r="I31" s="182"/>
      <c r="J31" s="881"/>
      <c r="K31" s="182"/>
    </row>
    <row r="32" spans="2:11" x14ac:dyDescent="0.25">
      <c r="B32" s="1830" t="s">
        <v>302</v>
      </c>
      <c r="C32" s="1831"/>
      <c r="E32" s="881"/>
      <c r="F32" s="881"/>
      <c r="G32" s="881"/>
      <c r="H32" s="881">
        <f>+H31+H30</f>
        <v>6142.9118110620047</v>
      </c>
      <c r="I32" s="152"/>
      <c r="J32" s="881"/>
      <c r="K32" s="152"/>
    </row>
    <row r="33" spans="2:11" x14ac:dyDescent="0.25">
      <c r="B33" s="1825" t="s">
        <v>49</v>
      </c>
      <c r="C33" s="1825"/>
      <c r="E33" s="881"/>
      <c r="F33" s="881"/>
      <c r="G33" s="881"/>
      <c r="H33" s="881">
        <f>'CIF Y PV'!C61</f>
        <v>9227</v>
      </c>
      <c r="J33" s="881"/>
      <c r="K33" s="339"/>
    </row>
    <row r="34" spans="2:11" x14ac:dyDescent="0.25">
      <c r="B34" s="1825" t="s">
        <v>805</v>
      </c>
      <c r="C34" s="1825"/>
      <c r="E34" s="881"/>
      <c r="F34" s="881"/>
      <c r="G34" s="881"/>
      <c r="H34" s="928">
        <f>+(H33-H32)/H33</f>
        <v>0.33424603760030297</v>
      </c>
      <c r="I34" s="137"/>
      <c r="K34" s="137"/>
    </row>
    <row r="35" spans="2:11" x14ac:dyDescent="0.25">
      <c r="I35" s="182"/>
    </row>
    <row r="36" spans="2:11" x14ac:dyDescent="0.25">
      <c r="I36" s="182"/>
    </row>
    <row r="55" spans="5:7" x14ac:dyDescent="0.25">
      <c r="E55" s="1">
        <v>28.34</v>
      </c>
      <c r="G55" s="1123"/>
    </row>
  </sheetData>
  <mergeCells count="9">
    <mergeCell ref="B34:C34"/>
    <mergeCell ref="B31:C31"/>
    <mergeCell ref="B32:C32"/>
    <mergeCell ref="B33:C33"/>
    <mergeCell ref="B2:I2"/>
    <mergeCell ref="B10:C10"/>
    <mergeCell ref="B12:C12"/>
    <mergeCell ref="B23:I23"/>
    <mergeCell ref="B30:C30"/>
  </mergeCells>
  <pageMargins left="0.7" right="0.7" top="0.75" bottom="0.75" header="0.3" footer="0.3"/>
  <pageSetup scale="43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DC43-4F9F-445C-8A15-81A9149EA5A7}">
  <sheetPr codeName="Hoja79"/>
  <dimension ref="A3:C176"/>
  <sheetViews>
    <sheetView zoomScale="60" zoomScaleNormal="60" workbookViewId="0">
      <selection activeCell="G52" sqref="G52"/>
    </sheetView>
  </sheetViews>
  <sheetFormatPr baseColWidth="10" defaultRowHeight="15" x14ac:dyDescent="0.25"/>
  <cols>
    <col min="1" max="1" width="95.140625" bestFit="1" customWidth="1"/>
    <col min="2" max="2" width="23.28515625" style="639" bestFit="1" customWidth="1"/>
    <col min="3" max="3" width="23.28515625" style="726" bestFit="1" customWidth="1"/>
  </cols>
  <sheetData>
    <row r="3" spans="1:3" x14ac:dyDescent="0.25">
      <c r="A3" s="724" t="s">
        <v>1</v>
      </c>
      <c r="B3" s="726" t="s">
        <v>695</v>
      </c>
      <c r="C3"/>
    </row>
    <row r="4" spans="1:3" x14ac:dyDescent="0.25">
      <c r="A4" t="s">
        <v>214</v>
      </c>
      <c r="B4" s="726">
        <v>303.28873003562035</v>
      </c>
      <c r="C4"/>
    </row>
    <row r="5" spans="1:3" x14ac:dyDescent="0.25">
      <c r="A5" t="s">
        <v>53</v>
      </c>
      <c r="B5" s="726">
        <v>96971.516719956024</v>
      </c>
      <c r="C5"/>
    </row>
    <row r="6" spans="1:3" x14ac:dyDescent="0.25">
      <c r="A6" t="s">
        <v>62</v>
      </c>
      <c r="B6" s="726">
        <v>219.04529588508331</v>
      </c>
      <c r="C6"/>
    </row>
    <row r="7" spans="1:3" x14ac:dyDescent="0.25">
      <c r="A7" t="s">
        <v>10</v>
      </c>
      <c r="B7" s="726">
        <v>19060.626853620503</v>
      </c>
      <c r="C7"/>
    </row>
    <row r="8" spans="1:3" x14ac:dyDescent="0.25">
      <c r="A8" t="s">
        <v>246</v>
      </c>
      <c r="B8" s="726">
        <v>500</v>
      </c>
      <c r="C8"/>
    </row>
    <row r="9" spans="1:3" x14ac:dyDescent="0.25">
      <c r="A9" t="s">
        <v>76</v>
      </c>
      <c r="B9" s="726">
        <v>239.86142310621145</v>
      </c>
      <c r="C9"/>
    </row>
    <row r="10" spans="1:3" x14ac:dyDescent="0.25">
      <c r="A10" t="s">
        <v>405</v>
      </c>
      <c r="B10" s="726">
        <v>13.49970859146373</v>
      </c>
      <c r="C10"/>
    </row>
    <row r="11" spans="1:3" x14ac:dyDescent="0.25">
      <c r="A11" t="s">
        <v>96</v>
      </c>
      <c r="B11" s="726">
        <v>12615.198148474095</v>
      </c>
      <c r="C11"/>
    </row>
    <row r="12" spans="1:3" x14ac:dyDescent="0.25">
      <c r="A12" t="s">
        <v>558</v>
      </c>
      <c r="B12" s="726">
        <v>163.26000000000002</v>
      </c>
      <c r="C12"/>
    </row>
    <row r="13" spans="1:3" x14ac:dyDescent="0.25">
      <c r="A13" t="s">
        <v>79</v>
      </c>
      <c r="B13" s="726">
        <v>283.88585519429688</v>
      </c>
      <c r="C13"/>
    </row>
    <row r="14" spans="1:3" x14ac:dyDescent="0.25">
      <c r="A14" t="s">
        <v>66</v>
      </c>
      <c r="B14" s="726">
        <v>137.22823400920109</v>
      </c>
      <c r="C14"/>
    </row>
    <row r="15" spans="1:3" x14ac:dyDescent="0.25">
      <c r="A15" t="s">
        <v>150</v>
      </c>
      <c r="B15" s="726">
        <v>11.999840883889989</v>
      </c>
      <c r="C15"/>
    </row>
    <row r="16" spans="1:3" x14ac:dyDescent="0.25">
      <c r="A16" t="s">
        <v>218</v>
      </c>
      <c r="B16" s="726">
        <v>50.658305061001599</v>
      </c>
      <c r="C16"/>
    </row>
    <row r="17" spans="1:3" x14ac:dyDescent="0.25">
      <c r="A17" t="s">
        <v>183</v>
      </c>
      <c r="B17" s="726">
        <v>6.1966596664064486</v>
      </c>
      <c r="C17"/>
    </row>
    <row r="18" spans="1:3" x14ac:dyDescent="0.25">
      <c r="A18" t="s">
        <v>87</v>
      </c>
      <c r="B18" s="726">
        <v>8.8715807611976096</v>
      </c>
      <c r="C18"/>
    </row>
    <row r="19" spans="1:3" x14ac:dyDescent="0.25">
      <c r="A19" t="s">
        <v>691</v>
      </c>
      <c r="B19" s="726">
        <v>19.999335150588394</v>
      </c>
      <c r="C19"/>
    </row>
    <row r="20" spans="1:3" x14ac:dyDescent="0.25">
      <c r="A20" t="s">
        <v>36</v>
      </c>
      <c r="B20" s="726">
        <v>4.6526467171134698</v>
      </c>
      <c r="C20"/>
    </row>
    <row r="21" spans="1:3" x14ac:dyDescent="0.25">
      <c r="A21" t="s">
        <v>185</v>
      </c>
      <c r="B21" s="726">
        <v>6.5215892072160484</v>
      </c>
      <c r="C21"/>
    </row>
    <row r="22" spans="1:3" x14ac:dyDescent="0.25">
      <c r="A22" t="s">
        <v>32</v>
      </c>
      <c r="B22" s="726">
        <v>85.42920470401863</v>
      </c>
      <c r="C22"/>
    </row>
    <row r="23" spans="1:3" x14ac:dyDescent="0.25">
      <c r="A23" t="s">
        <v>220</v>
      </c>
      <c r="B23" s="726">
        <v>20.591226705629037</v>
      </c>
      <c r="C23"/>
    </row>
    <row r="24" spans="1:3" x14ac:dyDescent="0.25">
      <c r="A24" t="s">
        <v>60</v>
      </c>
      <c r="B24" s="726">
        <v>213.23028649786787</v>
      </c>
      <c r="C24"/>
    </row>
    <row r="25" spans="1:3" x14ac:dyDescent="0.25">
      <c r="A25" t="s">
        <v>106</v>
      </c>
      <c r="B25" s="726">
        <v>68.006941837941838</v>
      </c>
      <c r="C25"/>
    </row>
    <row r="26" spans="1:3" x14ac:dyDescent="0.25">
      <c r="A26" t="s">
        <v>26</v>
      </c>
      <c r="B26" s="726">
        <v>449.01176626720599</v>
      </c>
      <c r="C26"/>
    </row>
    <row r="27" spans="1:3" x14ac:dyDescent="0.25">
      <c r="A27" t="s">
        <v>104</v>
      </c>
      <c r="B27" s="726">
        <v>113.7306380602368</v>
      </c>
      <c r="C27"/>
    </row>
    <row r="28" spans="1:3" x14ac:dyDescent="0.25">
      <c r="A28" t="s">
        <v>56</v>
      </c>
      <c r="B28" s="726">
        <v>24790.836759096197</v>
      </c>
      <c r="C28"/>
    </row>
    <row r="29" spans="1:3" x14ac:dyDescent="0.25">
      <c r="A29" t="s">
        <v>244</v>
      </c>
      <c r="B29" s="726">
        <v>9.1999999999999993</v>
      </c>
      <c r="C29"/>
    </row>
    <row r="30" spans="1:3" x14ac:dyDescent="0.25">
      <c r="A30" t="s">
        <v>34</v>
      </c>
      <c r="B30" s="726">
        <v>104.60678802040125</v>
      </c>
      <c r="C30"/>
    </row>
    <row r="31" spans="1:3" x14ac:dyDescent="0.25">
      <c r="A31" t="s">
        <v>24</v>
      </c>
      <c r="B31" s="726">
        <v>1004.2191899956595</v>
      </c>
      <c r="C31"/>
    </row>
    <row r="32" spans="1:3" x14ac:dyDescent="0.25">
      <c r="A32" t="s">
        <v>142</v>
      </c>
      <c r="B32" s="726">
        <v>2700.0028733760373</v>
      </c>
      <c r="C32"/>
    </row>
    <row r="33" spans="1:3" x14ac:dyDescent="0.25">
      <c r="A33" t="s">
        <v>131</v>
      </c>
      <c r="B33" s="726">
        <v>888.54827532956961</v>
      </c>
      <c r="C33"/>
    </row>
    <row r="34" spans="1:3" x14ac:dyDescent="0.25">
      <c r="A34" t="s">
        <v>98</v>
      </c>
      <c r="B34" s="726">
        <v>2044.4641295825522</v>
      </c>
      <c r="C34"/>
    </row>
    <row r="35" spans="1:3" x14ac:dyDescent="0.25">
      <c r="A35" t="s">
        <v>108</v>
      </c>
      <c r="B35" s="726">
        <v>14.286384669310328</v>
      </c>
      <c r="C35"/>
    </row>
    <row r="36" spans="1:3" x14ac:dyDescent="0.25">
      <c r="A36" t="s">
        <v>416</v>
      </c>
      <c r="B36" s="726">
        <v>24.176674312943806</v>
      </c>
      <c r="C36"/>
    </row>
    <row r="37" spans="1:3" x14ac:dyDescent="0.25">
      <c r="A37" t="s">
        <v>588</v>
      </c>
      <c r="B37" s="726">
        <v>94</v>
      </c>
      <c r="C37"/>
    </row>
    <row r="38" spans="1:3" x14ac:dyDescent="0.25">
      <c r="A38" t="s">
        <v>89</v>
      </c>
      <c r="B38" s="726">
        <v>31.025229208500612</v>
      </c>
      <c r="C38"/>
    </row>
    <row r="39" spans="1:3" x14ac:dyDescent="0.25">
      <c r="A39" t="s">
        <v>28</v>
      </c>
      <c r="B39" s="726">
        <v>315.23930420028563</v>
      </c>
      <c r="C39"/>
    </row>
    <row r="40" spans="1:3" x14ac:dyDescent="0.25">
      <c r="A40" t="s">
        <v>81</v>
      </c>
      <c r="B40" s="726">
        <v>289.46300684712139</v>
      </c>
      <c r="C40"/>
    </row>
    <row r="41" spans="1:3" x14ac:dyDescent="0.25">
      <c r="A41" t="s">
        <v>262</v>
      </c>
      <c r="B41" s="726">
        <v>15.833015181262924</v>
      </c>
      <c r="C41"/>
    </row>
    <row r="42" spans="1:3" x14ac:dyDescent="0.25">
      <c r="A42" t="s">
        <v>20</v>
      </c>
      <c r="B42" s="726">
        <v>303.76274073854842</v>
      </c>
      <c r="C42"/>
    </row>
    <row r="43" spans="1:3" x14ac:dyDescent="0.25">
      <c r="A43" t="s">
        <v>692</v>
      </c>
      <c r="B43" s="726">
        <v>273.13250559739464</v>
      </c>
      <c r="C43"/>
    </row>
    <row r="44" spans="1:3" x14ac:dyDescent="0.25">
      <c r="A44" t="s">
        <v>146</v>
      </c>
      <c r="B44" s="726">
        <v>863.98854364007946</v>
      </c>
      <c r="C44"/>
    </row>
    <row r="45" spans="1:3" x14ac:dyDescent="0.25">
      <c r="A45" t="s">
        <v>645</v>
      </c>
      <c r="B45" s="726">
        <v>37036.04769989365</v>
      </c>
      <c r="C45"/>
    </row>
    <row r="46" spans="1:3" x14ac:dyDescent="0.25">
      <c r="A46" t="s">
        <v>503</v>
      </c>
      <c r="B46" s="726">
        <v>51871.337989425781</v>
      </c>
      <c r="C46"/>
    </row>
    <row r="47" spans="1:3" x14ac:dyDescent="0.25">
      <c r="A47" t="s">
        <v>689</v>
      </c>
      <c r="B47" s="726">
        <v>6936.6985548544681</v>
      </c>
      <c r="C47"/>
    </row>
    <row r="48" spans="1:3" x14ac:dyDescent="0.25">
      <c r="A48" t="s">
        <v>499</v>
      </c>
      <c r="B48" s="726">
        <v>2081.9883917458624</v>
      </c>
      <c r="C48"/>
    </row>
    <row r="49" spans="1:3" x14ac:dyDescent="0.25">
      <c r="A49" t="s">
        <v>242</v>
      </c>
      <c r="B49" s="726">
        <v>163.26000000000002</v>
      </c>
      <c r="C49"/>
    </row>
    <row r="50" spans="1:3" x14ac:dyDescent="0.25">
      <c r="A50" t="s">
        <v>94</v>
      </c>
      <c r="B50" s="726">
        <v>5670.6448230276255</v>
      </c>
      <c r="C50"/>
    </row>
    <row r="51" spans="1:3" x14ac:dyDescent="0.25">
      <c r="A51" t="s">
        <v>68</v>
      </c>
      <c r="B51" s="726">
        <v>130.03858335631358</v>
      </c>
      <c r="C51"/>
    </row>
    <row r="52" spans="1:3" x14ac:dyDescent="0.25">
      <c r="A52" t="s">
        <v>122</v>
      </c>
      <c r="B52" s="726">
        <v>9.4114355220478814</v>
      </c>
      <c r="C52"/>
    </row>
    <row r="53" spans="1:3" x14ac:dyDescent="0.25">
      <c r="A53" t="s">
        <v>16</v>
      </c>
      <c r="B53" s="726">
        <v>1621.6254886793026</v>
      </c>
      <c r="C53"/>
    </row>
    <row r="54" spans="1:3" x14ac:dyDescent="0.25">
      <c r="A54" t="s">
        <v>247</v>
      </c>
      <c r="B54" s="726">
        <v>200</v>
      </c>
      <c r="C54"/>
    </row>
    <row r="55" spans="1:3" x14ac:dyDescent="0.25">
      <c r="A55" t="s">
        <v>148</v>
      </c>
      <c r="B55" s="726">
        <v>337.43552565498658</v>
      </c>
      <c r="C55"/>
    </row>
    <row r="56" spans="1:3" x14ac:dyDescent="0.25">
      <c r="A56" t="s">
        <v>434</v>
      </c>
      <c r="B56" s="726">
        <v>15.312050873513124</v>
      </c>
      <c r="C56"/>
    </row>
    <row r="57" spans="1:3" x14ac:dyDescent="0.25">
      <c r="A57" t="s">
        <v>362</v>
      </c>
      <c r="B57" s="726">
        <v>393.00492166660399</v>
      </c>
      <c r="C57"/>
    </row>
    <row r="58" spans="1:3" x14ac:dyDescent="0.25">
      <c r="A58" t="s">
        <v>415</v>
      </c>
      <c r="B58" s="726">
        <v>24.001758370576603</v>
      </c>
      <c r="C58"/>
    </row>
    <row r="59" spans="1:3" x14ac:dyDescent="0.25">
      <c r="A59" t="s">
        <v>181</v>
      </c>
      <c r="B59" s="726">
        <v>68.902857645493654</v>
      </c>
      <c r="C59"/>
    </row>
    <row r="60" spans="1:3" x14ac:dyDescent="0.25">
      <c r="A60" t="s">
        <v>407</v>
      </c>
      <c r="B60" s="726">
        <v>4.9498931502033665</v>
      </c>
      <c r="C60"/>
    </row>
    <row r="61" spans="1:3" x14ac:dyDescent="0.25">
      <c r="A61" t="s">
        <v>100</v>
      </c>
      <c r="B61" s="726">
        <v>121.04702388231358</v>
      </c>
      <c r="C61"/>
    </row>
    <row r="62" spans="1:3" x14ac:dyDescent="0.25">
      <c r="A62" t="s">
        <v>690</v>
      </c>
      <c r="B62" s="726">
        <v>324.31354298251443</v>
      </c>
      <c r="C62"/>
    </row>
    <row r="63" spans="1:3" x14ac:dyDescent="0.25">
      <c r="A63" t="s">
        <v>14</v>
      </c>
      <c r="B63" s="726">
        <v>541.38203028011117</v>
      </c>
      <c r="C63"/>
    </row>
    <row r="64" spans="1:3" x14ac:dyDescent="0.25">
      <c r="A64" t="s">
        <v>530</v>
      </c>
      <c r="B64" s="726">
        <v>7133.6619247285289</v>
      </c>
      <c r="C64"/>
    </row>
    <row r="65" spans="1:3" x14ac:dyDescent="0.25">
      <c r="A65" t="s">
        <v>360</v>
      </c>
      <c r="B65" s="726">
        <v>600.00751399481533</v>
      </c>
      <c r="C65"/>
    </row>
    <row r="66" spans="1:3" x14ac:dyDescent="0.25">
      <c r="A66" t="s">
        <v>216</v>
      </c>
      <c r="B66" s="726">
        <v>739.27298388524378</v>
      </c>
      <c r="C66"/>
    </row>
    <row r="67" spans="1:3" x14ac:dyDescent="0.25">
      <c r="A67" t="s">
        <v>12</v>
      </c>
      <c r="B67" s="726">
        <v>4203.5510274479147</v>
      </c>
      <c r="C67"/>
    </row>
    <row r="68" spans="1:3" x14ac:dyDescent="0.25">
      <c r="A68" t="s">
        <v>22</v>
      </c>
      <c r="B68" s="726">
        <v>391.92013308769242</v>
      </c>
      <c r="C68"/>
    </row>
    <row r="69" spans="1:3" x14ac:dyDescent="0.25">
      <c r="A69" t="s">
        <v>120</v>
      </c>
      <c r="B69" s="726">
        <v>0.8998930235798982</v>
      </c>
      <c r="C69"/>
    </row>
    <row r="70" spans="1:3" x14ac:dyDescent="0.25">
      <c r="A70" t="s">
        <v>454</v>
      </c>
      <c r="B70" s="726">
        <v>886.19999999999993</v>
      </c>
      <c r="C70"/>
    </row>
    <row r="71" spans="1:3" x14ac:dyDescent="0.25">
      <c r="A71" t="s">
        <v>117</v>
      </c>
      <c r="B71" s="726">
        <v>1737.8941483285103</v>
      </c>
      <c r="C71"/>
    </row>
    <row r="72" spans="1:3" x14ac:dyDescent="0.25">
      <c r="A72" t="s">
        <v>57</v>
      </c>
      <c r="B72" s="726">
        <v>10195.702674576401</v>
      </c>
      <c r="C72"/>
    </row>
    <row r="73" spans="1:3" x14ac:dyDescent="0.25">
      <c r="A73" t="s">
        <v>458</v>
      </c>
      <c r="B73" s="726">
        <v>7.5960064990198379</v>
      </c>
      <c r="C73"/>
    </row>
    <row r="74" spans="1:3" x14ac:dyDescent="0.25">
      <c r="A74" t="s">
        <v>418</v>
      </c>
      <c r="B74" s="726">
        <v>1.2000879185288302</v>
      </c>
      <c r="C74"/>
    </row>
    <row r="75" spans="1:3" x14ac:dyDescent="0.25">
      <c r="A75" t="s">
        <v>279</v>
      </c>
      <c r="B75" s="726">
        <v>167.99924352965738</v>
      </c>
      <c r="C75"/>
    </row>
    <row r="76" spans="1:3" x14ac:dyDescent="0.25">
      <c r="A76" t="s">
        <v>64</v>
      </c>
      <c r="B76" s="726">
        <v>92.549997692947343</v>
      </c>
      <c r="C76"/>
    </row>
    <row r="77" spans="1:3" x14ac:dyDescent="0.25">
      <c r="A77" t="s">
        <v>30</v>
      </c>
      <c r="B77" s="726">
        <v>457.5696475318216</v>
      </c>
      <c r="C77"/>
    </row>
    <row r="78" spans="1:3" x14ac:dyDescent="0.25">
      <c r="A78" t="s">
        <v>456</v>
      </c>
      <c r="B78" s="726">
        <v>390.00488409662995</v>
      </c>
      <c r="C78"/>
    </row>
    <row r="79" spans="1:3" x14ac:dyDescent="0.25">
      <c r="A79" t="s">
        <v>18</v>
      </c>
      <c r="B79" s="726">
        <v>2915.9555235245098</v>
      </c>
      <c r="C79"/>
    </row>
    <row r="80" spans="1:3" x14ac:dyDescent="0.25">
      <c r="A80" t="s">
        <v>524</v>
      </c>
      <c r="B80" s="726">
        <v>160.34285334121478</v>
      </c>
      <c r="C80"/>
    </row>
    <row r="81" spans="1:3" x14ac:dyDescent="0.25">
      <c r="A81" t="s">
        <v>102</v>
      </c>
      <c r="B81" s="726">
        <v>104.77387230589184</v>
      </c>
      <c r="C81"/>
    </row>
    <row r="82" spans="1:3" x14ac:dyDescent="0.25">
      <c r="A82" t="s">
        <v>118</v>
      </c>
      <c r="B82" s="726">
        <v>1381.0773488685684</v>
      </c>
      <c r="C82"/>
    </row>
    <row r="83" spans="1:3" x14ac:dyDescent="0.25">
      <c r="A83" t="s">
        <v>58</v>
      </c>
      <c r="B83" s="726">
        <v>3968.1973087097817</v>
      </c>
      <c r="C83"/>
    </row>
    <row r="84" spans="1:3" x14ac:dyDescent="0.25">
      <c r="A84" t="s">
        <v>143</v>
      </c>
      <c r="B84" s="726">
        <v>1055.9859977823191</v>
      </c>
      <c r="C84"/>
    </row>
    <row r="85" spans="1:3" x14ac:dyDescent="0.25">
      <c r="A85" t="s">
        <v>694</v>
      </c>
      <c r="B85" s="726">
        <v>309476.86205207347</v>
      </c>
      <c r="C85"/>
    </row>
    <row r="86" spans="1:3" x14ac:dyDescent="0.25">
      <c r="C86"/>
    </row>
    <row r="87" spans="1:3" x14ac:dyDescent="0.25">
      <c r="C87"/>
    </row>
    <row r="88" spans="1:3" x14ac:dyDescent="0.25">
      <c r="C88"/>
    </row>
    <row r="89" spans="1:3" x14ac:dyDescent="0.25">
      <c r="C89"/>
    </row>
    <row r="90" spans="1:3" x14ac:dyDescent="0.25">
      <c r="C90"/>
    </row>
    <row r="91" spans="1:3" x14ac:dyDescent="0.25">
      <c r="C91"/>
    </row>
    <row r="92" spans="1:3" x14ac:dyDescent="0.25">
      <c r="C92"/>
    </row>
    <row r="93" spans="1:3" x14ac:dyDescent="0.25">
      <c r="C93"/>
    </row>
    <row r="94" spans="1:3" x14ac:dyDescent="0.25">
      <c r="C94"/>
    </row>
    <row r="95" spans="1:3" x14ac:dyDescent="0.25">
      <c r="C95"/>
    </row>
    <row r="96" spans="1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583D-9BF2-4DAB-9D4E-B737C2981C0D}">
  <sheetPr codeName="Hoja80"/>
  <dimension ref="A1:B82"/>
  <sheetViews>
    <sheetView workbookViewId="0">
      <selection activeCell="D7" sqref="D7"/>
    </sheetView>
  </sheetViews>
  <sheetFormatPr baseColWidth="10" defaultRowHeight="15" x14ac:dyDescent="0.25"/>
  <cols>
    <col min="1" max="1" width="71.7109375" bestFit="1" customWidth="1"/>
    <col min="2" max="2" width="15.7109375" style="639" bestFit="1" customWidth="1"/>
  </cols>
  <sheetData>
    <row r="1" spans="1:2" x14ac:dyDescent="0.25">
      <c r="A1" t="s">
        <v>693</v>
      </c>
      <c r="B1" s="639" t="s">
        <v>695</v>
      </c>
    </row>
    <row r="2" spans="1:2" x14ac:dyDescent="0.25">
      <c r="A2" t="s">
        <v>53</v>
      </c>
      <c r="B2" s="727">
        <v>96971.516719956024</v>
      </c>
    </row>
    <row r="3" spans="1:2" x14ac:dyDescent="0.25">
      <c r="A3" t="s">
        <v>503</v>
      </c>
      <c r="B3" s="727">
        <v>51871.337989425781</v>
      </c>
    </row>
    <row r="4" spans="1:2" x14ac:dyDescent="0.25">
      <c r="A4" t="s">
        <v>645</v>
      </c>
      <c r="B4" s="727">
        <v>37036.04769989365</v>
      </c>
    </row>
    <row r="5" spans="1:2" x14ac:dyDescent="0.25">
      <c r="A5" t="s">
        <v>56</v>
      </c>
      <c r="B5" s="727">
        <v>24790.836759096197</v>
      </c>
    </row>
    <row r="6" spans="1:2" x14ac:dyDescent="0.25">
      <c r="A6" t="s">
        <v>10</v>
      </c>
      <c r="B6" s="727">
        <v>19060.626853620503</v>
      </c>
    </row>
    <row r="7" spans="1:2" x14ac:dyDescent="0.25">
      <c r="A7" t="s">
        <v>96</v>
      </c>
      <c r="B7" s="727">
        <v>12615.198148474095</v>
      </c>
    </row>
    <row r="8" spans="1:2" x14ac:dyDescent="0.25">
      <c r="A8" t="s">
        <v>57</v>
      </c>
      <c r="B8" s="727">
        <v>10195.702674576401</v>
      </c>
    </row>
    <row r="9" spans="1:2" x14ac:dyDescent="0.25">
      <c r="A9" t="s">
        <v>530</v>
      </c>
      <c r="B9" s="727">
        <v>7133.6619247285289</v>
      </c>
    </row>
    <row r="10" spans="1:2" x14ac:dyDescent="0.25">
      <c r="A10" t="s">
        <v>689</v>
      </c>
      <c r="B10" s="727">
        <v>6936.6985548544681</v>
      </c>
    </row>
    <row r="11" spans="1:2" x14ac:dyDescent="0.25">
      <c r="A11" t="s">
        <v>94</v>
      </c>
      <c r="B11" s="727">
        <v>5670.6448230276255</v>
      </c>
    </row>
    <row r="12" spans="1:2" x14ac:dyDescent="0.25">
      <c r="A12" t="s">
        <v>12</v>
      </c>
      <c r="B12" s="727">
        <v>4203.5510274479147</v>
      </c>
    </row>
    <row r="13" spans="1:2" x14ac:dyDescent="0.25">
      <c r="A13" t="s">
        <v>58</v>
      </c>
      <c r="B13" s="727">
        <v>3968.1973087097817</v>
      </c>
    </row>
    <row r="14" spans="1:2" x14ac:dyDescent="0.25">
      <c r="A14" t="s">
        <v>18</v>
      </c>
      <c r="B14" s="727">
        <v>2915.9555235245098</v>
      </c>
    </row>
    <row r="15" spans="1:2" x14ac:dyDescent="0.25">
      <c r="A15" t="s">
        <v>142</v>
      </c>
      <c r="B15" s="727">
        <v>2700.0028733760373</v>
      </c>
    </row>
    <row r="16" spans="1:2" x14ac:dyDescent="0.25">
      <c r="A16" t="s">
        <v>499</v>
      </c>
      <c r="B16" s="727">
        <v>2081.9883917458624</v>
      </c>
    </row>
    <row r="17" spans="1:2" x14ac:dyDescent="0.25">
      <c r="A17" t="s">
        <v>98</v>
      </c>
      <c r="B17" s="727">
        <v>2044.4641295825522</v>
      </c>
    </row>
    <row r="18" spans="1:2" x14ac:dyDescent="0.25">
      <c r="A18" t="s">
        <v>117</v>
      </c>
      <c r="B18" s="727">
        <v>1737.8941483285103</v>
      </c>
    </row>
    <row r="19" spans="1:2" x14ac:dyDescent="0.25">
      <c r="A19" t="s">
        <v>16</v>
      </c>
      <c r="B19" s="727">
        <v>1621.6254886793026</v>
      </c>
    </row>
    <row r="20" spans="1:2" x14ac:dyDescent="0.25">
      <c r="A20" t="s">
        <v>118</v>
      </c>
      <c r="B20" s="727">
        <v>1381.0773488685684</v>
      </c>
    </row>
    <row r="21" spans="1:2" x14ac:dyDescent="0.25">
      <c r="A21" t="s">
        <v>143</v>
      </c>
      <c r="B21" s="727">
        <v>1055.9859977823191</v>
      </c>
    </row>
    <row r="22" spans="1:2" x14ac:dyDescent="0.25">
      <c r="A22" t="s">
        <v>24</v>
      </c>
      <c r="B22" s="727">
        <v>1004.2191899956595</v>
      </c>
    </row>
    <row r="23" spans="1:2" x14ac:dyDescent="0.25">
      <c r="A23" t="s">
        <v>131</v>
      </c>
      <c r="B23" s="727">
        <v>888.54827532956961</v>
      </c>
    </row>
    <row r="24" spans="1:2" x14ac:dyDescent="0.25">
      <c r="A24" t="s">
        <v>454</v>
      </c>
      <c r="B24" s="727">
        <v>886.19999999999993</v>
      </c>
    </row>
    <row r="25" spans="1:2" x14ac:dyDescent="0.25">
      <c r="A25" t="s">
        <v>146</v>
      </c>
      <c r="B25" s="727">
        <v>863.98854364007946</v>
      </c>
    </row>
    <row r="26" spans="1:2" x14ac:dyDescent="0.25">
      <c r="A26" t="s">
        <v>216</v>
      </c>
      <c r="B26" s="727">
        <v>739.27298388524378</v>
      </c>
    </row>
    <row r="27" spans="1:2" x14ac:dyDescent="0.25">
      <c r="A27" t="s">
        <v>360</v>
      </c>
      <c r="B27" s="727">
        <v>600.00751399481533</v>
      </c>
    </row>
    <row r="28" spans="1:2" x14ac:dyDescent="0.25">
      <c r="A28" t="s">
        <v>14</v>
      </c>
      <c r="B28" s="727">
        <v>541.38203028011117</v>
      </c>
    </row>
    <row r="29" spans="1:2" x14ac:dyDescent="0.25">
      <c r="A29" t="s">
        <v>246</v>
      </c>
      <c r="B29" s="727">
        <v>500</v>
      </c>
    </row>
    <row r="30" spans="1:2" x14ac:dyDescent="0.25">
      <c r="A30" t="s">
        <v>30</v>
      </c>
      <c r="B30" s="727">
        <v>457.5696475318216</v>
      </c>
    </row>
    <row r="31" spans="1:2" x14ac:dyDescent="0.25">
      <c r="A31" t="s">
        <v>26</v>
      </c>
      <c r="B31" s="727">
        <v>449.01176626720599</v>
      </c>
    </row>
    <row r="32" spans="1:2" x14ac:dyDescent="0.25">
      <c r="A32" t="s">
        <v>362</v>
      </c>
      <c r="B32" s="727">
        <v>393.00492166660399</v>
      </c>
    </row>
    <row r="33" spans="1:2" x14ac:dyDescent="0.25">
      <c r="A33" t="s">
        <v>22</v>
      </c>
      <c r="B33" s="727">
        <v>391.92013308769242</v>
      </c>
    </row>
    <row r="34" spans="1:2" x14ac:dyDescent="0.25">
      <c r="A34" t="s">
        <v>456</v>
      </c>
      <c r="B34" s="727">
        <v>390.00488409662995</v>
      </c>
    </row>
    <row r="35" spans="1:2" x14ac:dyDescent="0.25">
      <c r="A35" t="s">
        <v>148</v>
      </c>
      <c r="B35" s="727">
        <v>337.43552565498658</v>
      </c>
    </row>
    <row r="36" spans="1:2" x14ac:dyDescent="0.25">
      <c r="A36" t="s">
        <v>690</v>
      </c>
      <c r="B36" s="727">
        <v>324.31354298251443</v>
      </c>
    </row>
    <row r="37" spans="1:2" x14ac:dyDescent="0.25">
      <c r="A37" t="s">
        <v>28</v>
      </c>
      <c r="B37" s="727">
        <v>315.23930420028563</v>
      </c>
    </row>
    <row r="38" spans="1:2" x14ac:dyDescent="0.25">
      <c r="A38" t="s">
        <v>20</v>
      </c>
      <c r="B38" s="727">
        <v>303.76274073854842</v>
      </c>
    </row>
    <row r="39" spans="1:2" x14ac:dyDescent="0.25">
      <c r="A39" t="s">
        <v>214</v>
      </c>
      <c r="B39" s="727">
        <v>303.28873003562035</v>
      </c>
    </row>
    <row r="40" spans="1:2" x14ac:dyDescent="0.25">
      <c r="A40" t="s">
        <v>81</v>
      </c>
      <c r="B40" s="727">
        <v>289.46300684712139</v>
      </c>
    </row>
    <row r="41" spans="1:2" x14ac:dyDescent="0.25">
      <c r="A41" t="s">
        <v>79</v>
      </c>
      <c r="B41" s="727">
        <v>283.88585519429688</v>
      </c>
    </row>
    <row r="42" spans="1:2" x14ac:dyDescent="0.25">
      <c r="A42" t="s">
        <v>692</v>
      </c>
      <c r="B42" s="727">
        <v>273.13250559739464</v>
      </c>
    </row>
    <row r="43" spans="1:2" x14ac:dyDescent="0.25">
      <c r="A43" t="s">
        <v>76</v>
      </c>
      <c r="B43" s="727">
        <v>239.86142310621145</v>
      </c>
    </row>
    <row r="44" spans="1:2" x14ac:dyDescent="0.25">
      <c r="A44" t="s">
        <v>62</v>
      </c>
      <c r="B44" s="727">
        <v>219.04529588508331</v>
      </c>
    </row>
    <row r="45" spans="1:2" x14ac:dyDescent="0.25">
      <c r="A45" t="s">
        <v>60</v>
      </c>
      <c r="B45" s="727">
        <v>213.23028649786787</v>
      </c>
    </row>
    <row r="46" spans="1:2" x14ac:dyDescent="0.25">
      <c r="A46" t="s">
        <v>247</v>
      </c>
      <c r="B46" s="727">
        <v>200</v>
      </c>
    </row>
    <row r="47" spans="1:2" x14ac:dyDescent="0.25">
      <c r="A47" t="s">
        <v>279</v>
      </c>
      <c r="B47" s="727">
        <v>167.99924352965738</v>
      </c>
    </row>
    <row r="48" spans="1:2" x14ac:dyDescent="0.25">
      <c r="A48" t="s">
        <v>558</v>
      </c>
      <c r="B48" s="727">
        <v>163.26000000000002</v>
      </c>
    </row>
    <row r="49" spans="1:2" x14ac:dyDescent="0.25">
      <c r="A49" t="s">
        <v>242</v>
      </c>
      <c r="B49" s="727">
        <v>163.26000000000002</v>
      </c>
    </row>
    <row r="50" spans="1:2" x14ac:dyDescent="0.25">
      <c r="A50" t="s">
        <v>524</v>
      </c>
      <c r="B50" s="727">
        <v>160.34285334121478</v>
      </c>
    </row>
    <row r="51" spans="1:2" x14ac:dyDescent="0.25">
      <c r="A51" t="s">
        <v>66</v>
      </c>
      <c r="B51" s="727">
        <v>137.22823400920109</v>
      </c>
    </row>
    <row r="52" spans="1:2" x14ac:dyDescent="0.25">
      <c r="A52" t="s">
        <v>68</v>
      </c>
      <c r="B52" s="727">
        <v>130.03858335631358</v>
      </c>
    </row>
    <row r="53" spans="1:2" x14ac:dyDescent="0.25">
      <c r="A53" t="s">
        <v>100</v>
      </c>
      <c r="B53" s="727">
        <v>121.04702388231358</v>
      </c>
    </row>
    <row r="54" spans="1:2" x14ac:dyDescent="0.25">
      <c r="A54" t="s">
        <v>104</v>
      </c>
      <c r="B54" s="727">
        <v>113.7306380602368</v>
      </c>
    </row>
    <row r="55" spans="1:2" x14ac:dyDescent="0.25">
      <c r="A55" t="s">
        <v>102</v>
      </c>
      <c r="B55" s="727">
        <v>104.77387230589184</v>
      </c>
    </row>
    <row r="56" spans="1:2" x14ac:dyDescent="0.25">
      <c r="A56" t="s">
        <v>34</v>
      </c>
      <c r="B56" s="727">
        <v>104.60678802040125</v>
      </c>
    </row>
    <row r="57" spans="1:2" x14ac:dyDescent="0.25">
      <c r="A57" t="s">
        <v>588</v>
      </c>
      <c r="B57" s="727">
        <v>94</v>
      </c>
    </row>
    <row r="58" spans="1:2" x14ac:dyDescent="0.25">
      <c r="A58" t="s">
        <v>64</v>
      </c>
      <c r="B58" s="727">
        <v>92.549997692947343</v>
      </c>
    </row>
    <row r="59" spans="1:2" x14ac:dyDescent="0.25">
      <c r="A59" t="s">
        <v>32</v>
      </c>
      <c r="B59" s="727">
        <v>85.42920470401863</v>
      </c>
    </row>
    <row r="60" spans="1:2" x14ac:dyDescent="0.25">
      <c r="A60" t="s">
        <v>181</v>
      </c>
      <c r="B60" s="727">
        <v>68.902857645493654</v>
      </c>
    </row>
    <row r="61" spans="1:2" x14ac:dyDescent="0.25">
      <c r="A61" t="s">
        <v>106</v>
      </c>
      <c r="B61" s="727">
        <v>68.006941837941838</v>
      </c>
    </row>
    <row r="62" spans="1:2" x14ac:dyDescent="0.25">
      <c r="A62" t="s">
        <v>218</v>
      </c>
      <c r="B62" s="727">
        <v>50.658305061001599</v>
      </c>
    </row>
    <row r="63" spans="1:2" x14ac:dyDescent="0.25">
      <c r="A63" t="s">
        <v>89</v>
      </c>
      <c r="B63" s="727">
        <v>31.025229208500612</v>
      </c>
    </row>
    <row r="64" spans="1:2" x14ac:dyDescent="0.25">
      <c r="A64" t="s">
        <v>416</v>
      </c>
      <c r="B64" s="727">
        <v>24.176674312943806</v>
      </c>
    </row>
    <row r="65" spans="1:2" x14ac:dyDescent="0.25">
      <c r="A65" t="s">
        <v>415</v>
      </c>
      <c r="B65" s="727">
        <v>24.001758370576603</v>
      </c>
    </row>
    <row r="66" spans="1:2" x14ac:dyDescent="0.25">
      <c r="A66" t="s">
        <v>220</v>
      </c>
      <c r="B66" s="727">
        <v>20.591226705629037</v>
      </c>
    </row>
    <row r="67" spans="1:2" x14ac:dyDescent="0.25">
      <c r="A67" t="s">
        <v>691</v>
      </c>
      <c r="B67" s="727">
        <v>19.999335150588394</v>
      </c>
    </row>
    <row r="68" spans="1:2" x14ac:dyDescent="0.25">
      <c r="A68" t="s">
        <v>262</v>
      </c>
      <c r="B68" s="727">
        <v>15.833015181262924</v>
      </c>
    </row>
    <row r="69" spans="1:2" x14ac:dyDescent="0.25">
      <c r="A69" t="s">
        <v>434</v>
      </c>
      <c r="B69" s="727">
        <v>15.312050873513124</v>
      </c>
    </row>
    <row r="70" spans="1:2" x14ac:dyDescent="0.25">
      <c r="A70" t="s">
        <v>108</v>
      </c>
      <c r="B70" s="727">
        <v>14.286384669310328</v>
      </c>
    </row>
    <row r="71" spans="1:2" x14ac:dyDescent="0.25">
      <c r="A71" t="s">
        <v>405</v>
      </c>
      <c r="B71" s="727">
        <v>13.49970859146373</v>
      </c>
    </row>
    <row r="72" spans="1:2" x14ac:dyDescent="0.25">
      <c r="A72" t="s">
        <v>150</v>
      </c>
      <c r="B72" s="727">
        <v>11.999840883889989</v>
      </c>
    </row>
    <row r="73" spans="1:2" x14ac:dyDescent="0.25">
      <c r="A73" t="s">
        <v>122</v>
      </c>
      <c r="B73" s="727">
        <v>9.4114355220478814</v>
      </c>
    </row>
    <row r="74" spans="1:2" x14ac:dyDescent="0.25">
      <c r="A74" t="s">
        <v>244</v>
      </c>
      <c r="B74" s="727">
        <v>9.1999999999999993</v>
      </c>
    </row>
    <row r="75" spans="1:2" x14ac:dyDescent="0.25">
      <c r="A75" t="s">
        <v>87</v>
      </c>
      <c r="B75" s="727">
        <v>8.8715807611976096</v>
      </c>
    </row>
    <row r="76" spans="1:2" x14ac:dyDescent="0.25">
      <c r="A76" t="s">
        <v>458</v>
      </c>
      <c r="B76" s="727">
        <v>7.5960064990198379</v>
      </c>
    </row>
    <row r="77" spans="1:2" x14ac:dyDescent="0.25">
      <c r="A77" t="s">
        <v>185</v>
      </c>
      <c r="B77" s="727">
        <v>6.5215892072160484</v>
      </c>
    </row>
    <row r="78" spans="1:2" x14ac:dyDescent="0.25">
      <c r="A78" t="s">
        <v>183</v>
      </c>
      <c r="B78" s="727">
        <v>6.1966596664064486</v>
      </c>
    </row>
    <row r="79" spans="1:2" x14ac:dyDescent="0.25">
      <c r="A79" t="s">
        <v>407</v>
      </c>
      <c r="B79" s="727">
        <v>4.9498931502033665</v>
      </c>
    </row>
    <row r="80" spans="1:2" x14ac:dyDescent="0.25">
      <c r="A80" t="s">
        <v>36</v>
      </c>
      <c r="B80" s="727">
        <v>4.6526467171134698</v>
      </c>
    </row>
    <row r="81" spans="1:2" x14ac:dyDescent="0.25">
      <c r="A81" t="s">
        <v>418</v>
      </c>
      <c r="B81" s="727">
        <v>1.2000879185288302</v>
      </c>
    </row>
    <row r="82" spans="1:2" x14ac:dyDescent="0.25">
      <c r="A82" t="s">
        <v>120</v>
      </c>
      <c r="B82" s="727">
        <v>0.8998930235798982</v>
      </c>
    </row>
  </sheetData>
  <autoFilter ref="A1:B1" xr:uid="{F194583D-9BF2-4DAB-9D4E-B737C2981C0D}">
    <sortState xmlns:xlrd2="http://schemas.microsoft.com/office/spreadsheetml/2017/richdata2" ref="A2:B83">
      <sortCondition descending="1" ref="B1"/>
    </sortState>
  </autoFilter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0573-A382-48C0-A4C0-B92F04A59541}">
  <sheetPr codeName="Hoja81"/>
  <dimension ref="A2:M51"/>
  <sheetViews>
    <sheetView view="pageBreakPreview" topLeftCell="A36" zoomScale="70" zoomScaleNormal="100" zoomScaleSheetLayoutView="70" workbookViewId="0">
      <selection activeCell="G40" sqref="G40:G44"/>
    </sheetView>
  </sheetViews>
  <sheetFormatPr baseColWidth="10" defaultColWidth="11.5703125" defaultRowHeight="13.5" x14ac:dyDescent="0.25"/>
  <cols>
    <col min="1" max="2" width="11.5703125" style="1"/>
    <col min="3" max="3" width="67.42578125" style="1" bestFit="1" customWidth="1"/>
    <col min="4" max="5" width="11.5703125" style="1"/>
    <col min="6" max="6" width="12.85546875" style="107" bestFit="1" customWidth="1"/>
    <col min="7" max="7" width="14.85546875" style="1" customWidth="1"/>
    <col min="8" max="8" width="12.5703125" style="38" bestFit="1" customWidth="1"/>
    <col min="9" max="9" width="14.42578125" style="38" bestFit="1" customWidth="1"/>
    <col min="10" max="10" width="13.42578125" style="1" bestFit="1" customWidth="1"/>
    <col min="11" max="11" width="16.28515625" style="139" bestFit="1" customWidth="1"/>
    <col min="12" max="12" width="11.5703125" style="139"/>
    <col min="13" max="16384" width="11.5703125" style="1"/>
  </cols>
  <sheetData>
    <row r="2" spans="1:13" s="42" customFormat="1" ht="26.25" customHeight="1" x14ac:dyDescent="0.25">
      <c r="B2" s="1743" t="s">
        <v>390</v>
      </c>
      <c r="C2" s="1743"/>
      <c r="D2" s="1743"/>
      <c r="E2" s="1743"/>
      <c r="F2" s="1743"/>
      <c r="G2" s="1743"/>
      <c r="H2" s="1743"/>
      <c r="I2" s="1743"/>
      <c r="J2" s="89"/>
      <c r="K2" s="195"/>
      <c r="L2" s="195"/>
      <c r="M2" s="89"/>
    </row>
    <row r="4" spans="1:13" s="180" customFormat="1" ht="25.5" x14ac:dyDescent="0.25">
      <c r="B4" s="117" t="s">
        <v>0</v>
      </c>
      <c r="C4" s="117" t="s">
        <v>1</v>
      </c>
      <c r="D4" s="117" t="s">
        <v>2</v>
      </c>
      <c r="E4" s="117" t="s">
        <v>3</v>
      </c>
      <c r="F4" s="183" t="s">
        <v>755</v>
      </c>
      <c r="G4" s="149" t="s">
        <v>747</v>
      </c>
      <c r="H4" s="374" t="s">
        <v>771</v>
      </c>
      <c r="I4" s="374" t="s">
        <v>772</v>
      </c>
      <c r="J4" s="121" t="s">
        <v>3</v>
      </c>
      <c r="K4" s="486">
        <v>0.33450000000000002</v>
      </c>
      <c r="L4" s="486"/>
    </row>
    <row r="5" spans="1:13" s="42" customFormat="1" ht="16.5" x14ac:dyDescent="0.25">
      <c r="A5" s="42" t="s">
        <v>495</v>
      </c>
      <c r="B5" s="70" t="s">
        <v>93</v>
      </c>
      <c r="C5" s="56" t="s">
        <v>94</v>
      </c>
      <c r="D5" s="71">
        <v>7.9176150000000015E-2</v>
      </c>
      <c r="E5" s="72">
        <f>(D5*100)/$D$25</f>
        <v>23.670000000000012</v>
      </c>
      <c r="F5" s="495">
        <v>19014</v>
      </c>
      <c r="G5" s="72">
        <f>F5*D5</f>
        <v>1505.4553161000003</v>
      </c>
      <c r="H5" s="70">
        <v>18359.527999999998</v>
      </c>
      <c r="I5" s="70">
        <f t="shared" ref="I5:I23" si="0">H5*D5</f>
        <v>1453.6367428572</v>
      </c>
      <c r="J5" s="540">
        <f>((F5/H5)*100)-100</f>
        <v>3.5647539522802703</v>
      </c>
      <c r="K5" s="487">
        <f>$K$4*E5%</f>
        <v>7.9176150000000042E-2</v>
      </c>
      <c r="L5" s="488"/>
    </row>
    <row r="6" spans="1:13" s="42" customFormat="1" ht="16.5" x14ac:dyDescent="0.25">
      <c r="A6" s="42" t="s">
        <v>495</v>
      </c>
      <c r="B6" s="70" t="s">
        <v>95</v>
      </c>
      <c r="C6" s="56" t="s">
        <v>96</v>
      </c>
      <c r="D6" s="70">
        <v>0.13132470000000002</v>
      </c>
      <c r="E6" s="72">
        <f t="shared" ref="E6:E23" si="1">(D6*100)/$D$25</f>
        <v>39.260000000000012</v>
      </c>
      <c r="F6" s="106">
        <v>16538</v>
      </c>
      <c r="G6" s="72">
        <f t="shared" ref="G6:G23" si="2">F6*D6</f>
        <v>2171.8478886000003</v>
      </c>
      <c r="H6" s="70">
        <v>15734</v>
      </c>
      <c r="I6" s="70">
        <f t="shared" si="0"/>
        <v>2066.2628298000004</v>
      </c>
      <c r="J6" s="540">
        <f t="shared" ref="J6:J23" si="3">((F6/H6)*100)-100</f>
        <v>5.109952968094575</v>
      </c>
      <c r="K6" s="487">
        <f t="shared" ref="K6:K23" si="4">$K$4*E6%</f>
        <v>0.13132470000000004</v>
      </c>
      <c r="L6" s="488"/>
    </row>
    <row r="7" spans="1:13" s="42" customFormat="1" ht="16.5" x14ac:dyDescent="0.25">
      <c r="A7" s="42" t="s">
        <v>779</v>
      </c>
      <c r="B7" s="70" t="s">
        <v>4</v>
      </c>
      <c r="C7" s="56" t="s">
        <v>53</v>
      </c>
      <c r="D7" s="70">
        <v>6.7301400000000025E-2</v>
      </c>
      <c r="E7" s="72">
        <f t="shared" si="1"/>
        <v>20.120000000000012</v>
      </c>
      <c r="F7" s="184">
        <v>7</v>
      </c>
      <c r="G7" s="72">
        <f t="shared" si="2"/>
        <v>0.47110980000000019</v>
      </c>
      <c r="H7" s="70">
        <v>7</v>
      </c>
      <c r="I7" s="70">
        <f t="shared" si="0"/>
        <v>0.47110980000000019</v>
      </c>
      <c r="J7" s="536">
        <f t="shared" si="3"/>
        <v>0</v>
      </c>
      <c r="K7" s="487">
        <f t="shared" si="4"/>
        <v>6.7301400000000053E-2</v>
      </c>
      <c r="L7" s="488"/>
    </row>
    <row r="8" spans="1:13" s="42" customFormat="1" ht="16.5" x14ac:dyDescent="0.25">
      <c r="A8" s="42" t="s">
        <v>495</v>
      </c>
      <c r="B8" s="70" t="s">
        <v>97</v>
      </c>
      <c r="C8" s="56" t="s">
        <v>98</v>
      </c>
      <c r="D8" s="70">
        <v>2.6392049999999997E-2</v>
      </c>
      <c r="E8" s="72">
        <f t="shared" si="1"/>
        <v>7.8900000000000006</v>
      </c>
      <c r="F8" s="184">
        <v>310</v>
      </c>
      <c r="G8" s="72">
        <f t="shared" si="2"/>
        <v>8.181535499999999</v>
      </c>
      <c r="H8" s="70">
        <v>310</v>
      </c>
      <c r="I8" s="70">
        <f t="shared" si="0"/>
        <v>8.181535499999999</v>
      </c>
      <c r="J8" s="536">
        <f t="shared" si="3"/>
        <v>0</v>
      </c>
      <c r="K8" s="817">
        <f t="shared" si="4"/>
        <v>2.6392050000000007E-2</v>
      </c>
      <c r="L8" s="488"/>
    </row>
    <row r="9" spans="1:13" s="42" customFormat="1" ht="16.5" x14ac:dyDescent="0.3">
      <c r="A9" s="42" t="s">
        <v>496</v>
      </c>
      <c r="B9" s="70" t="s">
        <v>9</v>
      </c>
      <c r="C9" s="74" t="s">
        <v>10</v>
      </c>
      <c r="D9" s="70">
        <v>9.2322000000000012E-3</v>
      </c>
      <c r="E9" s="72">
        <f t="shared" si="1"/>
        <v>2.7600000000000011</v>
      </c>
      <c r="F9" s="96">
        <v>7515</v>
      </c>
      <c r="G9" s="72">
        <f t="shared" si="2"/>
        <v>69.37998300000001</v>
      </c>
      <c r="H9" s="106">
        <v>6864.78</v>
      </c>
      <c r="I9" s="70">
        <f t="shared" si="0"/>
        <v>63.377021916000004</v>
      </c>
      <c r="J9" s="540">
        <f t="shared" si="3"/>
        <v>9.4718257540664155</v>
      </c>
      <c r="K9" s="487">
        <f t="shared" si="4"/>
        <v>9.2322000000000046E-3</v>
      </c>
      <c r="L9" s="488"/>
    </row>
    <row r="10" spans="1:13" s="42" customFormat="1" ht="16.5" x14ac:dyDescent="0.3">
      <c r="A10" s="42" t="s">
        <v>496</v>
      </c>
      <c r="B10" s="70" t="s">
        <v>11</v>
      </c>
      <c r="C10" s="74" t="s">
        <v>12</v>
      </c>
      <c r="D10" s="70">
        <v>3.9471000000000011E-3</v>
      </c>
      <c r="E10" s="72">
        <f t="shared" si="1"/>
        <v>1.1800000000000006</v>
      </c>
      <c r="F10" s="184">
        <v>15950</v>
      </c>
      <c r="G10" s="72">
        <f t="shared" si="2"/>
        <v>62.956245000000017</v>
      </c>
      <c r="H10" s="106">
        <v>17667.560000000001</v>
      </c>
      <c r="I10" s="70">
        <f t="shared" si="0"/>
        <v>69.735626076000031</v>
      </c>
      <c r="J10" s="641">
        <f t="shared" si="3"/>
        <v>-9.7215461557793077</v>
      </c>
      <c r="K10" s="487">
        <f t="shared" si="4"/>
        <v>3.9471000000000029E-3</v>
      </c>
      <c r="L10" s="488"/>
    </row>
    <row r="11" spans="1:13" s="42" customFormat="1" ht="16.5" x14ac:dyDescent="0.25">
      <c r="A11" s="42" t="s">
        <v>496</v>
      </c>
      <c r="B11" s="70" t="s">
        <v>17</v>
      </c>
      <c r="C11" s="56" t="s">
        <v>18</v>
      </c>
      <c r="D11" s="71">
        <v>3.1777500000000009E-3</v>
      </c>
      <c r="E11" s="72">
        <f t="shared" si="1"/>
        <v>0.95000000000000051</v>
      </c>
      <c r="F11" s="274">
        <v>878</v>
      </c>
      <c r="G11" s="72">
        <f t="shared" si="2"/>
        <v>2.7900645000000006</v>
      </c>
      <c r="H11" s="106">
        <v>878</v>
      </c>
      <c r="I11" s="70">
        <f t="shared" si="0"/>
        <v>2.7900645000000006</v>
      </c>
      <c r="J11" s="536">
        <f t="shared" si="3"/>
        <v>0</v>
      </c>
      <c r="K11" s="487">
        <f t="shared" si="4"/>
        <v>3.1777500000000018E-3</v>
      </c>
      <c r="L11" s="488"/>
    </row>
    <row r="12" spans="1:13" s="42" customFormat="1" ht="16.5" x14ac:dyDescent="0.25">
      <c r="A12" s="42" t="s">
        <v>496</v>
      </c>
      <c r="B12" s="70" t="s">
        <v>13</v>
      </c>
      <c r="C12" s="56" t="s">
        <v>14</v>
      </c>
      <c r="D12" s="70">
        <v>2.5756500000000001E-3</v>
      </c>
      <c r="E12" s="72">
        <f t="shared" si="1"/>
        <v>0.77000000000000013</v>
      </c>
      <c r="F12" s="32">
        <v>36102</v>
      </c>
      <c r="G12" s="72">
        <f t="shared" si="2"/>
        <v>92.986116300000006</v>
      </c>
      <c r="H12" s="70">
        <v>36725.85</v>
      </c>
      <c r="I12" s="70">
        <f t="shared" si="0"/>
        <v>94.592935552499995</v>
      </c>
      <c r="J12" s="641">
        <f t="shared" si="3"/>
        <v>-1.6986672874827917</v>
      </c>
      <c r="K12" s="487">
        <f t="shared" si="4"/>
        <v>2.5756500000000005E-3</v>
      </c>
      <c r="L12" s="488"/>
    </row>
    <row r="13" spans="1:13" s="42" customFormat="1" ht="16.5" x14ac:dyDescent="0.25">
      <c r="A13" s="42" t="s">
        <v>496</v>
      </c>
      <c r="B13" s="70" t="s">
        <v>78</v>
      </c>
      <c r="C13" s="56" t="s">
        <v>79</v>
      </c>
      <c r="D13" s="71">
        <v>2.4084000000000002E-3</v>
      </c>
      <c r="E13" s="72">
        <f t="shared" si="1"/>
        <v>0.72000000000000031</v>
      </c>
      <c r="F13" s="70">
        <v>44694</v>
      </c>
      <c r="G13" s="72">
        <f t="shared" si="2"/>
        <v>107.64102960000001</v>
      </c>
      <c r="H13" s="70">
        <v>69317</v>
      </c>
      <c r="I13" s="70">
        <f t="shared" si="0"/>
        <v>166.94306280000001</v>
      </c>
      <c r="J13" s="641">
        <f t="shared" si="3"/>
        <v>-35.522310544310926</v>
      </c>
      <c r="K13" s="487">
        <f t="shared" si="4"/>
        <v>2.4084000000000011E-3</v>
      </c>
      <c r="L13" s="488"/>
    </row>
    <row r="14" spans="1:13" s="42" customFormat="1" ht="16.5" x14ac:dyDescent="0.25">
      <c r="A14" s="42" t="s">
        <v>496</v>
      </c>
      <c r="B14" s="70" t="s">
        <v>99</v>
      </c>
      <c r="C14" s="56" t="s">
        <v>100</v>
      </c>
      <c r="D14" s="70">
        <v>1.7728500000000001E-3</v>
      </c>
      <c r="E14" s="72">
        <f t="shared" si="1"/>
        <v>0.53000000000000014</v>
      </c>
      <c r="F14" s="72">
        <v>23256.720000000001</v>
      </c>
      <c r="G14" s="72">
        <f t="shared" si="2"/>
        <v>41.230676052000007</v>
      </c>
      <c r="H14" s="70">
        <v>21534</v>
      </c>
      <c r="I14" s="70">
        <f t="shared" si="0"/>
        <v>38.1765519</v>
      </c>
      <c r="J14" s="540">
        <f t="shared" si="3"/>
        <v>8</v>
      </c>
      <c r="K14" s="487">
        <f t="shared" si="4"/>
        <v>1.7728500000000007E-3</v>
      </c>
      <c r="L14" s="488"/>
    </row>
    <row r="15" spans="1:13" s="42" customFormat="1" ht="16.5" x14ac:dyDescent="0.25">
      <c r="A15" s="42" t="s">
        <v>496</v>
      </c>
      <c r="B15" s="70" t="s">
        <v>80</v>
      </c>
      <c r="C15" s="56" t="s">
        <v>81</v>
      </c>
      <c r="D15" s="70">
        <v>1.3045500000000005E-3</v>
      </c>
      <c r="E15" s="72">
        <f t="shared" si="1"/>
        <v>0.39000000000000024</v>
      </c>
      <c r="F15" s="32">
        <v>29700</v>
      </c>
      <c r="G15" s="72">
        <f t="shared" si="2"/>
        <v>38.745135000000012</v>
      </c>
      <c r="H15" s="106">
        <v>21400</v>
      </c>
      <c r="I15" s="70">
        <f t="shared" si="0"/>
        <v>27.917370000000009</v>
      </c>
      <c r="J15" s="540">
        <f t="shared" si="3"/>
        <v>38.785046728971963</v>
      </c>
      <c r="K15" s="487">
        <f t="shared" si="4"/>
        <v>1.3045500000000009E-3</v>
      </c>
      <c r="L15" s="488"/>
    </row>
    <row r="16" spans="1:13" s="42" customFormat="1" ht="16.5" x14ac:dyDescent="0.25">
      <c r="A16" s="42" t="s">
        <v>496</v>
      </c>
      <c r="B16" s="70" t="s">
        <v>25</v>
      </c>
      <c r="C16" s="56" t="s">
        <v>26</v>
      </c>
      <c r="D16" s="70">
        <v>1.6390499999999998E-3</v>
      </c>
      <c r="E16" s="72">
        <f t="shared" si="1"/>
        <v>0.49000000000000005</v>
      </c>
      <c r="F16" s="25">
        <v>68141.279999999999</v>
      </c>
      <c r="G16" s="72">
        <f t="shared" si="2"/>
        <v>111.68696498399999</v>
      </c>
      <c r="H16" s="70">
        <v>66982.33</v>
      </c>
      <c r="I16" s="70">
        <f t="shared" si="0"/>
        <v>109.78738798649998</v>
      </c>
      <c r="J16" s="540">
        <f t="shared" si="3"/>
        <v>1.7302324359274905</v>
      </c>
      <c r="K16" s="487">
        <f t="shared" si="4"/>
        <v>1.6390500000000004E-3</v>
      </c>
      <c r="L16" s="488"/>
    </row>
    <row r="17" spans="1:12" s="42" customFormat="1" ht="16.5" x14ac:dyDescent="0.3">
      <c r="A17" s="42" t="s">
        <v>496</v>
      </c>
      <c r="B17" s="70" t="s">
        <v>101</v>
      </c>
      <c r="C17" s="74" t="s">
        <v>102</v>
      </c>
      <c r="D17" s="70">
        <v>1.3714500000000002E-3</v>
      </c>
      <c r="E17" s="72">
        <f t="shared" si="1"/>
        <v>0.41000000000000014</v>
      </c>
      <c r="F17" s="72">
        <v>74299</v>
      </c>
      <c r="G17" s="72">
        <f t="shared" si="2"/>
        <v>101.89736355000001</v>
      </c>
      <c r="H17" s="70">
        <v>75995.14</v>
      </c>
      <c r="I17" s="70">
        <f t="shared" si="0"/>
        <v>104.22353475300001</v>
      </c>
      <c r="J17" s="641">
        <f t="shared" si="3"/>
        <v>-2.2319058824024722</v>
      </c>
      <c r="K17" s="487">
        <f t="shared" si="4"/>
        <v>1.3714500000000004E-3</v>
      </c>
      <c r="L17" s="488"/>
    </row>
    <row r="18" spans="1:12" s="42" customFormat="1" ht="16.5" x14ac:dyDescent="0.3">
      <c r="A18" s="42" t="s">
        <v>496</v>
      </c>
      <c r="B18" s="70" t="s">
        <v>103</v>
      </c>
      <c r="C18" s="74" t="s">
        <v>104</v>
      </c>
      <c r="D18" s="70">
        <v>1.0035000000000003E-3</v>
      </c>
      <c r="E18" s="72">
        <f t="shared" si="1"/>
        <v>0.30000000000000016</v>
      </c>
      <c r="F18" s="72">
        <v>10972</v>
      </c>
      <c r="G18" s="72">
        <f t="shared" si="2"/>
        <v>11.010402000000003</v>
      </c>
      <c r="H18" s="70">
        <v>10972.13</v>
      </c>
      <c r="I18" s="70">
        <f t="shared" si="0"/>
        <v>11.010532455000002</v>
      </c>
      <c r="J18" s="641">
        <f t="shared" si="3"/>
        <v>-1.184820085057936E-3</v>
      </c>
      <c r="K18" s="487">
        <f t="shared" si="4"/>
        <v>1.0035000000000005E-3</v>
      </c>
      <c r="L18" s="488"/>
    </row>
    <row r="19" spans="1:12" s="42" customFormat="1" ht="16.5" x14ac:dyDescent="0.25">
      <c r="A19" s="42" t="s">
        <v>496</v>
      </c>
      <c r="B19" s="70" t="s">
        <v>105</v>
      </c>
      <c r="C19" s="56" t="s">
        <v>106</v>
      </c>
      <c r="D19" s="71">
        <v>8.6970000000000005E-4</v>
      </c>
      <c r="E19" s="72">
        <f t="shared" si="1"/>
        <v>0.26000000000000006</v>
      </c>
      <c r="F19" s="72">
        <v>65857</v>
      </c>
      <c r="G19" s="72">
        <f t="shared" si="2"/>
        <v>57.275832900000005</v>
      </c>
      <c r="H19" s="70">
        <v>65857</v>
      </c>
      <c r="I19" s="70">
        <f t="shared" si="0"/>
        <v>57.275832900000005</v>
      </c>
      <c r="J19" s="536">
        <f t="shared" si="3"/>
        <v>0</v>
      </c>
      <c r="K19" s="487">
        <f t="shared" si="4"/>
        <v>8.6970000000000027E-4</v>
      </c>
      <c r="L19" s="488"/>
    </row>
    <row r="20" spans="1:12" s="42" customFormat="1" ht="16.5" x14ac:dyDescent="0.25">
      <c r="A20" s="42" t="s">
        <v>496</v>
      </c>
      <c r="B20" s="70" t="s">
        <v>29</v>
      </c>
      <c r="C20" s="56" t="s">
        <v>30</v>
      </c>
      <c r="D20" s="70">
        <v>5.6865000000000008E-4</v>
      </c>
      <c r="E20" s="72">
        <f t="shared" si="1"/>
        <v>0.17000000000000007</v>
      </c>
      <c r="F20" s="184">
        <v>2500</v>
      </c>
      <c r="G20" s="72">
        <f t="shared" si="2"/>
        <v>1.4216250000000001</v>
      </c>
      <c r="H20" s="106">
        <v>2500</v>
      </c>
      <c r="I20" s="70">
        <f t="shared" si="0"/>
        <v>1.4216250000000001</v>
      </c>
      <c r="J20" s="536">
        <f t="shared" si="3"/>
        <v>0</v>
      </c>
      <c r="K20" s="487">
        <f t="shared" si="4"/>
        <v>5.686500000000003E-4</v>
      </c>
      <c r="L20" s="488"/>
    </row>
    <row r="21" spans="1:12" s="42" customFormat="1" ht="16.5" x14ac:dyDescent="0.25">
      <c r="A21" s="42" t="s">
        <v>496</v>
      </c>
      <c r="B21" s="70" t="s">
        <v>107</v>
      </c>
      <c r="C21" s="56" t="s">
        <v>108</v>
      </c>
      <c r="D21" s="70">
        <v>2.007E-4</v>
      </c>
      <c r="E21" s="72">
        <f t="shared" si="1"/>
        <v>6.0000000000000019E-2</v>
      </c>
      <c r="F21" s="72">
        <v>77000</v>
      </c>
      <c r="G21" s="72">
        <f t="shared" si="2"/>
        <v>15.453899999999999</v>
      </c>
      <c r="H21" s="70">
        <v>65000</v>
      </c>
      <c r="I21" s="70">
        <f t="shared" si="0"/>
        <v>13.045500000000001</v>
      </c>
      <c r="J21" s="540">
        <f t="shared" si="3"/>
        <v>18.461538461538467</v>
      </c>
      <c r="K21" s="487">
        <f t="shared" si="4"/>
        <v>2.0070000000000005E-4</v>
      </c>
      <c r="L21" s="488"/>
    </row>
    <row r="22" spans="1:12" s="42" customFormat="1" ht="16.5" x14ac:dyDescent="0.3">
      <c r="A22" s="42" t="s">
        <v>496</v>
      </c>
      <c r="B22" s="70" t="s">
        <v>33</v>
      </c>
      <c r="C22" s="74" t="s">
        <v>34</v>
      </c>
      <c r="D22" s="70">
        <v>1.6725000000000005E-4</v>
      </c>
      <c r="E22" s="72">
        <f t="shared" si="1"/>
        <v>5.0000000000000024E-2</v>
      </c>
      <c r="F22" s="184">
        <v>26800</v>
      </c>
      <c r="G22" s="72">
        <f t="shared" si="2"/>
        <v>4.4823000000000013</v>
      </c>
      <c r="H22" s="106">
        <v>26800</v>
      </c>
      <c r="I22" s="70">
        <f t="shared" si="0"/>
        <v>4.4823000000000013</v>
      </c>
      <c r="J22" s="536">
        <f t="shared" si="3"/>
        <v>0</v>
      </c>
      <c r="K22" s="487">
        <f t="shared" si="4"/>
        <v>1.6725000000000008E-4</v>
      </c>
      <c r="L22" s="488"/>
    </row>
    <row r="23" spans="1:12" s="42" customFormat="1" ht="16.5" x14ac:dyDescent="0.3">
      <c r="A23" s="42" t="s">
        <v>496</v>
      </c>
      <c r="B23" s="70" t="s">
        <v>31</v>
      </c>
      <c r="C23" s="74" t="s">
        <v>32</v>
      </c>
      <c r="D23" s="70">
        <v>6.6900000000000013E-5</v>
      </c>
      <c r="E23" s="72">
        <f t="shared" si="1"/>
        <v>2.0000000000000011E-2</v>
      </c>
      <c r="F23" s="88">
        <v>121899</v>
      </c>
      <c r="G23" s="72">
        <f t="shared" si="2"/>
        <v>8.1550431000000021</v>
      </c>
      <c r="H23" s="70">
        <v>121899</v>
      </c>
      <c r="I23" s="70">
        <f t="shared" si="0"/>
        <v>8.1550431000000021</v>
      </c>
      <c r="J23" s="536">
        <f t="shared" si="3"/>
        <v>0</v>
      </c>
      <c r="K23" s="487">
        <f t="shared" si="4"/>
        <v>6.690000000000004E-5</v>
      </c>
      <c r="L23" s="488"/>
    </row>
    <row r="24" spans="1:12" s="42" customFormat="1" ht="16.5" hidden="1" x14ac:dyDescent="0.25">
      <c r="F24" s="185"/>
      <c r="H24" s="345"/>
      <c r="I24" s="70">
        <f>(H24*D24)</f>
        <v>0</v>
      </c>
      <c r="J24" s="536"/>
      <c r="K24" s="488"/>
      <c r="L24" s="488"/>
    </row>
    <row r="25" spans="1:12" s="42" customFormat="1" ht="16.5" x14ac:dyDescent="0.25">
      <c r="B25" s="1814"/>
      <c r="C25" s="1815"/>
      <c r="D25" s="104">
        <f>SUM(D5:D23)</f>
        <v>0.33449999999999991</v>
      </c>
      <c r="E25" s="75">
        <f>SUM(E5:E23)</f>
        <v>100.00000000000004</v>
      </c>
      <c r="F25" s="90"/>
      <c r="G25" s="179">
        <f>SUM(G5:G23)</f>
        <v>4413.0685309859991</v>
      </c>
      <c r="H25" s="348"/>
      <c r="I25" s="347">
        <f>SUM(I5:I23)</f>
        <v>4301.4866068962001</v>
      </c>
      <c r="J25" s="837">
        <f>((G25/I25)*100)-100</f>
        <v>2.5940316520086242</v>
      </c>
      <c r="K25" s="488"/>
      <c r="L25" s="488"/>
    </row>
    <row r="27" spans="1:12" ht="25.5" x14ac:dyDescent="0.35">
      <c r="B27" s="1881" t="s">
        <v>50</v>
      </c>
      <c r="C27" s="1882"/>
      <c r="D27" s="91"/>
      <c r="E27" s="91"/>
      <c r="F27" s="186"/>
      <c r="G27" s="91"/>
      <c r="H27" s="838"/>
      <c r="I27" s="838"/>
    </row>
    <row r="28" spans="1:12" x14ac:dyDescent="0.25">
      <c r="B28" s="92" t="s">
        <v>38</v>
      </c>
      <c r="C28" s="93" t="s">
        <v>113</v>
      </c>
      <c r="D28" s="38"/>
      <c r="J28" s="1" t="s">
        <v>85</v>
      </c>
    </row>
    <row r="29" spans="1:12" x14ac:dyDescent="0.25">
      <c r="B29" s="20" t="s">
        <v>39</v>
      </c>
      <c r="C29" s="21" t="s">
        <v>391</v>
      </c>
      <c r="D29" s="38"/>
    </row>
    <row r="30" spans="1:12" x14ac:dyDescent="0.25">
      <c r="B30" s="20" t="s">
        <v>40</v>
      </c>
      <c r="C30" s="21">
        <v>300</v>
      </c>
      <c r="D30" s="38"/>
    </row>
    <row r="31" spans="1:12" x14ac:dyDescent="0.25">
      <c r="B31" s="20" t="s">
        <v>41</v>
      </c>
      <c r="C31" s="21">
        <v>0</v>
      </c>
      <c r="D31" s="38"/>
      <c r="H31" s="38" t="s">
        <v>85</v>
      </c>
    </row>
    <row r="32" spans="1:12" x14ac:dyDescent="0.25">
      <c r="B32" s="20" t="s">
        <v>42</v>
      </c>
      <c r="C32" s="21">
        <v>0.5</v>
      </c>
      <c r="D32" s="38"/>
    </row>
    <row r="33" spans="1:10" x14ac:dyDescent="0.25">
      <c r="B33" s="20" t="s">
        <v>43</v>
      </c>
      <c r="C33" s="21">
        <v>0.5</v>
      </c>
      <c r="D33" s="38"/>
    </row>
    <row r="34" spans="1:10" x14ac:dyDescent="0.25">
      <c r="B34" s="20" t="s">
        <v>44</v>
      </c>
      <c r="C34" s="21">
        <v>7</v>
      </c>
      <c r="D34" s="38"/>
    </row>
    <row r="35" spans="1:10" x14ac:dyDescent="0.25">
      <c r="B35" s="20" t="s">
        <v>45</v>
      </c>
      <c r="C35" s="21">
        <v>3.5</v>
      </c>
      <c r="D35" s="38"/>
    </row>
    <row r="36" spans="1:10" x14ac:dyDescent="0.25">
      <c r="B36" s="20" t="s">
        <v>46</v>
      </c>
      <c r="C36" s="21">
        <f>C35+C34+C33+C32</f>
        <v>11.5</v>
      </c>
      <c r="D36" s="38"/>
    </row>
    <row r="38" spans="1:10" ht="25.5" x14ac:dyDescent="0.35">
      <c r="B38" s="1839" t="s">
        <v>47</v>
      </c>
      <c r="C38" s="1840"/>
      <c r="D38" s="1840"/>
      <c r="E38" s="1840"/>
      <c r="F38" s="1840"/>
      <c r="G38" s="1840"/>
      <c r="H38" s="1840"/>
      <c r="I38" s="1840"/>
    </row>
    <row r="39" spans="1:10" ht="25.5" x14ac:dyDescent="0.25">
      <c r="B39" s="22" t="s">
        <v>0</v>
      </c>
      <c r="C39" s="22" t="s">
        <v>1</v>
      </c>
      <c r="D39" s="102" t="s">
        <v>2</v>
      </c>
      <c r="E39" s="150" t="s">
        <v>755</v>
      </c>
      <c r="F39" s="150" t="s">
        <v>747</v>
      </c>
      <c r="G39" s="2" t="s">
        <v>771</v>
      </c>
      <c r="H39" s="2" t="s">
        <v>772</v>
      </c>
      <c r="I39" s="2" t="s">
        <v>3</v>
      </c>
      <c r="J39" s="38">
        <v>1520</v>
      </c>
    </row>
    <row r="40" spans="1:10" x14ac:dyDescent="0.25">
      <c r="A40" s="1" t="s">
        <v>729</v>
      </c>
      <c r="B40" s="4" t="s">
        <v>198</v>
      </c>
      <c r="C40" s="4" t="s">
        <v>199</v>
      </c>
      <c r="D40" s="286">
        <v>2.8799999999999999E-2</v>
      </c>
      <c r="E40" s="24">
        <v>5087</v>
      </c>
      <c r="F40" s="5">
        <f>E40*D40</f>
        <v>146.50559999999999</v>
      </c>
      <c r="G40" s="24">
        <v>5067.92</v>
      </c>
      <c r="H40" s="24">
        <f>G40*D40</f>
        <v>145.956096</v>
      </c>
      <c r="I40" s="644">
        <f>((E40/G40)*100)-100</f>
        <v>0.37648581666640268</v>
      </c>
      <c r="J40" s="38">
        <f>J39*D40</f>
        <v>43.775999999999996</v>
      </c>
    </row>
    <row r="41" spans="1:10" x14ac:dyDescent="0.25">
      <c r="A41" s="1" t="s">
        <v>729</v>
      </c>
      <c r="B41" s="4" t="s">
        <v>200</v>
      </c>
      <c r="C41" s="4" t="s">
        <v>201</v>
      </c>
      <c r="D41" s="103">
        <v>3.7100000000000001E-2</v>
      </c>
      <c r="E41" s="24">
        <v>65.22</v>
      </c>
      <c r="F41" s="5">
        <f>E41*D41</f>
        <v>2.4196620000000002</v>
      </c>
      <c r="G41" s="24">
        <v>28</v>
      </c>
      <c r="H41" s="24">
        <f>G41*D41</f>
        <v>1.0387999999999999</v>
      </c>
      <c r="I41" s="643">
        <f>((E41/G41)*100)-100</f>
        <v>132.92857142857142</v>
      </c>
      <c r="J41" s="38">
        <f>J39*D41</f>
        <v>56.392000000000003</v>
      </c>
    </row>
    <row r="42" spans="1:10" x14ac:dyDescent="0.25">
      <c r="A42" s="1" t="s">
        <v>729</v>
      </c>
      <c r="B42" s="208" t="s">
        <v>392</v>
      </c>
      <c r="C42" s="226" t="s">
        <v>393</v>
      </c>
      <c r="D42" s="103">
        <v>0.14000000000000001</v>
      </c>
      <c r="E42" s="24">
        <v>945</v>
      </c>
      <c r="F42" s="5">
        <f>E42*D42</f>
        <v>132.30000000000001</v>
      </c>
      <c r="G42" s="24">
        <v>1069</v>
      </c>
      <c r="H42" s="24">
        <f>G42*D42</f>
        <v>149.66000000000003</v>
      </c>
      <c r="I42" s="652">
        <f>((E42/G42)*100)-100</f>
        <v>-11.599625818521986</v>
      </c>
      <c r="J42" s="38">
        <f>J39*D42</f>
        <v>212.8</v>
      </c>
    </row>
    <row r="43" spans="1:10" x14ac:dyDescent="0.25">
      <c r="A43" s="1" t="s">
        <v>729</v>
      </c>
      <c r="B43" s="208" t="s">
        <v>51</v>
      </c>
      <c r="C43" s="226" t="s">
        <v>396</v>
      </c>
      <c r="D43" s="103">
        <v>0.14000000000000001</v>
      </c>
      <c r="E43" s="24">
        <v>1514.58</v>
      </c>
      <c r="F43" s="5">
        <f>E43*D43</f>
        <v>212.0412</v>
      </c>
      <c r="G43" s="24">
        <v>1700.46</v>
      </c>
      <c r="H43" s="24">
        <f>G43*D43</f>
        <v>238.06440000000003</v>
      </c>
      <c r="I43" s="652">
        <f>((E43/G43)*100)-100</f>
        <v>-10.931159803817792</v>
      </c>
      <c r="J43" s="38">
        <f>J39*D43</f>
        <v>212.8</v>
      </c>
    </row>
    <row r="44" spans="1:10" x14ac:dyDescent="0.25">
      <c r="A44" s="1" t="s">
        <v>729</v>
      </c>
      <c r="B44" s="208" t="s">
        <v>394</v>
      </c>
      <c r="C44" s="226" t="s">
        <v>395</v>
      </c>
      <c r="D44" s="103">
        <v>3.125E-2</v>
      </c>
      <c r="E44" s="24">
        <v>1624</v>
      </c>
      <c r="F44" s="5">
        <f>E44*D44</f>
        <v>50.75</v>
      </c>
      <c r="G44" s="24">
        <v>1624</v>
      </c>
      <c r="H44" s="24">
        <f>G44*D44</f>
        <v>50.75</v>
      </c>
      <c r="I44" s="643">
        <f>((E44/G44)*100)-100</f>
        <v>0</v>
      </c>
      <c r="J44" s="38">
        <f>J39*D44</f>
        <v>47.5</v>
      </c>
    </row>
    <row r="45" spans="1:10" ht="16.899999999999999" customHeight="1" x14ac:dyDescent="0.25">
      <c r="B45" s="22"/>
      <c r="C45" s="22" t="s">
        <v>37</v>
      </c>
      <c r="D45" s="102"/>
      <c r="E45" s="23"/>
      <c r="F45" s="280">
        <f>SUM(F40:F44)</f>
        <v>544.01646200000005</v>
      </c>
      <c r="G45" s="283"/>
      <c r="H45" s="23">
        <f>SUM(H40:H44)</f>
        <v>585.46929599999999</v>
      </c>
      <c r="I45" s="803">
        <f>((F45/H45)*100)-100</f>
        <v>-7.0802746246832982</v>
      </c>
    </row>
    <row r="47" spans="1:10" x14ac:dyDescent="0.25">
      <c r="B47" s="1825" t="s">
        <v>397</v>
      </c>
      <c r="C47" s="1825"/>
      <c r="D47" s="1749">
        <f>+G25+F45</f>
        <v>4957.0849929859996</v>
      </c>
      <c r="E47" s="1749"/>
      <c r="F47" s="1749"/>
      <c r="G47" s="1749"/>
      <c r="H47" s="1749"/>
      <c r="I47" s="292"/>
    </row>
    <row r="48" spans="1:10" x14ac:dyDescent="0.25">
      <c r="B48" s="1830" t="s">
        <v>48</v>
      </c>
      <c r="C48" s="1831"/>
      <c r="D48" s="1749">
        <f>+(921.6/1000)*300</f>
        <v>276.48</v>
      </c>
      <c r="E48" s="1749"/>
      <c r="F48" s="1749"/>
      <c r="G48" s="1749"/>
      <c r="H48" s="1749"/>
      <c r="I48" s="839"/>
    </row>
    <row r="49" spans="2:9" x14ac:dyDescent="0.25">
      <c r="B49" s="1830" t="s">
        <v>398</v>
      </c>
      <c r="C49" s="1831"/>
      <c r="D49" s="1749">
        <f>+D48+D47</f>
        <v>5233.5649929859992</v>
      </c>
      <c r="E49" s="1749"/>
      <c r="F49" s="1749"/>
      <c r="G49" s="1749"/>
      <c r="H49" s="1749"/>
      <c r="I49" s="840"/>
    </row>
    <row r="50" spans="2:9" x14ac:dyDescent="0.25">
      <c r="B50" s="1825" t="s">
        <v>49</v>
      </c>
      <c r="C50" s="1825"/>
      <c r="D50" s="1749">
        <f>D49/I51</f>
        <v>5367.7589671651276</v>
      </c>
      <c r="E50" s="1749"/>
      <c r="F50" s="1749"/>
      <c r="G50" s="1749"/>
      <c r="H50" s="1749"/>
      <c r="I50" s="841">
        <v>2.5000000000000001E-2</v>
      </c>
    </row>
    <row r="51" spans="2:9" x14ac:dyDescent="0.25">
      <c r="D51" s="38"/>
      <c r="I51" s="842">
        <f>1-I50</f>
        <v>0.97499999999999998</v>
      </c>
    </row>
  </sheetData>
  <autoFilter ref="A4:K25" xr:uid="{487B0573-A382-48C0-A4C0-B92F04A59541}"/>
  <mergeCells count="12">
    <mergeCell ref="B48:C48"/>
    <mergeCell ref="D48:H48"/>
    <mergeCell ref="B49:C49"/>
    <mergeCell ref="D49:H49"/>
    <mergeCell ref="B50:C50"/>
    <mergeCell ref="D50:H50"/>
    <mergeCell ref="B2:I2"/>
    <mergeCell ref="B25:C25"/>
    <mergeCell ref="B27:C27"/>
    <mergeCell ref="B38:I38"/>
    <mergeCell ref="B47:C47"/>
    <mergeCell ref="D47:H47"/>
  </mergeCells>
  <pageMargins left="0.7" right="0.7" top="0.75" bottom="0.75" header="0.3" footer="0.3"/>
  <pageSetup scale="41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20F8-0410-4723-A9EA-FED426186D8D}">
  <sheetPr codeName="Hoja82"/>
  <dimension ref="B2:L55"/>
  <sheetViews>
    <sheetView view="pageBreakPreview" topLeftCell="A30" zoomScale="70" zoomScaleNormal="100" zoomScaleSheetLayoutView="70" workbookViewId="0">
      <selection activeCell="F35" sqref="F35"/>
    </sheetView>
  </sheetViews>
  <sheetFormatPr baseColWidth="10" defaultColWidth="11.5703125" defaultRowHeight="13.5" x14ac:dyDescent="0.25"/>
  <cols>
    <col min="1" max="2" width="11.5703125" style="1"/>
    <col min="3" max="3" width="61.85546875" style="1" customWidth="1"/>
    <col min="4" max="5" width="11.5703125" style="1"/>
    <col min="6" max="6" width="12.85546875" style="107" bestFit="1" customWidth="1"/>
    <col min="7" max="7" width="14.5703125" style="1" bestFit="1" customWidth="1"/>
    <col min="8" max="8" width="12.5703125" style="1" bestFit="1" customWidth="1"/>
    <col min="9" max="9" width="14.42578125" style="1" bestFit="1" customWidth="1"/>
    <col min="10" max="10" width="13.42578125" style="1" bestFit="1" customWidth="1"/>
    <col min="11" max="11" width="11.5703125" style="139"/>
    <col min="12" max="16384" width="11.5703125" style="1"/>
  </cols>
  <sheetData>
    <row r="2" spans="2:12" s="42" customFormat="1" ht="26.25" customHeight="1" x14ac:dyDescent="0.25">
      <c r="B2" s="1743" t="s">
        <v>624</v>
      </c>
      <c r="C2" s="1743"/>
      <c r="D2" s="1743"/>
      <c r="E2" s="1743"/>
      <c r="F2" s="1743"/>
      <c r="G2" s="1743"/>
      <c r="H2" s="1743"/>
      <c r="I2" s="1743"/>
      <c r="J2" s="89"/>
      <c r="K2" s="195"/>
      <c r="L2" s="89"/>
    </row>
    <row r="4" spans="2:12" s="180" customFormat="1" ht="25.5" x14ac:dyDescent="0.25">
      <c r="B4" s="117" t="s">
        <v>0</v>
      </c>
      <c r="C4" s="117" t="s">
        <v>1</v>
      </c>
      <c r="D4" s="117" t="s">
        <v>2</v>
      </c>
      <c r="E4" s="117" t="s">
        <v>3</v>
      </c>
      <c r="F4" s="183" t="s">
        <v>632</v>
      </c>
      <c r="G4" s="149" t="s">
        <v>627</v>
      </c>
      <c r="H4" s="118" t="s">
        <v>528</v>
      </c>
      <c r="I4" s="118" t="s">
        <v>512</v>
      </c>
      <c r="J4" s="121" t="s">
        <v>3</v>
      </c>
      <c r="K4" s="486">
        <v>0.495</v>
      </c>
    </row>
    <row r="5" spans="2:12" s="42" customFormat="1" ht="16.5" x14ac:dyDescent="0.25">
      <c r="B5" s="6" t="s">
        <v>6</v>
      </c>
      <c r="C5" s="6" t="s">
        <v>77</v>
      </c>
      <c r="D5" s="189">
        <v>0.17522040661219834</v>
      </c>
      <c r="E5" s="72">
        <f t="shared" ref="E5:E25" si="0">(D5*100)/$D$27</f>
        <v>35.398061941858252</v>
      </c>
      <c r="F5" s="72">
        <v>7012.5</v>
      </c>
      <c r="G5" s="270">
        <f>F5*D5</f>
        <v>1228.7331013680409</v>
      </c>
      <c r="H5" s="39"/>
      <c r="I5" s="73"/>
      <c r="J5" s="536"/>
      <c r="K5" s="487">
        <f>$K$4*E5%</f>
        <v>0.17522040661219834</v>
      </c>
    </row>
    <row r="6" spans="2:12" s="42" customFormat="1" ht="16.5" x14ac:dyDescent="0.25">
      <c r="B6" s="6" t="s">
        <v>4</v>
      </c>
      <c r="C6" s="6" t="s">
        <v>53</v>
      </c>
      <c r="D6" s="190">
        <v>9.7121913657409728E-2</v>
      </c>
      <c r="E6" s="72">
        <f t="shared" si="0"/>
        <v>19.62058861765853</v>
      </c>
      <c r="F6" s="72">
        <v>7</v>
      </c>
      <c r="G6" s="270">
        <f t="shared" ref="G6:G25" si="1">F6*D6</f>
        <v>0.67985339560186808</v>
      </c>
      <c r="H6" s="88"/>
      <c r="I6" s="73"/>
      <c r="J6" s="536"/>
      <c r="K6" s="487">
        <f t="shared" ref="K6:K25" si="2">$K$4*E6%</f>
        <v>9.7121913657409728E-2</v>
      </c>
    </row>
    <row r="7" spans="2:12" s="42" customFormat="1" ht="16.5" x14ac:dyDescent="0.25">
      <c r="B7" s="6" t="s">
        <v>95</v>
      </c>
      <c r="C7" s="6" t="s">
        <v>96</v>
      </c>
      <c r="D7" s="190">
        <v>8.8360150804524112E-2</v>
      </c>
      <c r="E7" s="72">
        <f t="shared" si="0"/>
        <v>17.850535516065477</v>
      </c>
      <c r="F7" s="72">
        <v>15043</v>
      </c>
      <c r="G7" s="270">
        <f t="shared" si="1"/>
        <v>1329.2017485524561</v>
      </c>
      <c r="H7" s="95"/>
      <c r="I7" s="73"/>
      <c r="J7" s="536"/>
      <c r="K7" s="487">
        <f t="shared" si="2"/>
        <v>8.8360150804524112E-2</v>
      </c>
    </row>
    <row r="8" spans="2:12" s="42" customFormat="1" ht="16.5" x14ac:dyDescent="0.25">
      <c r="B8" s="6" t="s">
        <v>8</v>
      </c>
      <c r="C8" s="6" t="s">
        <v>56</v>
      </c>
      <c r="D8" s="190">
        <v>3.5443063291898752E-2</v>
      </c>
      <c r="E8" s="72">
        <f t="shared" si="0"/>
        <v>7.1602148064441922</v>
      </c>
      <c r="F8" s="72">
        <v>1500</v>
      </c>
      <c r="G8" s="270">
        <f t="shared" si="1"/>
        <v>53.164594937848129</v>
      </c>
      <c r="H8" s="95"/>
      <c r="I8" s="73"/>
      <c r="J8" s="536"/>
      <c r="K8" s="487">
        <f t="shared" si="2"/>
        <v>3.5443063291898752E-2</v>
      </c>
    </row>
    <row r="9" spans="2:12" s="42" customFormat="1" ht="16.5" x14ac:dyDescent="0.25">
      <c r="B9" s="6" t="s">
        <v>9</v>
      </c>
      <c r="C9" s="6" t="s">
        <v>10</v>
      </c>
      <c r="D9" s="189">
        <v>2.19786593597808E-2</v>
      </c>
      <c r="E9" s="72">
        <f t="shared" si="0"/>
        <v>4.4401332039961217</v>
      </c>
      <c r="F9" s="184">
        <v>6316.85</v>
      </c>
      <c r="G9" s="270">
        <f t="shared" si="1"/>
        <v>138.83589437683136</v>
      </c>
      <c r="H9" s="95"/>
      <c r="I9" s="73"/>
      <c r="J9" s="536"/>
      <c r="K9" s="487">
        <f t="shared" si="2"/>
        <v>2.1978659359780803E-2</v>
      </c>
    </row>
    <row r="10" spans="2:12" s="42" customFormat="1" ht="16.5" x14ac:dyDescent="0.25">
      <c r="B10" s="6" t="s">
        <v>498</v>
      </c>
      <c r="C10" s="6" t="s">
        <v>499</v>
      </c>
      <c r="D10" s="190">
        <v>2.0592617778533349E-2</v>
      </c>
      <c r="E10" s="72">
        <f t="shared" si="0"/>
        <v>4.160124803744111</v>
      </c>
      <c r="F10" s="375">
        <v>3160</v>
      </c>
      <c r="G10" s="270">
        <f t="shared" si="1"/>
        <v>65.072672180165384</v>
      </c>
      <c r="H10" s="88"/>
      <c r="I10" s="73"/>
      <c r="J10" s="536"/>
      <c r="K10" s="487">
        <f t="shared" si="2"/>
        <v>2.0592617778533349E-2</v>
      </c>
    </row>
    <row r="11" spans="2:12" s="42" customFormat="1" ht="16.5" x14ac:dyDescent="0.25">
      <c r="B11" s="6" t="s">
        <v>7</v>
      </c>
      <c r="C11" s="6" t="s">
        <v>58</v>
      </c>
      <c r="D11" s="189">
        <v>1.4206926207786234E-2</v>
      </c>
      <c r="E11" s="72">
        <f t="shared" si="0"/>
        <v>2.8700861025830777</v>
      </c>
      <c r="F11" s="72">
        <v>7022</v>
      </c>
      <c r="G11" s="270">
        <f t="shared" si="1"/>
        <v>99.761035831074935</v>
      </c>
      <c r="H11" s="88"/>
      <c r="I11" s="73"/>
      <c r="J11" s="536"/>
      <c r="K11" s="487">
        <f t="shared" si="2"/>
        <v>1.4206926207786234E-2</v>
      </c>
    </row>
    <row r="12" spans="2:12" s="42" customFormat="1" ht="16.5" x14ac:dyDescent="0.25">
      <c r="B12" s="6" t="s">
        <v>11</v>
      </c>
      <c r="C12" s="6" t="s">
        <v>12</v>
      </c>
      <c r="D12" s="190">
        <v>1.2325869776093283E-2</v>
      </c>
      <c r="E12" s="72">
        <f t="shared" si="0"/>
        <v>2.4900747022410674</v>
      </c>
      <c r="F12" s="184">
        <v>16768.689999999999</v>
      </c>
      <c r="G12" s="270">
        <f t="shared" si="1"/>
        <v>206.68868925567767</v>
      </c>
      <c r="H12" s="184"/>
      <c r="I12" s="73"/>
      <c r="J12" s="536"/>
      <c r="K12" s="487">
        <f t="shared" si="2"/>
        <v>1.2325869776093283E-2</v>
      </c>
    </row>
    <row r="13" spans="2:12" s="42" customFormat="1" ht="16.5" x14ac:dyDescent="0.25">
      <c r="B13" s="6" t="s">
        <v>97</v>
      </c>
      <c r="C13" s="6" t="s">
        <v>98</v>
      </c>
      <c r="D13" s="190">
        <v>1.123683710511315E-2</v>
      </c>
      <c r="E13" s="72">
        <f t="shared" si="0"/>
        <v>2.2700681020430609</v>
      </c>
      <c r="F13" s="106">
        <v>310</v>
      </c>
      <c r="G13" s="270">
        <f t="shared" si="1"/>
        <v>3.4834195025850767</v>
      </c>
      <c r="H13" s="95"/>
      <c r="I13" s="73"/>
      <c r="J13" s="536"/>
      <c r="K13" s="487">
        <f t="shared" si="2"/>
        <v>1.1236837105113152E-2</v>
      </c>
    </row>
    <row r="14" spans="2:12" s="42" customFormat="1" ht="16.5" x14ac:dyDescent="0.25">
      <c r="B14" s="6" t="s">
        <v>17</v>
      </c>
      <c r="C14" s="6" t="s">
        <v>18</v>
      </c>
      <c r="D14" s="190">
        <v>6.1381841455243648E-3</v>
      </c>
      <c r="E14" s="72">
        <f t="shared" si="0"/>
        <v>1.2400372011160332</v>
      </c>
      <c r="F14" s="72">
        <v>878</v>
      </c>
      <c r="G14" s="270">
        <f t="shared" si="1"/>
        <v>5.3893256797703923</v>
      </c>
      <c r="H14" s="95"/>
      <c r="I14" s="73"/>
      <c r="J14" s="536"/>
      <c r="K14" s="487">
        <f t="shared" si="2"/>
        <v>6.1381841455243648E-3</v>
      </c>
    </row>
    <row r="15" spans="2:12" s="42" customFormat="1" ht="16.5" x14ac:dyDescent="0.25">
      <c r="B15" s="6" t="s">
        <v>101</v>
      </c>
      <c r="C15" s="6" t="s">
        <v>102</v>
      </c>
      <c r="D15" s="190">
        <v>2.2275668270048095E-3</v>
      </c>
      <c r="E15" s="72">
        <f t="shared" si="0"/>
        <v>0.45001350040501203</v>
      </c>
      <c r="F15" s="184">
        <v>75475</v>
      </c>
      <c r="G15" s="270">
        <f t="shared" si="1"/>
        <v>168.12560626818799</v>
      </c>
      <c r="H15" s="88"/>
      <c r="I15" s="73"/>
      <c r="J15" s="536"/>
      <c r="K15" s="487">
        <f t="shared" si="2"/>
        <v>2.2275668270048095E-3</v>
      </c>
    </row>
    <row r="16" spans="2:12" s="42" customFormat="1" ht="16.5" x14ac:dyDescent="0.25">
      <c r="B16" s="6" t="s">
        <v>78</v>
      </c>
      <c r="C16" s="6" t="s">
        <v>79</v>
      </c>
      <c r="D16" s="190">
        <v>2.029560886826604E-3</v>
      </c>
      <c r="E16" s="72">
        <f t="shared" si="0"/>
        <v>0.41001230036901093</v>
      </c>
      <c r="F16" s="184">
        <v>62980</v>
      </c>
      <c r="G16" s="270">
        <f t="shared" si="1"/>
        <v>127.82174465233952</v>
      </c>
      <c r="H16" s="88"/>
      <c r="I16" s="73"/>
      <c r="J16" s="536"/>
      <c r="K16" s="487">
        <f t="shared" si="2"/>
        <v>2.029560886826604E-3</v>
      </c>
    </row>
    <row r="17" spans="2:11" s="42" customFormat="1" ht="16.5" x14ac:dyDescent="0.25">
      <c r="B17" s="6" t="s">
        <v>25</v>
      </c>
      <c r="C17" s="6" t="s">
        <v>26</v>
      </c>
      <c r="D17" s="190">
        <v>1.782053461603848E-3</v>
      </c>
      <c r="E17" s="72">
        <f t="shared" si="0"/>
        <v>0.36001080032400973</v>
      </c>
      <c r="F17" s="184">
        <v>59418</v>
      </c>
      <c r="G17" s="270">
        <f t="shared" si="1"/>
        <v>105.88605258157745</v>
      </c>
      <c r="H17" s="88"/>
      <c r="I17" s="73"/>
      <c r="J17" s="536"/>
      <c r="K17" s="487">
        <f t="shared" si="2"/>
        <v>1.782053461603848E-3</v>
      </c>
    </row>
    <row r="18" spans="2:11" s="42" customFormat="1" ht="16.5" x14ac:dyDescent="0.25">
      <c r="B18" s="6" t="s">
        <v>406</v>
      </c>
      <c r="C18" s="6" t="s">
        <v>407</v>
      </c>
      <c r="D18" s="190">
        <v>1.5840475214256428E-3</v>
      </c>
      <c r="E18" s="72">
        <f t="shared" si="0"/>
        <v>0.32000960028800862</v>
      </c>
      <c r="F18" s="184">
        <v>62980</v>
      </c>
      <c r="G18" s="270">
        <f t="shared" si="1"/>
        <v>99.763312899386989</v>
      </c>
      <c r="H18" s="88"/>
      <c r="I18" s="73"/>
      <c r="J18" s="536"/>
      <c r="K18" s="487">
        <f t="shared" si="2"/>
        <v>1.5840475214256428E-3</v>
      </c>
    </row>
    <row r="19" spans="2:11" s="42" customFormat="1" ht="16.5" x14ac:dyDescent="0.25">
      <c r="B19" s="6" t="s">
        <v>80</v>
      </c>
      <c r="C19" s="6" t="s">
        <v>81</v>
      </c>
      <c r="D19" s="190">
        <v>1.4355430662919887E-3</v>
      </c>
      <c r="E19" s="72">
        <f t="shared" si="0"/>
        <v>0.29000870026100783</v>
      </c>
      <c r="F19" s="184">
        <v>21400</v>
      </c>
      <c r="G19" s="270">
        <f t="shared" si="1"/>
        <v>30.720621618648558</v>
      </c>
      <c r="H19" s="95"/>
      <c r="I19" s="73"/>
      <c r="J19" s="536"/>
      <c r="K19" s="487">
        <f t="shared" si="2"/>
        <v>1.4355430662919887E-3</v>
      </c>
    </row>
    <row r="20" spans="2:11" s="42" customFormat="1" ht="16.5" x14ac:dyDescent="0.25">
      <c r="B20" s="6" t="s">
        <v>13</v>
      </c>
      <c r="C20" s="6" t="s">
        <v>14</v>
      </c>
      <c r="D20" s="190">
        <v>1.1385341560246804E-3</v>
      </c>
      <c r="E20" s="72">
        <f t="shared" si="0"/>
        <v>0.23000690020700615</v>
      </c>
      <c r="F20" s="184">
        <v>34415.269999999997</v>
      </c>
      <c r="G20" s="270">
        <f t="shared" si="1"/>
        <v>39.182960383811498</v>
      </c>
      <c r="H20" s="95"/>
      <c r="I20" s="73"/>
      <c r="J20" s="536"/>
      <c r="K20" s="487">
        <f t="shared" si="2"/>
        <v>1.1385341560246804E-3</v>
      </c>
    </row>
    <row r="21" spans="2:11" s="42" customFormat="1" ht="16.5" x14ac:dyDescent="0.25">
      <c r="B21" s="6" t="s">
        <v>29</v>
      </c>
      <c r="C21" s="6" t="s">
        <v>30</v>
      </c>
      <c r="D21" s="189">
        <v>8.4152524575737233E-4</v>
      </c>
      <c r="E21" s="72">
        <f t="shared" si="0"/>
        <v>0.17000510015300449</v>
      </c>
      <c r="F21" s="72">
        <v>2500</v>
      </c>
      <c r="G21" s="270">
        <f t="shared" si="1"/>
        <v>2.1038131143934309</v>
      </c>
      <c r="H21" s="95"/>
      <c r="I21" s="73"/>
      <c r="J21" s="536"/>
      <c r="K21" s="487">
        <f t="shared" si="2"/>
        <v>8.4152524575737222E-4</v>
      </c>
    </row>
    <row r="22" spans="2:11" s="42" customFormat="1" ht="16.5" x14ac:dyDescent="0.25">
      <c r="B22" s="6" t="s">
        <v>88</v>
      </c>
      <c r="C22" s="6" t="s">
        <v>89</v>
      </c>
      <c r="D22" s="190">
        <v>5.4451633549006465E-4</v>
      </c>
      <c r="E22" s="72">
        <f t="shared" si="0"/>
        <v>0.11000330009900296</v>
      </c>
      <c r="F22" s="72">
        <v>42232.959999999999</v>
      </c>
      <c r="G22" s="270">
        <f t="shared" si="1"/>
        <v>22.996536616098481</v>
      </c>
      <c r="H22" s="88"/>
      <c r="I22" s="73"/>
      <c r="J22" s="536"/>
      <c r="K22" s="487">
        <f t="shared" si="2"/>
        <v>5.4451633549006465E-4</v>
      </c>
    </row>
    <row r="23" spans="2:11" s="42" customFormat="1" ht="16.5" x14ac:dyDescent="0.25">
      <c r="B23" s="400" t="s">
        <v>467</v>
      </c>
      <c r="C23" s="400" t="s">
        <v>561</v>
      </c>
      <c r="D23" s="189">
        <v>4.4551336540096201E-4</v>
      </c>
      <c r="E23" s="72">
        <f t="shared" si="0"/>
        <v>9.0002700081002432E-2</v>
      </c>
      <c r="F23" s="72">
        <v>5800</v>
      </c>
      <c r="G23" s="270">
        <f t="shared" si="1"/>
        <v>2.5839775193255798</v>
      </c>
      <c r="H23" s="88"/>
      <c r="I23" s="73"/>
      <c r="J23" s="536"/>
      <c r="K23" s="487">
        <f t="shared" si="2"/>
        <v>4.4551336540096201E-4</v>
      </c>
    </row>
    <row r="24" spans="2:11" s="42" customFormat="1" ht="16.5" x14ac:dyDescent="0.25">
      <c r="B24" s="6" t="s">
        <v>33</v>
      </c>
      <c r="C24" s="6" t="s">
        <v>34</v>
      </c>
      <c r="D24" s="190">
        <v>2.4750742522275664E-4</v>
      </c>
      <c r="E24" s="72">
        <f t="shared" si="0"/>
        <v>5.000150004500134E-2</v>
      </c>
      <c r="F24" s="72">
        <v>26800</v>
      </c>
      <c r="G24" s="270">
        <f t="shared" si="1"/>
        <v>6.6331989959698783</v>
      </c>
      <c r="H24" s="184"/>
      <c r="I24" s="73"/>
      <c r="J24" s="536"/>
      <c r="K24" s="487">
        <f t="shared" si="2"/>
        <v>2.4750742522275664E-4</v>
      </c>
    </row>
    <row r="25" spans="2:11" s="42" customFormat="1" ht="16.5" x14ac:dyDescent="0.25">
      <c r="B25" s="6" t="s">
        <v>86</v>
      </c>
      <c r="C25" s="6" t="s">
        <v>87</v>
      </c>
      <c r="D25" s="190">
        <v>9.9002970089102674E-5</v>
      </c>
      <c r="E25" s="72">
        <f t="shared" si="0"/>
        <v>2.0000600018000539E-2</v>
      </c>
      <c r="F25" s="72">
        <v>53429.29</v>
      </c>
      <c r="G25" s="270">
        <f t="shared" si="1"/>
        <v>5.2896583997519926</v>
      </c>
      <c r="H25" s="95"/>
      <c r="I25" s="73"/>
      <c r="J25" s="536"/>
      <c r="K25" s="487">
        <f t="shared" si="2"/>
        <v>9.9002970089102674E-5</v>
      </c>
    </row>
    <row r="26" spans="2:11" s="42" customFormat="1" ht="13.9" hidden="1" customHeight="1" x14ac:dyDescent="0.25">
      <c r="D26" s="345"/>
      <c r="F26" s="185"/>
      <c r="I26" s="73">
        <f>(H26*D26)</f>
        <v>0</v>
      </c>
      <c r="J26" s="536"/>
      <c r="K26" s="488"/>
    </row>
    <row r="27" spans="2:11" s="42" customFormat="1" ht="16.5" x14ac:dyDescent="0.25">
      <c r="B27" s="1814"/>
      <c r="C27" s="1815"/>
      <c r="D27" s="192">
        <f>SUM(D5:D25)</f>
        <v>0.495</v>
      </c>
      <c r="E27" s="75">
        <f>SUM(E5:E25)</f>
        <v>99.999999999999972</v>
      </c>
      <c r="F27" s="90"/>
      <c r="G27" s="179">
        <f>SUM(G5:G25)</f>
        <v>3742.1178181295436</v>
      </c>
      <c r="H27" s="76"/>
      <c r="I27" s="90">
        <f>SUM(I5:I25)</f>
        <v>0</v>
      </c>
      <c r="J27" s="635" t="e">
        <f>((G27/I27)*100)-100</f>
        <v>#DIV/0!</v>
      </c>
      <c r="K27" s="488"/>
    </row>
    <row r="29" spans="2:11" ht="25.5" x14ac:dyDescent="0.35">
      <c r="B29" s="1881" t="s">
        <v>50</v>
      </c>
      <c r="C29" s="1882"/>
      <c r="D29" s="91"/>
      <c r="E29" s="91"/>
      <c r="F29" s="186"/>
      <c r="G29" s="91"/>
      <c r="H29" s="91"/>
      <c r="I29" s="91"/>
    </row>
    <row r="30" spans="2:11" x14ac:dyDescent="0.25">
      <c r="B30" s="92" t="s">
        <v>38</v>
      </c>
      <c r="C30" s="93" t="s">
        <v>113</v>
      </c>
      <c r="D30" s="38"/>
      <c r="H30" s="38"/>
    </row>
    <row r="31" spans="2:11" x14ac:dyDescent="0.25">
      <c r="B31" s="20" t="s">
        <v>39</v>
      </c>
      <c r="C31" s="21" t="s">
        <v>408</v>
      </c>
      <c r="D31" s="38"/>
      <c r="H31" s="38"/>
    </row>
    <row r="32" spans="2:11" x14ac:dyDescent="0.25">
      <c r="B32" s="20" t="s">
        <v>40</v>
      </c>
      <c r="C32" s="21">
        <v>500</v>
      </c>
      <c r="D32" s="38"/>
      <c r="H32" s="38"/>
    </row>
    <row r="33" spans="2:11" x14ac:dyDescent="0.25">
      <c r="B33" s="20" t="s">
        <v>41</v>
      </c>
      <c r="C33" s="21">
        <v>0</v>
      </c>
      <c r="D33" s="38"/>
      <c r="H33" s="38"/>
    </row>
    <row r="34" spans="2:11" x14ac:dyDescent="0.25">
      <c r="B34" s="20" t="s">
        <v>42</v>
      </c>
      <c r="C34" s="21">
        <v>0.5</v>
      </c>
      <c r="D34" s="38"/>
      <c r="H34" s="38"/>
    </row>
    <row r="35" spans="2:11" x14ac:dyDescent="0.25">
      <c r="B35" s="20" t="s">
        <v>43</v>
      </c>
      <c r="C35" s="21">
        <v>0.5</v>
      </c>
      <c r="D35" s="38"/>
      <c r="H35" s="38"/>
    </row>
    <row r="36" spans="2:11" x14ac:dyDescent="0.25">
      <c r="B36" s="20" t="s">
        <v>44</v>
      </c>
      <c r="C36" s="21">
        <v>7</v>
      </c>
      <c r="D36" s="38"/>
      <c r="H36" s="38"/>
    </row>
    <row r="37" spans="2:11" x14ac:dyDescent="0.25">
      <c r="B37" s="20" t="s">
        <v>45</v>
      </c>
      <c r="C37" s="21">
        <v>2</v>
      </c>
      <c r="D37" s="38"/>
      <c r="H37" s="38"/>
    </row>
    <row r="38" spans="2:11" x14ac:dyDescent="0.25">
      <c r="B38" s="20" t="s">
        <v>46</v>
      </c>
      <c r="C38" s="21">
        <f>C37+C36+C35+C34</f>
        <v>10</v>
      </c>
      <c r="D38" s="38"/>
      <c r="H38" s="38"/>
    </row>
    <row r="40" spans="2:11" ht="25.5" x14ac:dyDescent="0.35">
      <c r="B40" s="1839" t="s">
        <v>47</v>
      </c>
      <c r="C40" s="1840"/>
      <c r="D40" s="1840"/>
      <c r="E40" s="1840"/>
      <c r="F40" s="1840"/>
      <c r="G40" s="1840"/>
      <c r="H40" s="1840"/>
      <c r="I40" s="1840"/>
    </row>
    <row r="41" spans="2:11" s="120" customFormat="1" ht="25.5" x14ac:dyDescent="0.25">
      <c r="B41" s="132" t="s">
        <v>0</v>
      </c>
      <c r="C41" s="132" t="s">
        <v>1</v>
      </c>
      <c r="D41" s="164" t="s">
        <v>2</v>
      </c>
      <c r="E41" s="150" t="s">
        <v>632</v>
      </c>
      <c r="F41" s="150" t="s">
        <v>627</v>
      </c>
      <c r="G41" s="2" t="s">
        <v>528</v>
      </c>
      <c r="H41" s="2" t="s">
        <v>512</v>
      </c>
      <c r="I41" s="2" t="s">
        <v>3</v>
      </c>
      <c r="K41" s="176"/>
    </row>
    <row r="42" spans="2:11" x14ac:dyDescent="0.25">
      <c r="B42" s="4" t="s">
        <v>198</v>
      </c>
      <c r="C42" s="4" t="s">
        <v>199</v>
      </c>
      <c r="D42" s="103">
        <v>5.7500000000000002E-2</v>
      </c>
      <c r="E42" s="24">
        <v>4688.88</v>
      </c>
      <c r="F42" s="5">
        <f>E42*D42</f>
        <v>269.61060000000003</v>
      </c>
      <c r="G42" s="24">
        <v>4053</v>
      </c>
      <c r="H42" s="5">
        <f>G42*D42</f>
        <v>233.04750000000001</v>
      </c>
      <c r="I42" s="469">
        <f>((E42/G42)*100)-100</f>
        <v>15.689119170984455</v>
      </c>
    </row>
    <row r="43" spans="2:11" x14ac:dyDescent="0.25">
      <c r="B43" s="4" t="s">
        <v>200</v>
      </c>
      <c r="C43" s="4" t="s">
        <v>201</v>
      </c>
      <c r="D43" s="103">
        <v>0.08</v>
      </c>
      <c r="E43" s="24">
        <v>28</v>
      </c>
      <c r="F43" s="5">
        <f>E43*D43</f>
        <v>2.2400000000000002</v>
      </c>
      <c r="G43" s="24">
        <v>57</v>
      </c>
      <c r="H43" s="5">
        <f>G43*D43</f>
        <v>4.5600000000000005</v>
      </c>
      <c r="I43" s="483">
        <f>((E43/G43)*100)-100</f>
        <v>-50.877192982456144</v>
      </c>
    </row>
    <row r="44" spans="2:11" x14ac:dyDescent="0.25">
      <c r="B44" s="208" t="s">
        <v>314</v>
      </c>
      <c r="C44" s="226" t="s">
        <v>315</v>
      </c>
      <c r="D44" s="103">
        <v>0.16</v>
      </c>
      <c r="E44" s="24">
        <v>861</v>
      </c>
      <c r="F44" s="5">
        <f>E44*D44</f>
        <v>137.76</v>
      </c>
      <c r="G44" s="24">
        <v>861</v>
      </c>
      <c r="H44" s="5">
        <f>G44*D44</f>
        <v>137.76</v>
      </c>
      <c r="I44" s="24">
        <f>((E44/G44)*100)-100</f>
        <v>0</v>
      </c>
    </row>
    <row r="45" spans="2:11" x14ac:dyDescent="0.25">
      <c r="B45" s="7" t="s">
        <v>413</v>
      </c>
      <c r="C45" s="7" t="s">
        <v>409</v>
      </c>
      <c r="D45" s="103">
        <v>1</v>
      </c>
      <c r="E45" s="24">
        <v>114</v>
      </c>
      <c r="F45" s="5">
        <f>E45*D45</f>
        <v>114</v>
      </c>
      <c r="G45" s="24">
        <v>114</v>
      </c>
      <c r="H45" s="5">
        <f>G45*D45</f>
        <v>114</v>
      </c>
      <c r="I45" s="24">
        <f>((E45/G45)*100)-100</f>
        <v>0</v>
      </c>
    </row>
    <row r="46" spans="2:11" x14ac:dyDescent="0.25">
      <c r="B46" s="208" t="s">
        <v>172</v>
      </c>
      <c r="C46" s="226" t="s">
        <v>91</v>
      </c>
      <c r="D46" s="103">
        <v>0.16</v>
      </c>
      <c r="E46" s="24">
        <v>2283</v>
      </c>
      <c r="F46" s="5">
        <f>E46*D46</f>
        <v>365.28000000000003</v>
      </c>
      <c r="G46" s="24">
        <v>2219</v>
      </c>
      <c r="H46" s="5">
        <f>G46*D46</f>
        <v>355.04</v>
      </c>
      <c r="I46" s="469">
        <f>((E46/G46)*100)-100</f>
        <v>2.884182063992796</v>
      </c>
    </row>
    <row r="47" spans="2:11" ht="16.899999999999999" customHeight="1" x14ac:dyDescent="0.25">
      <c r="B47" s="22"/>
      <c r="C47" s="22" t="s">
        <v>37</v>
      </c>
      <c r="D47" s="102"/>
      <c r="E47" s="23"/>
      <c r="F47" s="280">
        <f>SUM(F42:F46)</f>
        <v>888.89059999999995</v>
      </c>
      <c r="G47" s="283"/>
      <c r="H47" s="283">
        <f>SUM(H42:H46)</f>
        <v>844.40750000000003</v>
      </c>
      <c r="I47" s="135">
        <f>((F47/H47)*100)-100</f>
        <v>5.2679659998282773</v>
      </c>
    </row>
    <row r="49" spans="2:10" x14ac:dyDescent="0.25">
      <c r="B49" s="1825" t="s">
        <v>410</v>
      </c>
      <c r="C49" s="1825"/>
      <c r="D49" s="1749">
        <f>+F47+G27</f>
        <v>4631.0084181295433</v>
      </c>
      <c r="E49" s="1749"/>
      <c r="F49" s="1749"/>
      <c r="G49" s="1749"/>
      <c r="H49" s="1749"/>
      <c r="I49" s="181"/>
    </row>
    <row r="50" spans="2:10" x14ac:dyDescent="0.25">
      <c r="B50" s="1830" t="s">
        <v>48</v>
      </c>
      <c r="C50" s="1831"/>
      <c r="D50" s="1749">
        <f>+(921.6/1000)*450</f>
        <v>414.71999999999997</v>
      </c>
      <c r="E50" s="1749"/>
      <c r="F50" s="1749"/>
      <c r="G50" s="1749"/>
      <c r="H50" s="1749"/>
      <c r="I50" s="182"/>
    </row>
    <row r="51" spans="2:10" x14ac:dyDescent="0.25">
      <c r="B51" s="1830" t="s">
        <v>92</v>
      </c>
      <c r="C51" s="1831"/>
      <c r="D51" s="1749">
        <f>+D50+D49</f>
        <v>5045.7284181295436</v>
      </c>
      <c r="E51" s="1749"/>
      <c r="F51" s="1749"/>
      <c r="G51" s="1749"/>
      <c r="H51" s="1749"/>
      <c r="I51" s="636" t="s">
        <v>541</v>
      </c>
      <c r="J51" s="637" t="s">
        <v>625</v>
      </c>
    </row>
    <row r="52" spans="2:10" x14ac:dyDescent="0.25">
      <c r="B52" s="1825" t="s">
        <v>49</v>
      </c>
      <c r="C52" s="1825"/>
      <c r="D52" s="1749">
        <f>D51/I53</f>
        <v>7902.4720722467391</v>
      </c>
      <c r="E52" s="1749"/>
      <c r="F52" s="1749"/>
      <c r="G52" s="1749"/>
      <c r="H52" s="1749"/>
      <c r="I52" s="339">
        <v>0.36149999999999999</v>
      </c>
      <c r="J52" s="638">
        <v>0.307</v>
      </c>
    </row>
    <row r="53" spans="2:10" x14ac:dyDescent="0.25">
      <c r="D53" s="38"/>
      <c r="H53" s="38"/>
      <c r="I53" s="137">
        <f>1-I52</f>
        <v>0.63850000000000007</v>
      </c>
    </row>
    <row r="54" spans="2:10" x14ac:dyDescent="0.25">
      <c r="I54" s="1">
        <v>7200</v>
      </c>
      <c r="J54" s="1">
        <v>7900</v>
      </c>
    </row>
    <row r="55" spans="2:10" x14ac:dyDescent="0.25">
      <c r="I55" s="1">
        <v>24.67</v>
      </c>
      <c r="J55" s="1">
        <v>30.87</v>
      </c>
    </row>
  </sheetData>
  <autoFilter ref="B4:J4" xr:uid="{CF0120F8-0410-4723-A9EA-FED426186D8D}"/>
  <mergeCells count="12">
    <mergeCell ref="B50:C50"/>
    <mergeCell ref="D50:H50"/>
    <mergeCell ref="B51:C51"/>
    <mergeCell ref="D51:H51"/>
    <mergeCell ref="B52:C52"/>
    <mergeCell ref="D52:H52"/>
    <mergeCell ref="B2:I2"/>
    <mergeCell ref="B27:C27"/>
    <mergeCell ref="B29:C29"/>
    <mergeCell ref="B40:I40"/>
    <mergeCell ref="B49:C49"/>
    <mergeCell ref="D49:H49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33BF-8BCE-4524-A492-A60EB30BC458}">
  <sheetPr codeName="Hoja83"/>
  <dimension ref="A3:B85"/>
  <sheetViews>
    <sheetView workbookViewId="0">
      <selection activeCell="A9" sqref="A9"/>
    </sheetView>
  </sheetViews>
  <sheetFormatPr baseColWidth="10" defaultRowHeight="15" x14ac:dyDescent="0.25"/>
  <cols>
    <col min="1" max="1" width="71.7109375" bestFit="1" customWidth="1"/>
    <col min="2" max="2" width="30.42578125" bestFit="1" customWidth="1"/>
  </cols>
  <sheetData>
    <row r="3" spans="1:2" x14ac:dyDescent="0.25">
      <c r="A3" s="724" t="s">
        <v>693</v>
      </c>
      <c r="B3" t="s">
        <v>794</v>
      </c>
    </row>
    <row r="4" spans="1:2" x14ac:dyDescent="0.25">
      <c r="A4" s="725" t="s">
        <v>795</v>
      </c>
      <c r="B4">
        <v>925.31650722572761</v>
      </c>
    </row>
    <row r="5" spans="1:2" x14ac:dyDescent="0.25">
      <c r="A5" s="725" t="s">
        <v>214</v>
      </c>
      <c r="B5">
        <v>389.35397455911556</v>
      </c>
    </row>
    <row r="6" spans="1:2" x14ac:dyDescent="0.25">
      <c r="A6" s="725" t="s">
        <v>53</v>
      </c>
      <c r="B6">
        <v>244796.53982274403</v>
      </c>
    </row>
    <row r="7" spans="1:2" x14ac:dyDescent="0.25">
      <c r="A7" s="725" t="s">
        <v>62</v>
      </c>
      <c r="B7">
        <v>645.73562763886548</v>
      </c>
    </row>
    <row r="8" spans="1:2" x14ac:dyDescent="0.25">
      <c r="A8" s="725" t="s">
        <v>10</v>
      </c>
      <c r="B8">
        <v>29168.514200384718</v>
      </c>
    </row>
    <row r="9" spans="1:2" x14ac:dyDescent="0.25">
      <c r="A9" s="725" t="s">
        <v>785</v>
      </c>
      <c r="B9">
        <v>25956.282143869001</v>
      </c>
    </row>
    <row r="10" spans="1:2" x14ac:dyDescent="0.25">
      <c r="A10" s="725" t="s">
        <v>246</v>
      </c>
      <c r="B10">
        <v>247.07999999999996</v>
      </c>
    </row>
    <row r="11" spans="1:2" x14ac:dyDescent="0.25">
      <c r="A11" s="725" t="s">
        <v>76</v>
      </c>
      <c r="B11">
        <v>574.34817762782336</v>
      </c>
    </row>
    <row r="12" spans="1:2" x14ac:dyDescent="0.25">
      <c r="A12" s="725" t="s">
        <v>405</v>
      </c>
      <c r="B12">
        <v>14.598180007215833</v>
      </c>
    </row>
    <row r="13" spans="1:2" x14ac:dyDescent="0.25">
      <c r="A13" s="725" t="s">
        <v>792</v>
      </c>
      <c r="B13">
        <v>824</v>
      </c>
    </row>
    <row r="14" spans="1:2" x14ac:dyDescent="0.25">
      <c r="A14" s="725" t="s">
        <v>535</v>
      </c>
      <c r="B14">
        <v>29278.90837041608</v>
      </c>
    </row>
    <row r="15" spans="1:2" x14ac:dyDescent="0.25">
      <c r="A15" s="725" t="s">
        <v>558</v>
      </c>
      <c r="B15">
        <v>82.420107398568035</v>
      </c>
    </row>
    <row r="16" spans="1:2" x14ac:dyDescent="0.25">
      <c r="A16" s="725" t="s">
        <v>79</v>
      </c>
      <c r="B16">
        <v>759.43831808261336</v>
      </c>
    </row>
    <row r="17" spans="1:2" x14ac:dyDescent="0.25">
      <c r="A17" s="725" t="s">
        <v>66</v>
      </c>
      <c r="B17">
        <v>434.2795405030929</v>
      </c>
    </row>
    <row r="18" spans="1:2" x14ac:dyDescent="0.25">
      <c r="A18" s="725" t="s">
        <v>798</v>
      </c>
      <c r="B18">
        <v>8.9996400143994215</v>
      </c>
    </row>
    <row r="19" spans="1:2" x14ac:dyDescent="0.25">
      <c r="A19" s="725" t="s">
        <v>218</v>
      </c>
      <c r="B19">
        <v>68.823009405818141</v>
      </c>
    </row>
    <row r="20" spans="1:2" x14ac:dyDescent="0.25">
      <c r="A20" s="725" t="s">
        <v>183</v>
      </c>
      <c r="B20">
        <v>19.389273109105108</v>
      </c>
    </row>
    <row r="21" spans="1:2" x14ac:dyDescent="0.25">
      <c r="A21" s="725" t="s">
        <v>87</v>
      </c>
      <c r="B21">
        <v>17.041604785565646</v>
      </c>
    </row>
    <row r="22" spans="1:2" x14ac:dyDescent="0.25">
      <c r="A22" s="725" t="s">
        <v>691</v>
      </c>
      <c r="B22">
        <v>104.54756997540058</v>
      </c>
    </row>
    <row r="23" spans="1:2" x14ac:dyDescent="0.25">
      <c r="A23" s="725" t="s">
        <v>36</v>
      </c>
      <c r="B23">
        <v>14.746158435139105</v>
      </c>
    </row>
    <row r="24" spans="1:2" x14ac:dyDescent="0.25">
      <c r="A24" s="725" t="s">
        <v>185</v>
      </c>
      <c r="B24">
        <v>19.292223588450877</v>
      </c>
    </row>
    <row r="25" spans="1:2" x14ac:dyDescent="0.25">
      <c r="A25" s="725" t="s">
        <v>32</v>
      </c>
      <c r="B25">
        <v>242.94526510210727</v>
      </c>
    </row>
    <row r="26" spans="1:2" x14ac:dyDescent="0.25">
      <c r="A26" s="725" t="s">
        <v>220</v>
      </c>
      <c r="B26">
        <v>34.657571033753442</v>
      </c>
    </row>
    <row r="27" spans="1:2" x14ac:dyDescent="0.25">
      <c r="A27" s="725" t="s">
        <v>60</v>
      </c>
      <c r="B27">
        <v>668.71007592768399</v>
      </c>
    </row>
    <row r="28" spans="1:2" x14ac:dyDescent="0.25">
      <c r="A28" s="725" t="s">
        <v>106</v>
      </c>
      <c r="B28">
        <v>166.40519782059579</v>
      </c>
    </row>
    <row r="29" spans="1:2" x14ac:dyDescent="0.25">
      <c r="A29" s="725" t="s">
        <v>26</v>
      </c>
      <c r="B29">
        <v>1352.0271152069583</v>
      </c>
    </row>
    <row r="30" spans="1:2" x14ac:dyDescent="0.25">
      <c r="A30" s="725" t="s">
        <v>104</v>
      </c>
      <c r="B30">
        <v>422.50788327408105</v>
      </c>
    </row>
    <row r="31" spans="1:2" x14ac:dyDescent="0.25">
      <c r="A31" s="725" t="s">
        <v>449</v>
      </c>
      <c r="B31">
        <v>72160.659981585777</v>
      </c>
    </row>
    <row r="32" spans="1:2" x14ac:dyDescent="0.25">
      <c r="A32" s="725" t="s">
        <v>244</v>
      </c>
      <c r="B32">
        <v>39.842208963139747</v>
      </c>
    </row>
    <row r="33" spans="1:2" x14ac:dyDescent="0.25">
      <c r="A33" s="725" t="s">
        <v>34</v>
      </c>
      <c r="B33">
        <v>301.60481664499122</v>
      </c>
    </row>
    <row r="34" spans="1:2" x14ac:dyDescent="0.25">
      <c r="A34" s="725" t="s">
        <v>24</v>
      </c>
      <c r="B34">
        <v>2886.4106810730605</v>
      </c>
    </row>
    <row r="35" spans="1:2" x14ac:dyDescent="0.25">
      <c r="A35" s="725" t="s">
        <v>358</v>
      </c>
      <c r="B35">
        <v>8473.3816573008007</v>
      </c>
    </row>
    <row r="36" spans="1:2" x14ac:dyDescent="0.25">
      <c r="A36" s="725" t="s">
        <v>131</v>
      </c>
      <c r="B36">
        <v>4487.087548112735</v>
      </c>
    </row>
    <row r="37" spans="1:2" x14ac:dyDescent="0.25">
      <c r="A37" s="725" t="s">
        <v>98</v>
      </c>
      <c r="B37">
        <v>6684.464300633239</v>
      </c>
    </row>
    <row r="38" spans="1:2" x14ac:dyDescent="0.25">
      <c r="A38" s="725" t="s">
        <v>108</v>
      </c>
      <c r="B38">
        <v>35.036387022657856</v>
      </c>
    </row>
    <row r="39" spans="1:2" x14ac:dyDescent="0.25">
      <c r="A39" s="725" t="s">
        <v>416</v>
      </c>
      <c r="B39">
        <v>86.842063108784643</v>
      </c>
    </row>
    <row r="40" spans="1:2" x14ac:dyDescent="0.25">
      <c r="A40" s="725" t="s">
        <v>89</v>
      </c>
      <c r="B40">
        <v>82.303493574309883</v>
      </c>
    </row>
    <row r="41" spans="1:2" x14ac:dyDescent="0.25">
      <c r="A41" s="725" t="s">
        <v>28</v>
      </c>
      <c r="B41">
        <v>887.60206768539194</v>
      </c>
    </row>
    <row r="42" spans="1:2" x14ac:dyDescent="0.25">
      <c r="A42" s="725" t="s">
        <v>81</v>
      </c>
      <c r="B42">
        <v>878.19365681065551</v>
      </c>
    </row>
    <row r="43" spans="1:2" x14ac:dyDescent="0.25">
      <c r="A43" s="725" t="s">
        <v>262</v>
      </c>
      <c r="B43">
        <v>54.792417115860168</v>
      </c>
    </row>
    <row r="44" spans="1:2" x14ac:dyDescent="0.25">
      <c r="A44" s="725" t="s">
        <v>20</v>
      </c>
      <c r="B44">
        <v>959.19565960015859</v>
      </c>
    </row>
    <row r="45" spans="1:2" x14ac:dyDescent="0.25">
      <c r="A45" s="725" t="s">
        <v>146</v>
      </c>
      <c r="B45">
        <v>3159.5566627384883</v>
      </c>
    </row>
    <row r="46" spans="1:2" x14ac:dyDescent="0.25">
      <c r="A46" s="725" t="s">
        <v>754</v>
      </c>
      <c r="B46">
        <v>1.1260000000000003</v>
      </c>
    </row>
    <row r="47" spans="1:2" x14ac:dyDescent="0.25">
      <c r="A47" s="725" t="s">
        <v>796</v>
      </c>
      <c r="B47">
        <v>147322.03736643377</v>
      </c>
    </row>
    <row r="48" spans="1:2" x14ac:dyDescent="0.25">
      <c r="A48" s="725" t="s">
        <v>797</v>
      </c>
      <c r="B48">
        <v>113902.25146704431</v>
      </c>
    </row>
    <row r="49" spans="1:2" x14ac:dyDescent="0.25">
      <c r="A49" s="725" t="s">
        <v>689</v>
      </c>
      <c r="B49">
        <v>23500.101770812133</v>
      </c>
    </row>
    <row r="50" spans="1:2" x14ac:dyDescent="0.25">
      <c r="A50" s="725" t="s">
        <v>781</v>
      </c>
      <c r="B50">
        <v>7131.7303860065613</v>
      </c>
    </row>
    <row r="51" spans="1:2" x14ac:dyDescent="0.25">
      <c r="A51" s="725" t="s">
        <v>242</v>
      </c>
      <c r="B51">
        <v>13373.513011089331</v>
      </c>
    </row>
    <row r="52" spans="1:2" x14ac:dyDescent="0.25">
      <c r="A52" s="725" t="s">
        <v>68</v>
      </c>
      <c r="B52">
        <v>386.70984928385531</v>
      </c>
    </row>
    <row r="53" spans="1:2" x14ac:dyDescent="0.25">
      <c r="A53" s="725" t="s">
        <v>122</v>
      </c>
      <c r="B53">
        <v>14.674704510108855</v>
      </c>
    </row>
    <row r="54" spans="1:2" x14ac:dyDescent="0.25">
      <c r="A54" s="725" t="s">
        <v>16</v>
      </c>
      <c r="B54">
        <v>4642.1755251129234</v>
      </c>
    </row>
    <row r="55" spans="1:2" x14ac:dyDescent="0.25">
      <c r="A55" s="725" t="s">
        <v>148</v>
      </c>
      <c r="B55">
        <v>1233.9824077250873</v>
      </c>
    </row>
    <row r="56" spans="1:2" x14ac:dyDescent="0.25">
      <c r="A56" s="725" t="s">
        <v>434</v>
      </c>
      <c r="B56">
        <v>39.267119752979909</v>
      </c>
    </row>
    <row r="57" spans="1:2" x14ac:dyDescent="0.25">
      <c r="A57" s="725" t="s">
        <v>362</v>
      </c>
      <c r="B57">
        <v>1070.2984308274158</v>
      </c>
    </row>
    <row r="58" spans="1:2" x14ac:dyDescent="0.25">
      <c r="A58" s="725" t="s">
        <v>415</v>
      </c>
      <c r="B58">
        <v>60.284136699991357</v>
      </c>
    </row>
    <row r="59" spans="1:2" x14ac:dyDescent="0.25">
      <c r="A59" s="725" t="s">
        <v>181</v>
      </c>
      <c r="B59">
        <v>249.79483981950915</v>
      </c>
    </row>
    <row r="60" spans="1:2" x14ac:dyDescent="0.25">
      <c r="A60" s="725" t="s">
        <v>407</v>
      </c>
      <c r="B60">
        <v>5.3526660026458037</v>
      </c>
    </row>
    <row r="61" spans="1:2" x14ac:dyDescent="0.25">
      <c r="A61" s="725" t="s">
        <v>100</v>
      </c>
      <c r="B61">
        <v>277.87148125293294</v>
      </c>
    </row>
    <row r="62" spans="1:2" x14ac:dyDescent="0.25">
      <c r="A62" s="725" t="s">
        <v>690</v>
      </c>
      <c r="B62">
        <v>1695.3659996010902</v>
      </c>
    </row>
    <row r="63" spans="1:2" x14ac:dyDescent="0.25">
      <c r="A63" s="725" t="s">
        <v>14</v>
      </c>
      <c r="B63">
        <v>1481.561143432325</v>
      </c>
    </row>
    <row r="64" spans="1:2" x14ac:dyDescent="0.25">
      <c r="A64" s="725" t="s">
        <v>774</v>
      </c>
      <c r="B64">
        <v>21752.018914693286</v>
      </c>
    </row>
    <row r="65" spans="1:2" x14ac:dyDescent="0.25">
      <c r="A65" s="725" t="s">
        <v>216</v>
      </c>
      <c r="B65">
        <v>2136.768934077068</v>
      </c>
    </row>
    <row r="66" spans="1:2" x14ac:dyDescent="0.25">
      <c r="A66" s="725" t="s">
        <v>12</v>
      </c>
      <c r="B66">
        <v>10234.112625068428</v>
      </c>
    </row>
    <row r="67" spans="1:2" x14ac:dyDescent="0.25">
      <c r="A67" s="725" t="s">
        <v>144</v>
      </c>
      <c r="B67">
        <v>3510.6185141538754</v>
      </c>
    </row>
    <row r="68" spans="1:2" x14ac:dyDescent="0.25">
      <c r="A68" s="725" t="s">
        <v>22</v>
      </c>
      <c r="B68">
        <v>1050.2730378702088</v>
      </c>
    </row>
    <row r="69" spans="1:2" x14ac:dyDescent="0.25">
      <c r="A69" s="725" t="s">
        <v>120</v>
      </c>
      <c r="B69">
        <v>2.8926669918312626</v>
      </c>
    </row>
    <row r="70" spans="1:2" x14ac:dyDescent="0.25">
      <c r="A70" s="725" t="s">
        <v>454</v>
      </c>
      <c r="B70">
        <v>2428.8049999999998</v>
      </c>
    </row>
    <row r="71" spans="1:2" x14ac:dyDescent="0.25">
      <c r="A71" s="725" t="s">
        <v>787</v>
      </c>
      <c r="B71">
        <v>1588.5065859302699</v>
      </c>
    </row>
    <row r="72" spans="1:2" x14ac:dyDescent="0.25">
      <c r="A72" s="725" t="s">
        <v>240</v>
      </c>
      <c r="B72">
        <v>624.60587470167081</v>
      </c>
    </row>
    <row r="73" spans="1:2" x14ac:dyDescent="0.25">
      <c r="A73" s="725" t="s">
        <v>117</v>
      </c>
      <c r="B73">
        <v>1102.2093859905624</v>
      </c>
    </row>
    <row r="74" spans="1:2" x14ac:dyDescent="0.25">
      <c r="A74" s="725" t="s">
        <v>57</v>
      </c>
      <c r="B74">
        <v>28337.016545674014</v>
      </c>
    </row>
    <row r="75" spans="1:2" x14ac:dyDescent="0.25">
      <c r="A75" s="725" t="s">
        <v>458</v>
      </c>
      <c r="B75">
        <v>22.29479957200428</v>
      </c>
    </row>
    <row r="76" spans="1:2" x14ac:dyDescent="0.25">
      <c r="A76" s="725" t="s">
        <v>418</v>
      </c>
      <c r="B76">
        <v>3.0142068349995683</v>
      </c>
    </row>
    <row r="77" spans="1:2" x14ac:dyDescent="0.25">
      <c r="A77" s="725" t="s">
        <v>279</v>
      </c>
      <c r="B77">
        <v>545.54674491209767</v>
      </c>
    </row>
    <row r="78" spans="1:2" x14ac:dyDescent="0.25">
      <c r="A78" s="725" t="s">
        <v>64</v>
      </c>
      <c r="B78">
        <v>293.42926458298473</v>
      </c>
    </row>
    <row r="79" spans="1:2" x14ac:dyDescent="0.25">
      <c r="A79" s="725" t="s">
        <v>30</v>
      </c>
      <c r="B79">
        <v>1339.4292109525798</v>
      </c>
    </row>
    <row r="80" spans="1:2" x14ac:dyDescent="0.25">
      <c r="A80" s="725" t="s">
        <v>456</v>
      </c>
      <c r="B80">
        <v>3260.2513521024075</v>
      </c>
    </row>
    <row r="81" spans="1:2" x14ac:dyDescent="0.25">
      <c r="A81" s="725" t="s">
        <v>18</v>
      </c>
      <c r="B81">
        <v>6373.387607189492</v>
      </c>
    </row>
    <row r="82" spans="1:2" x14ac:dyDescent="0.25">
      <c r="A82" s="725" t="s">
        <v>524</v>
      </c>
      <c r="B82">
        <v>455.79546783359268</v>
      </c>
    </row>
    <row r="83" spans="1:2" x14ac:dyDescent="0.25">
      <c r="A83" s="725" t="s">
        <v>102</v>
      </c>
      <c r="B83">
        <v>233.70854453599176</v>
      </c>
    </row>
    <row r="84" spans="1:2" x14ac:dyDescent="0.25">
      <c r="A84" s="725" t="s">
        <v>118</v>
      </c>
      <c r="B84">
        <v>18545.090937837951</v>
      </c>
    </row>
    <row r="85" spans="1:2" x14ac:dyDescent="0.25">
      <c r="A85" s="725" t="s">
        <v>694</v>
      </c>
      <c r="B85">
        <v>858641.75568701793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2E25-AD8B-4F1A-8B9D-7AEA0A0F7080}">
  <sheetPr codeName="Hoja84"/>
  <dimension ref="A1:N104"/>
  <sheetViews>
    <sheetView view="pageBreakPreview" topLeftCell="A84" zoomScale="90" zoomScaleNormal="100" zoomScaleSheetLayoutView="90" workbookViewId="0">
      <selection activeCell="H57" sqref="H57:H76"/>
    </sheetView>
  </sheetViews>
  <sheetFormatPr baseColWidth="10" defaultColWidth="11.5703125" defaultRowHeight="13.5" x14ac:dyDescent="0.25"/>
  <cols>
    <col min="1" max="1" width="6.85546875" style="1" customWidth="1"/>
    <col min="2" max="2" width="3.140625" style="1" customWidth="1"/>
    <col min="3" max="3" width="11.5703125" style="1"/>
    <col min="4" max="4" width="54.140625" style="1" customWidth="1"/>
    <col min="5" max="5" width="11.5703125" style="1" customWidth="1"/>
    <col min="6" max="6" width="10.28515625" style="1" customWidth="1"/>
    <col min="7" max="7" width="13.85546875" style="1" bestFit="1" customWidth="1"/>
    <col min="8" max="8" width="14.28515625" style="1" customWidth="1"/>
    <col min="9" max="9" width="14" style="1" bestFit="1" customWidth="1"/>
    <col min="10" max="13" width="12.5703125" style="268" customWidth="1"/>
    <col min="14" max="14" width="14.85546875" style="1" bestFit="1" customWidth="1"/>
    <col min="15" max="16384" width="11.5703125" style="1"/>
  </cols>
  <sheetData>
    <row r="1" spans="3:13" hidden="1" x14ac:dyDescent="0.25"/>
    <row r="2" spans="3:13" ht="25.5" hidden="1" x14ac:dyDescent="0.35">
      <c r="C2" s="1751" t="s">
        <v>532</v>
      </c>
      <c r="D2" s="1751"/>
      <c r="E2" s="1751"/>
      <c r="F2" s="1751"/>
      <c r="G2" s="1751"/>
      <c r="H2" s="1751"/>
    </row>
    <row r="3" spans="3:13" hidden="1" x14ac:dyDescent="0.25">
      <c r="D3" s="28">
        <v>54.93</v>
      </c>
    </row>
    <row r="4" spans="3:13" s="120" customFormat="1" ht="25.5" hidden="1" x14ac:dyDescent="0.25">
      <c r="C4" s="117" t="s">
        <v>0</v>
      </c>
      <c r="D4" s="117" t="s">
        <v>1</v>
      </c>
      <c r="E4" s="117" t="s">
        <v>533</v>
      </c>
      <c r="F4" s="117" t="s">
        <v>3</v>
      </c>
      <c r="G4" s="183" t="s">
        <v>632</v>
      </c>
      <c r="H4" s="149" t="s">
        <v>627</v>
      </c>
      <c r="J4" s="28"/>
      <c r="K4" s="28"/>
      <c r="L4" s="28"/>
      <c r="M4" s="28"/>
    </row>
    <row r="5" spans="3:13" ht="16.5" hidden="1" x14ac:dyDescent="0.25">
      <c r="C5" s="6" t="s">
        <v>93</v>
      </c>
      <c r="D5" s="1602">
        <v>49.75</v>
      </c>
      <c r="E5" s="25">
        <v>206.93406489452275</v>
      </c>
      <c r="F5" s="8">
        <f>+(E5*100)/$E$25</f>
        <v>41.386812978904544</v>
      </c>
      <c r="G5" s="72">
        <v>17600</v>
      </c>
      <c r="H5" s="395">
        <f>G5*E5</f>
        <v>3642039.5421436005</v>
      </c>
      <c r="I5" s="153"/>
      <c r="J5" s="383"/>
      <c r="K5" s="383"/>
      <c r="L5" s="383"/>
      <c r="M5" s="383"/>
    </row>
    <row r="6" spans="3:13" ht="16.5" hidden="1" x14ac:dyDescent="0.25">
      <c r="C6" s="6" t="s">
        <v>95</v>
      </c>
      <c r="D6" s="1602" t="s">
        <v>96</v>
      </c>
      <c r="E6" s="25">
        <v>107.40863368334753</v>
      </c>
      <c r="F6" s="8">
        <f>+(E6*100)/$E$25</f>
        <v>21.481726736669504</v>
      </c>
      <c r="G6" s="72">
        <v>15043</v>
      </c>
      <c r="H6" s="395">
        <f t="shared" ref="H6:H23" si="0">G6*E6</f>
        <v>1615748.0764985969</v>
      </c>
      <c r="I6" s="153"/>
      <c r="J6" s="383"/>
      <c r="K6" s="383"/>
      <c r="L6" s="383"/>
      <c r="M6" s="383"/>
    </row>
    <row r="7" spans="3:13" ht="16.5" hidden="1" x14ac:dyDescent="0.25">
      <c r="C7" s="6" t="s">
        <v>4</v>
      </c>
      <c r="D7" s="1602">
        <v>54.96</v>
      </c>
      <c r="E7" s="25">
        <v>100.51083152019677</v>
      </c>
      <c r="F7" s="8">
        <f>+(E7*100)/$E$25</f>
        <v>20.102166304039351</v>
      </c>
      <c r="G7" s="72">
        <v>7</v>
      </c>
      <c r="H7" s="395">
        <f t="shared" si="0"/>
        <v>703.57582064137739</v>
      </c>
      <c r="I7" s="153"/>
      <c r="J7" s="383"/>
      <c r="K7" s="383"/>
      <c r="L7" s="383"/>
      <c r="M7" s="383"/>
    </row>
    <row r="8" spans="3:13" ht="16.5" hidden="1" x14ac:dyDescent="0.25">
      <c r="C8" s="6" t="s">
        <v>97</v>
      </c>
      <c r="D8" s="1602">
        <v>44.4</v>
      </c>
      <c r="E8" s="25">
        <v>39.41601236086148</v>
      </c>
      <c r="F8" s="8">
        <f t="shared" ref="F8:F23" si="1">+(E8*100)/$E$25</f>
        <v>7.8832024721722949</v>
      </c>
      <c r="G8" s="72">
        <v>310</v>
      </c>
      <c r="H8" s="395">
        <f t="shared" si="0"/>
        <v>12218.963831867059</v>
      </c>
      <c r="I8" s="153"/>
      <c r="J8" s="383"/>
      <c r="K8" s="383"/>
      <c r="L8" s="383"/>
      <c r="M8" s="383"/>
    </row>
    <row r="9" spans="3:13" ht="16.5" hidden="1" x14ac:dyDescent="0.25">
      <c r="C9" s="30" t="s">
        <v>9</v>
      </c>
      <c r="D9" s="1603">
        <v>43.95</v>
      </c>
      <c r="E9" s="25">
        <v>13.795604326301518</v>
      </c>
      <c r="F9" s="8">
        <f t="shared" si="1"/>
        <v>2.7591208652603032</v>
      </c>
      <c r="G9" s="376">
        <v>6316.85</v>
      </c>
      <c r="H9" s="395">
        <f t="shared" si="0"/>
        <v>87144.763188597746</v>
      </c>
      <c r="I9" s="153"/>
      <c r="J9" s="383"/>
      <c r="K9" s="383"/>
      <c r="L9" s="383"/>
      <c r="M9" s="383"/>
    </row>
    <row r="10" spans="3:13" ht="16.5" hidden="1" x14ac:dyDescent="0.25">
      <c r="C10" s="30" t="s">
        <v>11</v>
      </c>
      <c r="D10" s="1603">
        <v>39.67</v>
      </c>
      <c r="E10" s="25">
        <v>5.9124018541292225</v>
      </c>
      <c r="F10" s="8">
        <f t="shared" si="1"/>
        <v>1.1824803708258445</v>
      </c>
      <c r="G10" s="72">
        <v>16768.689999999999</v>
      </c>
      <c r="H10" s="395">
        <f t="shared" si="0"/>
        <v>99143.233847318144</v>
      </c>
      <c r="I10" s="153"/>
      <c r="J10" s="383"/>
      <c r="K10" s="383"/>
      <c r="L10" s="383"/>
      <c r="M10" s="383"/>
    </row>
    <row r="11" spans="3:13" ht="16.5" hidden="1" x14ac:dyDescent="0.25">
      <c r="C11" s="30" t="s">
        <v>17</v>
      </c>
      <c r="D11" s="1603">
        <v>45.44</v>
      </c>
      <c r="E11" s="25">
        <v>4.7299214833033778</v>
      </c>
      <c r="F11" s="8">
        <f t="shared" si="1"/>
        <v>0.94598429666067541</v>
      </c>
      <c r="G11" s="25">
        <v>878</v>
      </c>
      <c r="H11" s="395">
        <f t="shared" si="0"/>
        <v>4152.8710623403658</v>
      </c>
      <c r="I11" s="153"/>
      <c r="J11" s="383"/>
      <c r="K11" s="383"/>
      <c r="L11" s="383"/>
      <c r="M11" s="383"/>
    </row>
    <row r="12" spans="3:13" ht="16.5" hidden="1" x14ac:dyDescent="0.25">
      <c r="C12" s="30" t="s">
        <v>13</v>
      </c>
      <c r="D12" s="1603">
        <v>39.950000000000003</v>
      </c>
      <c r="E12" s="25">
        <v>3.8430612051839939</v>
      </c>
      <c r="F12" s="8">
        <f t="shared" si="1"/>
        <v>0.7686122410367987</v>
      </c>
      <c r="G12" s="674">
        <v>34415.269999999997</v>
      </c>
      <c r="H12" s="395">
        <f t="shared" si="0"/>
        <v>132259.98900293253</v>
      </c>
      <c r="I12" s="153"/>
      <c r="J12" s="383"/>
      <c r="K12" s="383"/>
      <c r="L12" s="383"/>
      <c r="M12" s="383"/>
    </row>
    <row r="13" spans="3:13" ht="16.5" hidden="1" x14ac:dyDescent="0.25">
      <c r="C13" s="30" t="s">
        <v>78</v>
      </c>
      <c r="D13" s="1603">
        <v>42.99</v>
      </c>
      <c r="E13" s="25">
        <v>3.5967111279286104</v>
      </c>
      <c r="F13" s="8">
        <f t="shared" si="1"/>
        <v>0.71934222558572203</v>
      </c>
      <c r="G13" s="72">
        <v>62980</v>
      </c>
      <c r="H13" s="395">
        <f t="shared" si="0"/>
        <v>226520.86683694387</v>
      </c>
      <c r="I13" s="153"/>
      <c r="J13" s="383"/>
      <c r="K13" s="383"/>
      <c r="L13" s="383"/>
      <c r="M13" s="383"/>
    </row>
    <row r="14" spans="3:13" ht="16.5" hidden="1" x14ac:dyDescent="0.25">
      <c r="C14" s="30" t="s">
        <v>99</v>
      </c>
      <c r="D14" s="1603">
        <v>44.2</v>
      </c>
      <c r="E14" s="25">
        <v>2.6605808343581501</v>
      </c>
      <c r="F14" s="8">
        <f t="shared" si="1"/>
        <v>0.53211616687162988</v>
      </c>
      <c r="G14" s="72">
        <v>21534</v>
      </c>
      <c r="H14" s="395">
        <f t="shared" si="0"/>
        <v>57292.947687068401</v>
      </c>
      <c r="I14" s="153"/>
      <c r="J14" s="383"/>
      <c r="K14" s="383"/>
      <c r="L14" s="383"/>
      <c r="M14" s="383"/>
    </row>
    <row r="15" spans="3:13" ht="16.5" hidden="1" x14ac:dyDescent="0.25">
      <c r="C15" s="30" t="s">
        <v>80</v>
      </c>
      <c r="D15" s="1603">
        <v>38.54</v>
      </c>
      <c r="E15" s="25">
        <v>2.4635007725538425</v>
      </c>
      <c r="F15" s="8">
        <f t="shared" si="1"/>
        <v>0.49270015451076843</v>
      </c>
      <c r="G15" s="25">
        <v>21400</v>
      </c>
      <c r="H15" s="395">
        <f t="shared" si="0"/>
        <v>52718.916532652227</v>
      </c>
      <c r="I15" s="153"/>
      <c r="J15" s="383"/>
      <c r="K15" s="383"/>
      <c r="L15" s="383"/>
      <c r="M15" s="383"/>
    </row>
    <row r="16" spans="3:13" ht="16.5" hidden="1" x14ac:dyDescent="0.25">
      <c r="C16" s="30" t="s">
        <v>25</v>
      </c>
      <c r="D16" s="1603">
        <v>35.299999999999997</v>
      </c>
      <c r="E16" s="25">
        <v>2.4635007725538425</v>
      </c>
      <c r="F16" s="8">
        <f t="shared" si="1"/>
        <v>0.49270015451076843</v>
      </c>
      <c r="G16" s="72">
        <v>62980</v>
      </c>
      <c r="H16" s="395">
        <f t="shared" si="0"/>
        <v>155151.27865544101</v>
      </c>
      <c r="I16" s="153"/>
      <c r="J16" s="383"/>
      <c r="K16" s="383"/>
      <c r="L16" s="383"/>
      <c r="M16" s="383"/>
    </row>
    <row r="17" spans="3:13" ht="16.5" hidden="1" x14ac:dyDescent="0.25">
      <c r="C17" s="30" t="s">
        <v>101</v>
      </c>
      <c r="D17" s="1604" t="s">
        <v>1264</v>
      </c>
      <c r="E17" s="25">
        <v>2.0693406489452277</v>
      </c>
      <c r="F17" s="8">
        <f t="shared" si="1"/>
        <v>0.41386812978904552</v>
      </c>
      <c r="G17" s="72">
        <v>75475</v>
      </c>
      <c r="H17" s="395">
        <f t="shared" si="0"/>
        <v>156183.48547914106</v>
      </c>
      <c r="I17" s="153"/>
      <c r="J17" s="383"/>
      <c r="K17" s="383"/>
      <c r="L17" s="383"/>
      <c r="M17" s="383"/>
    </row>
    <row r="18" spans="3:13" ht="16.5" hidden="1" x14ac:dyDescent="0.25">
      <c r="C18" s="30" t="s">
        <v>103</v>
      </c>
      <c r="D18" s="1603">
        <v>43.96</v>
      </c>
      <c r="E18" s="25">
        <v>1.4781004635323056</v>
      </c>
      <c r="F18" s="8">
        <f t="shared" si="1"/>
        <v>0.29562009270646111</v>
      </c>
      <c r="G18" s="72">
        <v>10972</v>
      </c>
      <c r="H18" s="395">
        <f t="shared" si="0"/>
        <v>16217.718285876457</v>
      </c>
      <c r="I18" s="153"/>
      <c r="J18" s="383"/>
      <c r="K18" s="383"/>
      <c r="L18" s="383"/>
      <c r="M18" s="383"/>
    </row>
    <row r="19" spans="3:13" ht="16.5" hidden="1" x14ac:dyDescent="0.25">
      <c r="C19" s="30" t="s">
        <v>105</v>
      </c>
      <c r="D19" s="1603">
        <v>44.93</v>
      </c>
      <c r="E19" s="25">
        <v>1.281020401727998</v>
      </c>
      <c r="F19" s="8">
        <f t="shared" si="1"/>
        <v>0.25620408034559961</v>
      </c>
      <c r="G19" s="72">
        <v>65857</v>
      </c>
      <c r="H19" s="395">
        <f t="shared" si="0"/>
        <v>84364.160596600763</v>
      </c>
      <c r="I19" s="153"/>
      <c r="J19" s="383"/>
      <c r="K19" s="383"/>
      <c r="L19" s="383"/>
      <c r="M19" s="383"/>
    </row>
    <row r="20" spans="3:13" ht="16.5" hidden="1" x14ac:dyDescent="0.25">
      <c r="C20" s="30" t="s">
        <v>29</v>
      </c>
      <c r="D20" s="1603">
        <v>38.07</v>
      </c>
      <c r="E20" s="25">
        <v>0.82773625957809116</v>
      </c>
      <c r="F20" s="8">
        <f t="shared" si="1"/>
        <v>0.16554725191561823</v>
      </c>
      <c r="G20" s="25">
        <v>2500</v>
      </c>
      <c r="H20" s="395">
        <f t="shared" si="0"/>
        <v>2069.3406489452277</v>
      </c>
      <c r="I20" s="153"/>
      <c r="J20" s="383"/>
      <c r="K20" s="383"/>
      <c r="L20" s="383"/>
      <c r="M20" s="383"/>
    </row>
    <row r="21" spans="3:13" ht="16.5" hidden="1" x14ac:dyDescent="0.25">
      <c r="C21" s="30" t="s">
        <v>107</v>
      </c>
      <c r="D21" s="1603">
        <v>34.68</v>
      </c>
      <c r="E21" s="25">
        <v>0.29562009270646111</v>
      </c>
      <c r="F21" s="8">
        <f t="shared" si="1"/>
        <v>5.9124018541292213E-2</v>
      </c>
      <c r="G21" s="72">
        <v>65000</v>
      </c>
      <c r="H21" s="395">
        <f t="shared" si="0"/>
        <v>19215.306025919974</v>
      </c>
      <c r="I21" s="153"/>
      <c r="J21" s="383"/>
      <c r="K21" s="383"/>
      <c r="L21" s="383"/>
      <c r="M21" s="383"/>
    </row>
    <row r="22" spans="3:13" ht="16.5" hidden="1" x14ac:dyDescent="0.25">
      <c r="C22" s="30" t="s">
        <v>33</v>
      </c>
      <c r="D22" s="1603">
        <v>34.89</v>
      </c>
      <c r="E22" s="25">
        <v>0.23452527354712577</v>
      </c>
      <c r="F22" s="8">
        <f t="shared" si="1"/>
        <v>4.6905054709425145E-2</v>
      </c>
      <c r="G22" s="72">
        <v>26800</v>
      </c>
      <c r="H22" s="395">
        <f t="shared" si="0"/>
        <v>6285.2773310629709</v>
      </c>
      <c r="I22" s="153"/>
      <c r="J22" s="383"/>
      <c r="K22" s="383"/>
      <c r="L22" s="383"/>
      <c r="M22" s="383"/>
    </row>
    <row r="23" spans="3:13" ht="16.5" hidden="1" x14ac:dyDescent="0.25">
      <c r="C23" s="30" t="s">
        <v>31</v>
      </c>
      <c r="D23" s="1603">
        <v>28.78</v>
      </c>
      <c r="E23" s="25">
        <v>7.883202472172296E-2</v>
      </c>
      <c r="F23" s="8">
        <f t="shared" si="1"/>
        <v>1.576640494434459E-2</v>
      </c>
      <c r="G23" s="72">
        <v>121899</v>
      </c>
      <c r="H23" s="395">
        <f t="shared" si="0"/>
        <v>9609.5449815533066</v>
      </c>
      <c r="I23" s="153"/>
      <c r="J23" s="383"/>
      <c r="K23" s="383"/>
      <c r="L23" s="383"/>
      <c r="M23" s="383"/>
    </row>
    <row r="24" spans="3:13" hidden="1" x14ac:dyDescent="0.25">
      <c r="C24" s="6"/>
      <c r="D24" s="1602">
        <v>39.94</v>
      </c>
      <c r="E24" s="6"/>
      <c r="F24" s="6"/>
    </row>
    <row r="25" spans="3:13" hidden="1" x14ac:dyDescent="0.25">
      <c r="C25" s="1883" t="s">
        <v>37</v>
      </c>
      <c r="D25" s="1883"/>
      <c r="E25" s="257">
        <f>SUM(E5:E23)</f>
        <v>500.00000000000006</v>
      </c>
      <c r="F25" s="257">
        <f>SUM(F5:F23)</f>
        <v>100</v>
      </c>
      <c r="G25" s="396"/>
      <c r="H25" s="397">
        <f>SUM(H5:H23)</f>
        <v>6379039.8584570996</v>
      </c>
    </row>
    <row r="26" spans="3:13" hidden="1" x14ac:dyDescent="0.25">
      <c r="C26" s="873"/>
      <c r="D26" s="1">
        <v>44.75</v>
      </c>
    </row>
    <row r="27" spans="3:13" ht="25.5" hidden="1" x14ac:dyDescent="0.35">
      <c r="C27" s="1751" t="s">
        <v>534</v>
      </c>
      <c r="D27" s="1751"/>
      <c r="E27" s="1751"/>
      <c r="F27" s="1751"/>
      <c r="G27" s="1751"/>
      <c r="H27" s="1751"/>
    </row>
    <row r="28" spans="3:13" hidden="1" x14ac:dyDescent="0.25">
      <c r="D28" s="1">
        <v>43.72</v>
      </c>
    </row>
    <row r="29" spans="3:13" s="120" customFormat="1" ht="25.5" hidden="1" x14ac:dyDescent="0.25">
      <c r="C29" s="117" t="s">
        <v>0</v>
      </c>
      <c r="D29" s="117">
        <v>41.14</v>
      </c>
      <c r="E29" s="117" t="s">
        <v>2</v>
      </c>
      <c r="F29" s="117" t="s">
        <v>3</v>
      </c>
      <c r="G29" s="183" t="s">
        <v>632</v>
      </c>
      <c r="H29" s="149" t="s">
        <v>627</v>
      </c>
      <c r="I29" s="178"/>
      <c r="J29" s="28"/>
      <c r="K29" s="28"/>
      <c r="L29" s="28"/>
      <c r="M29" s="28"/>
    </row>
    <row r="30" spans="3:13" ht="16.5" hidden="1" x14ac:dyDescent="0.25">
      <c r="C30" s="6" t="s">
        <v>95</v>
      </c>
      <c r="D30" s="6">
        <v>35.44</v>
      </c>
      <c r="E30" s="25">
        <v>196.28808383375289</v>
      </c>
      <c r="F30" s="32">
        <f>(E30*100)/$E$50</f>
        <v>37.613857955121475</v>
      </c>
      <c r="G30" s="394">
        <v>15043</v>
      </c>
      <c r="H30" s="395">
        <f>G30*E30</f>
        <v>2952761.645111145</v>
      </c>
      <c r="I30" s="153"/>
      <c r="J30" s="383"/>
      <c r="K30" s="383"/>
      <c r="L30" s="383"/>
      <c r="M30" s="383"/>
    </row>
    <row r="31" spans="3:13" ht="16.5" hidden="1" x14ac:dyDescent="0.25">
      <c r="C31" s="6" t="s">
        <v>93</v>
      </c>
      <c r="D31" s="6">
        <v>33.200000000000003</v>
      </c>
      <c r="E31" s="25">
        <v>118.36467366859469</v>
      </c>
      <c r="F31" s="32">
        <f t="shared" ref="F31:F48" si="2">(E31*100)/$E$50</f>
        <v>22.681723390022999</v>
      </c>
      <c r="G31" s="394">
        <v>17600</v>
      </c>
      <c r="H31" s="395">
        <f t="shared" ref="H31:H48" si="3">G31*E31</f>
        <v>2083218.2565672665</v>
      </c>
      <c r="I31" s="153"/>
      <c r="J31" s="383"/>
      <c r="K31" s="383"/>
      <c r="L31" s="383"/>
      <c r="M31" s="383"/>
    </row>
    <row r="32" spans="3:13" ht="16.5" hidden="1" x14ac:dyDescent="0.25">
      <c r="C32" s="6" t="s">
        <v>4</v>
      </c>
      <c r="D32" s="6">
        <v>33.82</v>
      </c>
      <c r="E32" s="25">
        <v>100.60997261830551</v>
      </c>
      <c r="F32" s="32">
        <f t="shared" si="2"/>
        <v>19.279464881519552</v>
      </c>
      <c r="G32" s="398">
        <v>7</v>
      </c>
      <c r="H32" s="395">
        <f t="shared" si="3"/>
        <v>704.26980832813854</v>
      </c>
      <c r="I32" s="153"/>
      <c r="J32" s="383"/>
      <c r="K32" s="383"/>
      <c r="L32" s="383"/>
      <c r="M32" s="383"/>
    </row>
    <row r="33" spans="3:13" ht="16.5" hidden="1" x14ac:dyDescent="0.25">
      <c r="C33" s="6" t="s">
        <v>97</v>
      </c>
      <c r="D33" s="6">
        <v>37.020000000000003</v>
      </c>
      <c r="E33" s="25">
        <v>39.454891222864902</v>
      </c>
      <c r="F33" s="32">
        <f t="shared" si="2"/>
        <v>7.5605744633410001</v>
      </c>
      <c r="G33" s="398">
        <v>310</v>
      </c>
      <c r="H33" s="395">
        <f t="shared" si="3"/>
        <v>12231.016279088119</v>
      </c>
      <c r="I33" s="153"/>
      <c r="J33" s="383"/>
      <c r="K33" s="383"/>
      <c r="L33" s="383"/>
      <c r="M33" s="383"/>
    </row>
    <row r="34" spans="3:13" ht="16.5" hidden="1" x14ac:dyDescent="0.25">
      <c r="C34" s="6" t="s">
        <v>9</v>
      </c>
      <c r="D34" s="6">
        <v>42.6</v>
      </c>
      <c r="E34" s="25">
        <v>13.809211928002716</v>
      </c>
      <c r="F34" s="32">
        <f t="shared" si="2"/>
        <v>2.6462010621693501</v>
      </c>
      <c r="G34" s="376">
        <v>6316.85</v>
      </c>
      <c r="H34" s="395">
        <f t="shared" si="3"/>
        <v>87230.720367403963</v>
      </c>
      <c r="I34" s="153"/>
      <c r="J34" s="383"/>
      <c r="K34" s="383"/>
      <c r="L34" s="383"/>
      <c r="M34" s="383"/>
    </row>
    <row r="35" spans="3:13" ht="16.5" hidden="1" x14ac:dyDescent="0.25">
      <c r="C35" s="6" t="s">
        <v>11</v>
      </c>
      <c r="D35" s="6">
        <v>33.29</v>
      </c>
      <c r="E35" s="25">
        <v>5.9182336834297358</v>
      </c>
      <c r="F35" s="32">
        <f t="shared" si="2"/>
        <v>1.1340861695011502</v>
      </c>
      <c r="G35" s="72">
        <v>16768.689999999999</v>
      </c>
      <c r="H35" s="395">
        <f t="shared" si="3"/>
        <v>99241.025984991371</v>
      </c>
      <c r="I35" s="153"/>
      <c r="J35" s="383"/>
      <c r="K35" s="383"/>
      <c r="L35" s="383"/>
      <c r="M35" s="383"/>
    </row>
    <row r="36" spans="3:13" ht="16.5" hidden="1" x14ac:dyDescent="0.25">
      <c r="C36" s="6" t="s">
        <v>17</v>
      </c>
      <c r="D36" s="6">
        <v>49.12</v>
      </c>
      <c r="E36" s="25">
        <v>4.7345869467437884</v>
      </c>
      <c r="F36" s="32">
        <f t="shared" si="2"/>
        <v>0.90726893560092003</v>
      </c>
      <c r="G36" s="398">
        <v>878</v>
      </c>
      <c r="H36" s="395">
        <f t="shared" si="3"/>
        <v>4156.9673392410459</v>
      </c>
      <c r="I36" s="153"/>
      <c r="J36" s="383"/>
      <c r="K36" s="383"/>
      <c r="L36" s="383"/>
      <c r="M36" s="383"/>
    </row>
    <row r="37" spans="3:13" ht="16.5" hidden="1" x14ac:dyDescent="0.25">
      <c r="C37" s="6" t="s">
        <v>13</v>
      </c>
      <c r="D37" s="6">
        <v>49.37</v>
      </c>
      <c r="E37" s="25">
        <v>3.8468518942293279</v>
      </c>
      <c r="F37" s="32">
        <f t="shared" si="2"/>
        <v>0.7371560101757475</v>
      </c>
      <c r="G37" s="674">
        <v>34415.269999999997</v>
      </c>
      <c r="H37" s="395">
        <f t="shared" si="3"/>
        <v>132390.44658991374</v>
      </c>
      <c r="I37" s="153"/>
      <c r="J37" s="383"/>
      <c r="K37" s="383"/>
      <c r="L37" s="383"/>
      <c r="M37" s="383"/>
    </row>
    <row r="38" spans="3:13" ht="16.5" hidden="1" x14ac:dyDescent="0.25">
      <c r="C38" s="6" t="s">
        <v>78</v>
      </c>
      <c r="D38" s="6">
        <v>43.41</v>
      </c>
      <c r="E38" s="25">
        <v>3.6002588240864228</v>
      </c>
      <c r="F38" s="32">
        <f t="shared" si="2"/>
        <v>0.68990241977986644</v>
      </c>
      <c r="G38" s="394">
        <v>62980</v>
      </c>
      <c r="H38" s="395">
        <f t="shared" si="3"/>
        <v>226744.30074096291</v>
      </c>
      <c r="I38" s="153"/>
      <c r="J38" s="383"/>
      <c r="K38" s="383"/>
      <c r="L38" s="383"/>
      <c r="M38" s="383"/>
    </row>
    <row r="39" spans="3:13" ht="16.5" hidden="1" x14ac:dyDescent="0.25">
      <c r="C39" s="6" t="s">
        <v>99</v>
      </c>
      <c r="D39" s="6">
        <v>38.950000000000003</v>
      </c>
      <c r="E39" s="25">
        <v>2.6632051575433806</v>
      </c>
      <c r="F39" s="32">
        <f t="shared" si="2"/>
        <v>0.51033877627551749</v>
      </c>
      <c r="G39" s="394">
        <v>21534</v>
      </c>
      <c r="H39" s="395">
        <f t="shared" si="3"/>
        <v>57349.459862539159</v>
      </c>
      <c r="I39" s="153"/>
      <c r="J39" s="383"/>
      <c r="K39" s="383"/>
      <c r="L39" s="383"/>
      <c r="M39" s="383"/>
    </row>
    <row r="40" spans="3:13" ht="16.5" hidden="1" x14ac:dyDescent="0.25">
      <c r="C40" s="6" t="s">
        <v>25</v>
      </c>
      <c r="D40" s="6">
        <v>41.5</v>
      </c>
      <c r="E40" s="25">
        <v>2.4659307014290563</v>
      </c>
      <c r="F40" s="32">
        <f t="shared" si="2"/>
        <v>0.47253590395881251</v>
      </c>
      <c r="G40" s="72">
        <v>62980</v>
      </c>
      <c r="H40" s="395">
        <f t="shared" si="3"/>
        <v>155304.31557600197</v>
      </c>
      <c r="I40" s="153"/>
      <c r="J40" s="383"/>
      <c r="K40" s="383"/>
      <c r="L40" s="383"/>
      <c r="M40" s="383"/>
    </row>
    <row r="41" spans="3:13" ht="16.5" hidden="1" x14ac:dyDescent="0.25">
      <c r="C41" s="6" t="s">
        <v>101</v>
      </c>
      <c r="D41" s="6">
        <v>37.92</v>
      </c>
      <c r="E41" s="25">
        <v>2.0713817892004074</v>
      </c>
      <c r="F41" s="32">
        <f t="shared" si="2"/>
        <v>0.39693015932540249</v>
      </c>
      <c r="G41" s="72">
        <v>75475</v>
      </c>
      <c r="H41" s="395">
        <f t="shared" si="3"/>
        <v>156337.54053990074</v>
      </c>
      <c r="I41" s="153"/>
      <c r="J41" s="383"/>
      <c r="K41" s="383"/>
      <c r="L41" s="383"/>
      <c r="M41" s="383"/>
    </row>
    <row r="42" spans="3:13" ht="16.5" hidden="1" x14ac:dyDescent="0.25">
      <c r="C42" s="30" t="s">
        <v>80</v>
      </c>
      <c r="D42" s="30" t="s">
        <v>81</v>
      </c>
      <c r="E42" s="25">
        <v>1.972744561143245</v>
      </c>
      <c r="F42" s="32">
        <f t="shared" si="2"/>
        <v>0.37802872316705</v>
      </c>
      <c r="G42" s="25">
        <v>21400</v>
      </c>
      <c r="H42" s="395">
        <f t="shared" si="3"/>
        <v>42216.733608465445</v>
      </c>
      <c r="I42" s="153"/>
      <c r="J42" s="383"/>
      <c r="K42" s="383"/>
      <c r="L42" s="383"/>
      <c r="M42" s="383"/>
    </row>
    <row r="43" spans="3:13" ht="16.5" hidden="1" x14ac:dyDescent="0.25">
      <c r="C43" s="6" t="s">
        <v>103</v>
      </c>
      <c r="D43" s="6">
        <v>27.68</v>
      </c>
      <c r="E43" s="25">
        <v>23.33</v>
      </c>
      <c r="F43" s="32">
        <f t="shared" si="2"/>
        <v>4.4706295407937917</v>
      </c>
      <c r="G43" s="1103">
        <v>10972</v>
      </c>
      <c r="H43" s="395">
        <f t="shared" si="3"/>
        <v>255976.75999999998</v>
      </c>
      <c r="I43" s="153"/>
      <c r="J43" s="383"/>
      <c r="K43" s="383"/>
      <c r="L43" s="383"/>
      <c r="M43" s="383"/>
    </row>
    <row r="44" spans="3:13" ht="16.5" hidden="1" x14ac:dyDescent="0.25">
      <c r="C44" s="6" t="s">
        <v>105</v>
      </c>
      <c r="D44" s="6">
        <v>25.64</v>
      </c>
      <c r="E44" s="25">
        <v>1.2822839647431092</v>
      </c>
      <c r="F44" s="32">
        <f t="shared" si="2"/>
        <v>0.2457186700585825</v>
      </c>
      <c r="G44" s="72">
        <v>65857</v>
      </c>
      <c r="H44" s="395">
        <f t="shared" si="3"/>
        <v>84447.375066086941</v>
      </c>
      <c r="I44" s="153"/>
      <c r="J44" s="383"/>
      <c r="K44" s="383"/>
      <c r="L44" s="383"/>
      <c r="M44" s="383"/>
    </row>
    <row r="45" spans="3:13" ht="16.5" hidden="1" x14ac:dyDescent="0.25">
      <c r="C45" s="6" t="s">
        <v>29</v>
      </c>
      <c r="D45" s="1605" t="s">
        <v>1265</v>
      </c>
      <c r="E45" s="25">
        <v>0.82855271568016287</v>
      </c>
      <c r="F45" s="32">
        <f t="shared" si="2"/>
        <v>0.15877206373016101</v>
      </c>
      <c r="G45" s="398">
        <v>2500</v>
      </c>
      <c r="H45" s="395">
        <f t="shared" si="3"/>
        <v>2071.3817892004072</v>
      </c>
      <c r="I45" s="153"/>
      <c r="J45" s="383"/>
      <c r="K45" s="383"/>
      <c r="L45" s="383"/>
      <c r="M45" s="383"/>
    </row>
    <row r="46" spans="3:13" ht="16.5" hidden="1" x14ac:dyDescent="0.25">
      <c r="C46" s="6" t="s">
        <v>107</v>
      </c>
      <c r="D46" s="6" t="s">
        <v>108</v>
      </c>
      <c r="E46" s="25">
        <v>0.29591168417148678</v>
      </c>
      <c r="F46" s="32">
        <f t="shared" si="2"/>
        <v>5.6704308475057502E-2</v>
      </c>
      <c r="G46" s="394">
        <v>65000</v>
      </c>
      <c r="H46" s="395">
        <f t="shared" si="3"/>
        <v>19234.259471146641</v>
      </c>
      <c r="I46" s="153"/>
      <c r="J46" s="383"/>
      <c r="K46" s="383"/>
      <c r="L46" s="383"/>
      <c r="M46" s="383"/>
    </row>
    <row r="47" spans="3:13" ht="16.5" hidden="1" x14ac:dyDescent="0.25">
      <c r="C47" s="6" t="s">
        <v>33</v>
      </c>
      <c r="D47" s="6">
        <v>37.64</v>
      </c>
      <c r="E47" s="25">
        <v>0.23475660277604615</v>
      </c>
      <c r="F47" s="32">
        <f t="shared" si="2"/>
        <v>4.4985418056878945E-2</v>
      </c>
      <c r="G47" s="398">
        <v>26800</v>
      </c>
      <c r="H47" s="395">
        <f t="shared" si="3"/>
        <v>6291.4769543980365</v>
      </c>
      <c r="I47" s="153"/>
      <c r="J47" s="383"/>
      <c r="K47" s="383"/>
      <c r="L47" s="383"/>
      <c r="M47" s="383"/>
    </row>
    <row r="48" spans="3:13" ht="16.5" hidden="1" x14ac:dyDescent="0.25">
      <c r="C48" s="6" t="s">
        <v>31</v>
      </c>
      <c r="D48" s="6">
        <v>49.87</v>
      </c>
      <c r="E48" s="25">
        <v>7.8909782445729798E-2</v>
      </c>
      <c r="F48" s="32">
        <f t="shared" si="2"/>
        <v>1.5121148926681999E-2</v>
      </c>
      <c r="G48" s="394">
        <v>121899</v>
      </c>
      <c r="H48" s="395">
        <f t="shared" si="3"/>
        <v>9619.0235703520175</v>
      </c>
      <c r="I48" s="153"/>
      <c r="J48" s="383"/>
      <c r="K48" s="383"/>
      <c r="L48" s="383"/>
      <c r="M48" s="383"/>
    </row>
    <row r="49" spans="1:14" hidden="1" x14ac:dyDescent="0.25">
      <c r="C49" s="6"/>
      <c r="D49" s="6">
        <v>36.89</v>
      </c>
      <c r="E49" s="6"/>
      <c r="F49" s="6"/>
    </row>
    <row r="50" spans="1:14" hidden="1" x14ac:dyDescent="0.25">
      <c r="C50" s="1883" t="s">
        <v>37</v>
      </c>
      <c r="D50" s="1883"/>
      <c r="E50" s="257">
        <f>SUM(E30:E48)</f>
        <v>521.85044157914263</v>
      </c>
      <c r="F50" s="257">
        <f>SUM(F30:F48)</f>
        <v>100.00000000000001</v>
      </c>
      <c r="G50" s="396"/>
      <c r="H50" s="397">
        <f>SUM(H30:H48)</f>
        <v>6387526.9752264312</v>
      </c>
    </row>
    <row r="51" spans="1:14" hidden="1" x14ac:dyDescent="0.25">
      <c r="D51" s="1">
        <v>53.07</v>
      </c>
      <c r="H51" s="399"/>
    </row>
    <row r="52" spans="1:14" hidden="1" x14ac:dyDescent="0.25">
      <c r="D52" s="1">
        <v>49.13</v>
      </c>
    </row>
    <row r="53" spans="1:14" x14ac:dyDescent="0.25">
      <c r="B53" s="1" t="s">
        <v>85</v>
      </c>
      <c r="D53" s="1">
        <v>50.67</v>
      </c>
    </row>
    <row r="54" spans="1:14" ht="25.5" x14ac:dyDescent="0.35">
      <c r="C54" s="1845" t="s">
        <v>827</v>
      </c>
      <c r="D54" s="1751"/>
      <c r="E54" s="1751"/>
      <c r="F54" s="1751"/>
      <c r="G54" s="1751"/>
      <c r="H54" s="340"/>
    </row>
    <row r="56" spans="1:14" s="120" customFormat="1" ht="25.5" x14ac:dyDescent="0.25">
      <c r="B56" s="120" t="s">
        <v>799</v>
      </c>
      <c r="C56" s="1271" t="s">
        <v>0</v>
      </c>
      <c r="D56" s="1271">
        <v>47</v>
      </c>
      <c r="E56" s="1271" t="s">
        <v>533</v>
      </c>
      <c r="F56" s="1271" t="s">
        <v>3</v>
      </c>
      <c r="G56" s="1243" t="str">
        <f>+'CIF Y PV'!$F$2</f>
        <v xml:space="preserve">JUN-COP/Kg </v>
      </c>
      <c r="H56" s="1243" t="str">
        <f>+'CIF Y PV'!$G$2</f>
        <v>JUN-COP/APP</v>
      </c>
      <c r="I56" s="1243" t="str">
        <f>+'CIF Y PV'!$H$2</f>
        <v xml:space="preserve">MAY-COP/Kg </v>
      </c>
      <c r="J56" s="1243" t="str">
        <f>+'CIF Y PV'!$I$2</f>
        <v>MAY-COP/APP</v>
      </c>
      <c r="K56" s="1276" t="s">
        <v>3</v>
      </c>
      <c r="L56" s="1499">
        <f>+E80/1000</f>
        <v>0.33450000000000002</v>
      </c>
      <c r="M56" s="28">
        <v>506.27499999999998</v>
      </c>
    </row>
    <row r="57" spans="1:14" x14ac:dyDescent="0.25">
      <c r="B57" s="153"/>
      <c r="C57" s="6">
        <v>1122002</v>
      </c>
      <c r="D57" s="6" t="s">
        <v>242</v>
      </c>
      <c r="E57" s="7">
        <v>7.0755871681199997E-2</v>
      </c>
      <c r="F57" s="8">
        <v>21.13</v>
      </c>
      <c r="G57" s="879">
        <f>VLOOKUP(C57,[2]Hoja1!$C$2:$E$279,3,FALSE)</f>
        <v>12500</v>
      </c>
      <c r="H57" s="32">
        <f>G57*E57</f>
        <v>884.44839601499996</v>
      </c>
      <c r="I57" s="879">
        <v>15000</v>
      </c>
      <c r="J57" s="32">
        <f>I57*E57</f>
        <v>1061.3380752179999</v>
      </c>
      <c r="K57" s="634">
        <f>((H57/J57)*100)-100</f>
        <v>-16.666666666666657</v>
      </c>
      <c r="L57" s="878">
        <f>+$L$56*F57%</f>
        <v>7.0679850000000002E-2</v>
      </c>
      <c r="M57" s="383">
        <f>$M$56*F57%</f>
        <v>106.97590749999999</v>
      </c>
      <c r="N57" s="1319">
        <f>M57*G57</f>
        <v>1337198.84375</v>
      </c>
    </row>
    <row r="58" spans="1:14" x14ac:dyDescent="0.25">
      <c r="A58" s="153"/>
      <c r="B58" s="153"/>
      <c r="C58" s="6">
        <v>1122001</v>
      </c>
      <c r="D58" s="6" t="s">
        <v>1030</v>
      </c>
      <c r="E58" s="7">
        <v>0.11506095024525001</v>
      </c>
      <c r="F58" s="8">
        <v>34.369999999999997</v>
      </c>
      <c r="G58" s="879">
        <f>VLOOKUP(C58,[2]Hoja1!$C$2:$E$279,3,FALSE)</f>
        <v>11506.13</v>
      </c>
      <c r="H58" s="32">
        <f t="shared" ref="H58:H76" si="4">G58*E58</f>
        <v>1323.9062514453783</v>
      </c>
      <c r="I58" s="38">
        <v>14000</v>
      </c>
      <c r="J58" s="32">
        <f t="shared" ref="J58:J76" si="5">I58*E58</f>
        <v>1610.8533034335001</v>
      </c>
      <c r="K58" s="634">
        <f>((H58/J58)*100)-100</f>
        <v>-17.813357142857157</v>
      </c>
      <c r="L58" s="878">
        <f t="shared" ref="L58:L76" si="6">+$L$56*F58%</f>
        <v>0.11496764999999999</v>
      </c>
      <c r="M58" s="383">
        <f t="shared" ref="M58:M76" si="7">$M$56*F58%</f>
        <v>174.00671749999998</v>
      </c>
      <c r="N58" s="1319">
        <f t="shared" ref="N58:N76" si="8">M58*G58</f>
        <v>2002143.9124282745</v>
      </c>
    </row>
    <row r="59" spans="1:14" ht="16.5" x14ac:dyDescent="0.25">
      <c r="A59" s="153"/>
      <c r="B59" s="153"/>
      <c r="C59" s="6">
        <v>1131001</v>
      </c>
      <c r="D59" s="6" t="s">
        <v>1163</v>
      </c>
      <c r="E59" s="7">
        <v>2.6450793157290001E-2</v>
      </c>
      <c r="F59" s="8">
        <v>7.9075614820000002</v>
      </c>
      <c r="G59" s="879">
        <f>VLOOKUP(C59,[2]Hoja1!$C$2:$E$279,3,FALSE)</f>
        <v>386.9</v>
      </c>
      <c r="H59" s="32">
        <f t="shared" si="4"/>
        <v>10.233811872555501</v>
      </c>
      <c r="I59" s="72">
        <v>365</v>
      </c>
      <c r="J59" s="32">
        <f t="shared" si="5"/>
        <v>9.6545395024108505</v>
      </c>
      <c r="K59" s="634">
        <f>((H59/J59)*100)-100</f>
        <v>6</v>
      </c>
      <c r="L59" s="878">
        <f t="shared" si="6"/>
        <v>2.6450793157290001E-2</v>
      </c>
      <c r="M59" s="383">
        <f t="shared" si="7"/>
        <v>40.0340068929955</v>
      </c>
      <c r="N59" s="1319">
        <f t="shared" si="8"/>
        <v>15489.157266899958</v>
      </c>
    </row>
    <row r="60" spans="1:14" ht="16.5" x14ac:dyDescent="0.3">
      <c r="A60" s="153"/>
      <c r="B60" s="153"/>
      <c r="C60" s="6">
        <v>1131002</v>
      </c>
      <c r="D60" s="74" t="s">
        <v>663</v>
      </c>
      <c r="E60" s="7">
        <v>8.2019400000000006E-2</v>
      </c>
      <c r="F60" s="8">
        <v>24.64</v>
      </c>
      <c r="G60" s="879">
        <f>VLOOKUP(C60,[2]Hoja1!$C$2:$E$279,3,FALSE)</f>
        <v>0</v>
      </c>
      <c r="H60" s="32">
        <f t="shared" si="4"/>
        <v>0</v>
      </c>
      <c r="I60" s="877">
        <v>0</v>
      </c>
      <c r="J60" s="32">
        <f t="shared" si="5"/>
        <v>0</v>
      </c>
      <c r="K60" s="634" t="e">
        <f t="shared" ref="K60:K75" si="9">((H60/J60)*100)-100</f>
        <v>#DIV/0!</v>
      </c>
      <c r="L60" s="878">
        <f t="shared" si="6"/>
        <v>8.2420800000000002E-2</v>
      </c>
      <c r="M60" s="383">
        <f t="shared" si="7"/>
        <v>124.74616</v>
      </c>
      <c r="N60" s="1319">
        <f t="shared" si="8"/>
        <v>0</v>
      </c>
    </row>
    <row r="61" spans="1:14" ht="16.5" x14ac:dyDescent="0.3">
      <c r="A61" s="153"/>
      <c r="B61" s="153"/>
      <c r="C61" s="6">
        <v>1260022</v>
      </c>
      <c r="D61" s="74" t="s">
        <v>974</v>
      </c>
      <c r="E61" s="7">
        <v>3.3063491438250002E-3</v>
      </c>
      <c r="F61" s="8">
        <v>0.988445185</v>
      </c>
      <c r="G61" s="879">
        <f>VLOOKUP(C61,[2]Hoja1!$C$2:$E$279,3,FALSE)</f>
        <v>22988.01</v>
      </c>
      <c r="H61" s="32">
        <f t="shared" si="4"/>
        <v>76.006387181740536</v>
      </c>
      <c r="I61" s="96">
        <v>27066.49</v>
      </c>
      <c r="J61" s="32">
        <f t="shared" si="5"/>
        <v>89.491266037847936</v>
      </c>
      <c r="K61" s="634">
        <f>((H61/J61)*100)-100</f>
        <v>-15.068374214757824</v>
      </c>
      <c r="L61" s="878">
        <f t="shared" si="6"/>
        <v>3.3063491438250002E-3</v>
      </c>
      <c r="M61" s="383">
        <f t="shared" si="7"/>
        <v>5.0042508603587494</v>
      </c>
      <c r="N61" s="1319">
        <f t="shared" si="8"/>
        <v>115037.76882043552</v>
      </c>
    </row>
    <row r="62" spans="1:14" ht="16.5" x14ac:dyDescent="0.3">
      <c r="A62" s="153"/>
      <c r="B62" s="153"/>
      <c r="C62" s="6">
        <v>1250009</v>
      </c>
      <c r="D62" s="74" t="s">
        <v>1279</v>
      </c>
      <c r="E62" s="7">
        <v>9.9190475820000009E-5</v>
      </c>
      <c r="F62" s="8">
        <v>2.9653355999999999E-2</v>
      </c>
      <c r="G62" s="879">
        <f>VLOOKUP(C62,[2]Hoja1!$C$2:$E$279,3,FALSE)</f>
        <v>83551.55</v>
      </c>
      <c r="H62" s="32">
        <f t="shared" si="4"/>
        <v>8.2875179999985225</v>
      </c>
      <c r="I62" s="237">
        <v>71910.02</v>
      </c>
      <c r="J62" s="32">
        <f t="shared" si="5"/>
        <v>7.1327891000257173</v>
      </c>
      <c r="K62" s="634">
        <f t="shared" si="9"/>
        <v>16.18902344902699</v>
      </c>
      <c r="L62" s="878">
        <f t="shared" si="6"/>
        <v>9.9190475820000009E-5</v>
      </c>
      <c r="M62" s="383">
        <f t="shared" si="7"/>
        <v>0.15012752808900001</v>
      </c>
      <c r="N62" s="1319">
        <f t="shared" si="8"/>
        <v>12543.387669504489</v>
      </c>
    </row>
    <row r="63" spans="1:14" ht="16.5" x14ac:dyDescent="0.3">
      <c r="A63" s="153"/>
      <c r="B63" s="153"/>
      <c r="C63" s="6">
        <v>1210005</v>
      </c>
      <c r="D63" s="74" t="s">
        <v>1155</v>
      </c>
      <c r="E63" s="7">
        <v>3.226996765845E-3</v>
      </c>
      <c r="F63" s="8">
        <v>0.96472250100000001</v>
      </c>
      <c r="G63" s="879">
        <f>VLOOKUP(C63,[2]Hoja1!$C$2:$E$279,3,FALSE)</f>
        <v>1356</v>
      </c>
      <c r="H63" s="32">
        <f t="shared" si="4"/>
        <v>4.3758076144858205</v>
      </c>
      <c r="I63" s="880">
        <v>1360</v>
      </c>
      <c r="J63" s="32">
        <f t="shared" si="5"/>
        <v>4.3887156015492002</v>
      </c>
      <c r="K63" s="634">
        <f>((H63/J63)*100)-100</f>
        <v>-0.29411764705881183</v>
      </c>
      <c r="L63" s="878">
        <f t="shared" si="6"/>
        <v>3.226996765845E-3</v>
      </c>
      <c r="M63" s="383">
        <f t="shared" si="7"/>
        <v>4.8841488419377495</v>
      </c>
      <c r="N63" s="1319">
        <f t="shared" si="8"/>
        <v>6622.9058296675885</v>
      </c>
    </row>
    <row r="64" spans="1:14" ht="16.5" x14ac:dyDescent="0.3">
      <c r="A64" s="153"/>
      <c r="B64" s="153"/>
      <c r="C64" s="6">
        <v>1210004</v>
      </c>
      <c r="D64" s="74" t="s">
        <v>1131</v>
      </c>
      <c r="E64" s="7">
        <v>2.8430941230000003E-4</v>
      </c>
      <c r="F64" s="8">
        <v>8.4995340000000003E-2</v>
      </c>
      <c r="G64" s="879">
        <f>VLOOKUP(C64,[2]Hoja1!$C$2:$E$279,3,FALSE)</f>
        <v>3841</v>
      </c>
      <c r="H64" s="32">
        <f t="shared" si="4"/>
        <v>1.0920324526443002</v>
      </c>
      <c r="I64" s="95">
        <v>3508.01</v>
      </c>
      <c r="J64" s="32">
        <f t="shared" si="5"/>
        <v>0.99736026144252321</v>
      </c>
      <c r="K64" s="634">
        <f t="shared" si="9"/>
        <v>9.4922762477871885</v>
      </c>
      <c r="L64" s="878">
        <f t="shared" si="6"/>
        <v>2.8430941230000003E-4</v>
      </c>
      <c r="M64" s="383">
        <f t="shared" si="7"/>
        <v>0.43031015758499996</v>
      </c>
      <c r="N64" s="1319">
        <f t="shared" si="8"/>
        <v>1652.8213152839849</v>
      </c>
    </row>
    <row r="65" spans="1:14" ht="16.5" x14ac:dyDescent="0.3">
      <c r="A65" s="153"/>
      <c r="B65" s="153"/>
      <c r="C65" s="6">
        <v>121007</v>
      </c>
      <c r="D65" s="74" t="s">
        <v>821</v>
      </c>
      <c r="E65" s="7">
        <v>1.6730126680800002E-3</v>
      </c>
      <c r="F65" s="8">
        <v>0.49</v>
      </c>
      <c r="G65" s="879">
        <f>VLOOKUP(C65,[2]Hoja1!$C$2:$E$279,3,FALSE)</f>
        <v>16905</v>
      </c>
      <c r="H65" s="32">
        <f t="shared" si="4"/>
        <v>28.282279153892404</v>
      </c>
      <c r="I65" s="880">
        <v>16100</v>
      </c>
      <c r="J65" s="32">
        <f t="shared" si="5"/>
        <v>26.935503956088002</v>
      </c>
      <c r="K65" s="634">
        <f t="shared" si="9"/>
        <v>5</v>
      </c>
      <c r="L65" s="878">
        <f t="shared" si="6"/>
        <v>1.63905E-3</v>
      </c>
      <c r="M65" s="383">
        <f t="shared" si="7"/>
        <v>2.4807474999999997</v>
      </c>
      <c r="N65" s="1319">
        <f t="shared" si="8"/>
        <v>41937.036487499994</v>
      </c>
    </row>
    <row r="66" spans="1:14" ht="16.5" x14ac:dyDescent="0.3">
      <c r="A66" s="153"/>
      <c r="B66" s="153"/>
      <c r="C66" s="6">
        <v>1210003</v>
      </c>
      <c r="D66" s="74" t="s">
        <v>1143</v>
      </c>
      <c r="E66" s="7">
        <v>1.6531745635500002E-4</v>
      </c>
      <c r="F66" s="8">
        <v>4.9422259000000003E-2</v>
      </c>
      <c r="G66" s="879">
        <f>VLOOKUP(C66,[2]Hoja1!$C$2:$E$279,3,FALSE)</f>
        <v>16235.45</v>
      </c>
      <c r="H66" s="32">
        <f t="shared" si="4"/>
        <v>2.6840032967787852</v>
      </c>
      <c r="I66" s="914">
        <v>12852.58</v>
      </c>
      <c r="J66" s="32">
        <f t="shared" si="5"/>
        <v>2.1247558331991461</v>
      </c>
      <c r="K66" s="634">
        <f>((H66/J66)*100)-100</f>
        <v>26.320551982559152</v>
      </c>
      <c r="L66" s="878">
        <f t="shared" si="6"/>
        <v>1.6531745635500002E-4</v>
      </c>
      <c r="M66" s="383">
        <f t="shared" si="7"/>
        <v>0.25021254175225</v>
      </c>
      <c r="N66" s="1319">
        <f t="shared" si="8"/>
        <v>4062.3132109915673</v>
      </c>
    </row>
    <row r="67" spans="1:14" ht="16.5" x14ac:dyDescent="0.3">
      <c r="A67" s="153"/>
      <c r="B67" s="153"/>
      <c r="C67" s="6">
        <v>1240002</v>
      </c>
      <c r="D67" s="74" t="s">
        <v>1140</v>
      </c>
      <c r="E67" s="7">
        <v>1.3380000000000002E-3</v>
      </c>
      <c r="F67" s="8">
        <v>0.4</v>
      </c>
      <c r="G67" s="879">
        <f>VLOOKUP(C67,[2]Hoja1!$C$2:$E$279,3,FALSE)</f>
        <v>66115.8</v>
      </c>
      <c r="H67" s="32">
        <f t="shared" si="4"/>
        <v>88.462940400000022</v>
      </c>
      <c r="I67" s="914">
        <v>70840.75</v>
      </c>
      <c r="J67" s="32">
        <f t="shared" si="5"/>
        <v>94.784923500000019</v>
      </c>
      <c r="K67" s="634">
        <f t="shared" si="9"/>
        <v>-6.6698192777461998</v>
      </c>
      <c r="L67" s="878">
        <f t="shared" si="6"/>
        <v>1.3380000000000002E-3</v>
      </c>
      <c r="M67" s="383">
        <f t="shared" si="7"/>
        <v>2.0251000000000001</v>
      </c>
      <c r="N67" s="1319">
        <f t="shared" si="8"/>
        <v>133891.10658000002</v>
      </c>
    </row>
    <row r="68" spans="1:14" ht="16.5" x14ac:dyDescent="0.3">
      <c r="A68" s="153"/>
      <c r="B68" s="153"/>
      <c r="C68" s="6">
        <v>1230008</v>
      </c>
      <c r="D68" s="74" t="s">
        <v>1183</v>
      </c>
      <c r="E68" s="7">
        <v>2.5128253506450002E-3</v>
      </c>
      <c r="F68" s="8">
        <v>0.75121834099999996</v>
      </c>
      <c r="G68" s="879">
        <f>VLOOKUP(C68,[2]Hoja1!$C$2:$E$279,3,FALSE)</f>
        <v>26735</v>
      </c>
      <c r="H68" s="32">
        <f t="shared" si="4"/>
        <v>67.180385749494079</v>
      </c>
      <c r="I68" s="95">
        <v>25396</v>
      </c>
      <c r="J68" s="32">
        <f t="shared" si="5"/>
        <v>63.815712604980426</v>
      </c>
      <c r="K68" s="634">
        <f t="shared" si="9"/>
        <v>5.272483855725298</v>
      </c>
      <c r="L68" s="878">
        <f t="shared" si="6"/>
        <v>2.5128253506450002E-3</v>
      </c>
      <c r="M68" s="383">
        <f t="shared" si="7"/>
        <v>3.8032306558977496</v>
      </c>
      <c r="N68" s="1319">
        <f t="shared" si="8"/>
        <v>101679.37158542633</v>
      </c>
    </row>
    <row r="69" spans="1:14" ht="16.5" x14ac:dyDescent="0.3">
      <c r="A69" s="153"/>
      <c r="B69" s="153"/>
      <c r="C69" s="6">
        <v>1230010</v>
      </c>
      <c r="D69" s="74" t="s">
        <v>1164</v>
      </c>
      <c r="E69" s="7">
        <v>1.3423777520250001E-3</v>
      </c>
      <c r="F69" s="8">
        <v>0.40130874500000002</v>
      </c>
      <c r="G69" s="879">
        <f>VLOOKUP(C69,[2]Hoja1!$C$2:$E$279,3,FALSE)</f>
        <v>53831</v>
      </c>
      <c r="H69" s="32">
        <f t="shared" si="4"/>
        <v>72.261536769257773</v>
      </c>
      <c r="I69" s="95">
        <v>50310</v>
      </c>
      <c r="J69" s="32">
        <f t="shared" si="5"/>
        <v>67.535024704377747</v>
      </c>
      <c r="K69" s="634">
        <f t="shared" si="9"/>
        <v>6.9986086265156047</v>
      </c>
      <c r="L69" s="878">
        <f t="shared" si="6"/>
        <v>1.3423777520250001E-3</v>
      </c>
      <c r="M69" s="383">
        <f t="shared" si="7"/>
        <v>2.0317258487487502</v>
      </c>
      <c r="N69" s="1319">
        <f t="shared" si="8"/>
        <v>109369.83416399398</v>
      </c>
    </row>
    <row r="70" spans="1:14" ht="16.5" x14ac:dyDescent="0.3">
      <c r="A70" s="153"/>
      <c r="B70" s="153"/>
      <c r="C70" s="6">
        <v>1220010</v>
      </c>
      <c r="D70" s="74" t="s">
        <v>1144</v>
      </c>
      <c r="E70" s="7">
        <v>1.6730126680800002E-3</v>
      </c>
      <c r="F70" s="8">
        <v>0.49</v>
      </c>
      <c r="G70" s="879">
        <f>VLOOKUP(C70,[2]Hoja1!$C$2:$E$279,3,FALSE)</f>
        <v>4744.72</v>
      </c>
      <c r="H70" s="32">
        <f t="shared" si="4"/>
        <v>7.9379766664925384</v>
      </c>
      <c r="I70" s="95">
        <v>9381</v>
      </c>
      <c r="J70" s="32">
        <f t="shared" si="5"/>
        <v>15.694531839258481</v>
      </c>
      <c r="K70" s="634">
        <f t="shared" si="9"/>
        <v>-49.422023238460724</v>
      </c>
      <c r="L70" s="878">
        <f t="shared" si="6"/>
        <v>1.63905E-3</v>
      </c>
      <c r="M70" s="383">
        <f t="shared" si="7"/>
        <v>2.4807474999999997</v>
      </c>
      <c r="N70" s="1319">
        <f t="shared" si="8"/>
        <v>11770.452278199999</v>
      </c>
    </row>
    <row r="71" spans="1:14" ht="16.5" x14ac:dyDescent="0.3">
      <c r="A71" s="153"/>
      <c r="B71" s="153"/>
      <c r="C71" s="6">
        <v>1270009</v>
      </c>
      <c r="D71" s="553" t="s">
        <v>1225</v>
      </c>
      <c r="E71" s="7">
        <v>1.9838094829499999E-4</v>
      </c>
      <c r="F71" s="8">
        <v>5.9306710999999998E-2</v>
      </c>
      <c r="G71" s="879">
        <f>VLOOKUP(C71,[2]Hoja1!$C$2:$E$279,3,FALSE)</f>
        <v>57046.53</v>
      </c>
      <c r="H71" s="32">
        <f t="shared" si="4"/>
        <v>11.316944718339165</v>
      </c>
      <c r="I71" s="95">
        <v>53849.37</v>
      </c>
      <c r="J71" s="32">
        <f t="shared" si="5"/>
        <v>10.682689085688324</v>
      </c>
      <c r="K71" s="634">
        <f t="shared" si="9"/>
        <v>5.937228234982129</v>
      </c>
      <c r="L71" s="878">
        <f t="shared" si="6"/>
        <v>1.9838094829499999E-4</v>
      </c>
      <c r="M71" s="383">
        <f t="shared" si="7"/>
        <v>0.30025505111524997</v>
      </c>
      <c r="N71" s="1319">
        <f t="shared" si="8"/>
        <v>17128.50878109764</v>
      </c>
    </row>
    <row r="72" spans="1:14" ht="16.5" x14ac:dyDescent="0.3">
      <c r="A72" s="153"/>
      <c r="B72" s="153"/>
      <c r="C72" s="6">
        <v>1260014</v>
      </c>
      <c r="D72" s="74" t="s">
        <v>825</v>
      </c>
      <c r="E72" s="7">
        <v>3.3063491438250002E-3</v>
      </c>
      <c r="F72" s="8">
        <v>0.988445185</v>
      </c>
      <c r="G72" s="879">
        <f>VLOOKUP(C72,[2]Hoja1!$C$2:$E$279,3,FALSE)</f>
        <v>28083.42</v>
      </c>
      <c r="H72" s="32">
        <f t="shared" si="4"/>
        <v>92.853591672677879</v>
      </c>
      <c r="I72" s="95">
        <v>40834.379999999997</v>
      </c>
      <c r="J72" s="32">
        <f t="shared" si="5"/>
        <v>135.0127173516247</v>
      </c>
      <c r="K72" s="634">
        <f t="shared" si="9"/>
        <v>-31.226040410066219</v>
      </c>
      <c r="L72" s="878">
        <f t="shared" si="6"/>
        <v>3.3063491438250002E-3</v>
      </c>
      <c r="M72" s="383">
        <f t="shared" si="7"/>
        <v>5.0042508603587494</v>
      </c>
      <c r="N72" s="1319">
        <f t="shared" si="8"/>
        <v>140536.47869681611</v>
      </c>
    </row>
    <row r="73" spans="1:14" ht="16.5" x14ac:dyDescent="0.3">
      <c r="A73" s="153"/>
      <c r="B73" s="153"/>
      <c r="C73" s="6">
        <v>1260009</v>
      </c>
      <c r="D73" s="74" t="s">
        <v>1027</v>
      </c>
      <c r="E73" s="7">
        <v>1.005791409963E-2</v>
      </c>
      <c r="F73" s="8">
        <v>2.96</v>
      </c>
      <c r="G73" s="879">
        <f>VLOOKUP(C73,[2]Hoja1!$C$2:$E$279,3,FALSE)</f>
        <v>7033.69</v>
      </c>
      <c r="H73" s="32">
        <f t="shared" si="4"/>
        <v>70.744249823426529</v>
      </c>
      <c r="I73" s="8">
        <v>9565.2099999999991</v>
      </c>
      <c r="J73" s="32">
        <f t="shared" si="5"/>
        <v>96.206060524921867</v>
      </c>
      <c r="K73" s="634">
        <f t="shared" si="9"/>
        <v>-26.465911360022417</v>
      </c>
      <c r="L73" s="878">
        <f t="shared" si="6"/>
        <v>9.9012000000000006E-3</v>
      </c>
      <c r="M73" s="383">
        <f t="shared" si="7"/>
        <v>14.98574</v>
      </c>
      <c r="N73" s="1319">
        <f t="shared" si="8"/>
        <v>105405.0495806</v>
      </c>
    </row>
    <row r="74" spans="1:14" ht="16.5" x14ac:dyDescent="0.3">
      <c r="A74" s="153"/>
      <c r="B74" s="153"/>
      <c r="C74" s="6">
        <v>1260011</v>
      </c>
      <c r="D74" s="74" t="s">
        <v>739</v>
      </c>
      <c r="E74" s="7">
        <v>6.705276066420001E-3</v>
      </c>
      <c r="F74" s="8">
        <v>2.004566836</v>
      </c>
      <c r="G74" s="879">
        <f>VLOOKUP(C74,[2]Hoja1!$C$2:$E$279,3,FALSE)</f>
        <v>4450.01</v>
      </c>
      <c r="H74" s="32">
        <f t="shared" si="4"/>
        <v>29.83854554832967</v>
      </c>
      <c r="I74" s="880">
        <v>5752.34</v>
      </c>
      <c r="J74" s="32">
        <f t="shared" si="5"/>
        <v>38.571027727910433</v>
      </c>
      <c r="K74" s="634">
        <f t="shared" si="9"/>
        <v>-22.640003894067462</v>
      </c>
      <c r="L74" s="878">
        <f t="shared" si="6"/>
        <v>6.705276066420001E-3</v>
      </c>
      <c r="M74" s="383">
        <f t="shared" si="7"/>
        <v>10.148620748959001</v>
      </c>
      <c r="N74" s="1319">
        <f t="shared" si="8"/>
        <v>45161.463819075048</v>
      </c>
    </row>
    <row r="75" spans="1:14" ht="16.5" x14ac:dyDescent="0.3">
      <c r="A75" s="153"/>
      <c r="B75" s="153"/>
      <c r="C75" s="6">
        <v>1260005</v>
      </c>
      <c r="D75" s="74" t="s">
        <v>811</v>
      </c>
      <c r="E75" s="7">
        <v>3.3063491438250002E-3</v>
      </c>
      <c r="F75" s="8">
        <v>0.988445185</v>
      </c>
      <c r="G75" s="879">
        <f>VLOOKUP(C75,[2]Hoja1!$C$2:$E$279,3,FALSE)</f>
        <v>26429</v>
      </c>
      <c r="H75" s="32">
        <f t="shared" si="4"/>
        <v>87.383501522150937</v>
      </c>
      <c r="I75" s="896">
        <v>25850</v>
      </c>
      <c r="J75" s="32">
        <f t="shared" si="5"/>
        <v>85.469125367876259</v>
      </c>
      <c r="K75" s="634">
        <f t="shared" si="9"/>
        <v>2.2398452611218715</v>
      </c>
      <c r="L75" s="878">
        <f t="shared" si="6"/>
        <v>3.3063491438250002E-3</v>
      </c>
      <c r="M75" s="383">
        <f t="shared" si="7"/>
        <v>5.0042508603587494</v>
      </c>
      <c r="N75" s="1319">
        <f t="shared" si="8"/>
        <v>132257.34598842138</v>
      </c>
    </row>
    <row r="76" spans="1:14" ht="16.5" x14ac:dyDescent="0.3">
      <c r="A76" s="153"/>
      <c r="B76" s="153"/>
      <c r="C76" s="6">
        <v>1260025</v>
      </c>
      <c r="D76" s="74" t="s">
        <v>1263</v>
      </c>
      <c r="E76" s="7">
        <v>1.0035000000000001E-3</v>
      </c>
      <c r="F76" s="8">
        <v>0.3</v>
      </c>
      <c r="G76" s="879">
        <f>VLOOKUP(C76,[2]Hoja1!$C$2:$E$279,3,FALSE)</f>
        <v>60648.01</v>
      </c>
      <c r="H76" s="32">
        <f t="shared" si="4"/>
        <v>60.860278035000007</v>
      </c>
      <c r="I76" s="1524">
        <v>134302.01999999999</v>
      </c>
      <c r="J76" s="32">
        <f t="shared" si="5"/>
        <v>134.77207706999999</v>
      </c>
      <c r="K76" s="634"/>
      <c r="L76" s="878">
        <f t="shared" si="6"/>
        <v>1.0035000000000001E-3</v>
      </c>
      <c r="M76" s="383">
        <f t="shared" si="7"/>
        <v>1.5188249999999999</v>
      </c>
      <c r="N76" s="1319">
        <f t="shared" si="8"/>
        <v>92113.713788249996</v>
      </c>
    </row>
    <row r="77" spans="1:14" x14ac:dyDescent="0.25">
      <c r="C77" s="1884" t="s">
        <v>37</v>
      </c>
      <c r="D77" s="1885"/>
      <c r="E77" s="1500">
        <f>SUM(E57:E75)</f>
        <v>0.33348267617871008</v>
      </c>
      <c r="F77" s="1501">
        <f>SUM(F57:F76)</f>
        <v>99.998091125999977</v>
      </c>
      <c r="G77" s="1502"/>
      <c r="H77" s="1503">
        <f>SUM(H57:H76)</f>
        <v>2928.1564379376432</v>
      </c>
      <c r="I77" s="1504"/>
      <c r="J77" s="1505">
        <f>SUM(J57:J76)</f>
        <v>3555.4601987207016</v>
      </c>
      <c r="K77" s="1506">
        <f>((H77/J77)*100)-100</f>
        <v>-17.643391452076159</v>
      </c>
      <c r="L77" s="1505"/>
      <c r="M77" s="383"/>
      <c r="N77" s="1686">
        <f>SUM(N57:N76)</f>
        <v>4426001.472040439</v>
      </c>
    </row>
    <row r="78" spans="1:14" x14ac:dyDescent="0.25">
      <c r="H78" s="263"/>
      <c r="K78" s="913"/>
    </row>
    <row r="80" spans="1:14" ht="25.5" x14ac:dyDescent="0.35">
      <c r="C80" s="1760" t="s">
        <v>50</v>
      </c>
      <c r="D80" s="1754"/>
      <c r="E80" s="38">
        <f>+D83+(D83*D89%)</f>
        <v>334.5</v>
      </c>
      <c r="F80" s="91"/>
      <c r="G80" s="186"/>
      <c r="H80" s="91"/>
      <c r="I80" s="91"/>
      <c r="J80" s="91"/>
      <c r="K80" s="1"/>
      <c r="L80" s="1"/>
      <c r="M80" s="1"/>
    </row>
    <row r="81" spans="3:13" x14ac:dyDescent="0.25">
      <c r="C81" s="1264" t="s">
        <v>38</v>
      </c>
      <c r="D81" s="93" t="s">
        <v>113</v>
      </c>
      <c r="E81" s="38"/>
      <c r="G81" s="107"/>
      <c r="I81" s="38"/>
      <c r="J81" s="1"/>
      <c r="K81" s="1"/>
      <c r="L81" s="1"/>
      <c r="M81" s="1"/>
    </row>
    <row r="82" spans="3:13" x14ac:dyDescent="0.25">
      <c r="C82" s="1265" t="s">
        <v>39</v>
      </c>
      <c r="D82" s="21" t="s">
        <v>391</v>
      </c>
      <c r="E82" s="38"/>
      <c r="G82" s="107"/>
      <c r="I82" s="38"/>
      <c r="J82" s="1"/>
      <c r="K82" s="1"/>
      <c r="L82" s="1"/>
      <c r="M82" s="1"/>
    </row>
    <row r="83" spans="3:13" x14ac:dyDescent="0.25">
      <c r="C83" s="1265" t="s">
        <v>40</v>
      </c>
      <c r="D83" s="21">
        <v>300</v>
      </c>
      <c r="E83" s="38"/>
      <c r="G83" s="107"/>
      <c r="I83" s="38"/>
      <c r="J83" s="1"/>
      <c r="K83" s="1"/>
      <c r="L83" s="1"/>
      <c r="M83" s="1"/>
    </row>
    <row r="84" spans="3:13" x14ac:dyDescent="0.25">
      <c r="C84" s="1265" t="s">
        <v>41</v>
      </c>
      <c r="D84" s="21">
        <v>0</v>
      </c>
      <c r="E84" s="38"/>
      <c r="G84" s="107"/>
      <c r="I84" s="38"/>
      <c r="J84" s="1"/>
      <c r="K84" s="1"/>
      <c r="L84" s="1"/>
      <c r="M84" s="1"/>
    </row>
    <row r="85" spans="3:13" x14ac:dyDescent="0.25">
      <c r="C85" s="1265" t="s">
        <v>42</v>
      </c>
      <c r="D85" s="21">
        <v>0.5</v>
      </c>
      <c r="E85" s="38"/>
      <c r="G85" s="107"/>
      <c r="I85" s="38"/>
      <c r="J85" s="1"/>
      <c r="K85" s="1"/>
      <c r="L85" s="1"/>
      <c r="M85" s="1"/>
    </row>
    <row r="86" spans="3:13" x14ac:dyDescent="0.25">
      <c r="C86" s="1265" t="s">
        <v>43</v>
      </c>
      <c r="D86" s="21">
        <v>0.5</v>
      </c>
      <c r="E86" s="38"/>
      <c r="G86" s="107"/>
      <c r="I86" s="38"/>
      <c r="J86" s="1"/>
      <c r="K86" s="1"/>
      <c r="L86" s="1"/>
      <c r="M86" s="1"/>
    </row>
    <row r="87" spans="3:13" x14ac:dyDescent="0.25">
      <c r="C87" s="1265" t="s">
        <v>44</v>
      </c>
      <c r="D87" s="21">
        <v>7</v>
      </c>
      <c r="E87" s="38"/>
      <c r="G87" s="107"/>
      <c r="I87" s="38"/>
      <c r="J87" s="1"/>
      <c r="K87" s="1"/>
      <c r="L87" s="1"/>
      <c r="M87" s="1"/>
    </row>
    <row r="88" spans="3:13" x14ac:dyDescent="0.25">
      <c r="C88" s="1265" t="s">
        <v>45</v>
      </c>
      <c r="D88" s="21">
        <v>3.5</v>
      </c>
      <c r="E88" s="38"/>
      <c r="G88" s="107"/>
      <c r="I88" s="38"/>
      <c r="J88" s="1"/>
      <c r="K88" s="1"/>
      <c r="L88" s="1"/>
      <c r="M88" s="1"/>
    </row>
    <row r="89" spans="3:13" x14ac:dyDescent="0.25">
      <c r="C89" s="1265" t="s">
        <v>46</v>
      </c>
      <c r="D89" s="21">
        <f>D88+D87+D86+D85</f>
        <v>11.5</v>
      </c>
      <c r="E89" s="38"/>
      <c r="G89" s="107"/>
      <c r="I89" s="38"/>
      <c r="J89" s="1"/>
      <c r="K89" s="1"/>
      <c r="L89" s="1"/>
      <c r="M89" s="1"/>
    </row>
    <row r="90" spans="3:13" x14ac:dyDescent="0.25">
      <c r="G90" s="107"/>
      <c r="J90" s="1"/>
      <c r="K90" s="1"/>
      <c r="L90" s="1"/>
      <c r="M90" s="1"/>
    </row>
    <row r="91" spans="3:13" ht="25.5" x14ac:dyDescent="0.35">
      <c r="C91" s="1805" t="s">
        <v>47</v>
      </c>
      <c r="D91" s="1806"/>
      <c r="E91" s="1806"/>
      <c r="F91" s="1806"/>
      <c r="G91" s="1806"/>
      <c r="H91" s="1806"/>
      <c r="I91" s="1806"/>
      <c r="J91" s="1806"/>
      <c r="K91" s="1"/>
      <c r="L91" s="1"/>
      <c r="M91" s="1"/>
    </row>
    <row r="92" spans="3:13" ht="25.5" x14ac:dyDescent="0.25">
      <c r="C92" s="1256" t="s">
        <v>0</v>
      </c>
      <c r="D92" s="1256" t="s">
        <v>1</v>
      </c>
      <c r="E92" s="1318" t="s">
        <v>2</v>
      </c>
      <c r="F92" s="1243" t="str">
        <f>+'CIF Y PV'!$F$4</f>
        <v xml:space="preserve">JUN-COP/UMB </v>
      </c>
      <c r="G92" s="1243" t="str">
        <f>+'CIF Y PV'!$G$4</f>
        <v>JUN-COP/APP</v>
      </c>
      <c r="H92" s="1243" t="str">
        <f>+'CIF Y PV'!$H$4</f>
        <v xml:space="preserve">MAY-COP/UMB </v>
      </c>
      <c r="I92" s="1243" t="str">
        <f>+'CIF Y PV'!$I$4</f>
        <v>MAY-COP/APP</v>
      </c>
      <c r="J92" s="1326" t="s">
        <v>3</v>
      </c>
      <c r="K92" s="38">
        <v>160000</v>
      </c>
      <c r="L92" s="38"/>
      <c r="M92" s="38"/>
    </row>
    <row r="93" spans="3:13" x14ac:dyDescent="0.25">
      <c r="C93" s="4">
        <v>1370002</v>
      </c>
      <c r="D93" s="4" t="s">
        <v>1165</v>
      </c>
      <c r="E93" s="1545">
        <v>3.4000000000000002E-2</v>
      </c>
      <c r="F93" s="24">
        <f>VLOOKUP(C93,[2]Hoja1!$C$2:$E$279,3,FALSE)</f>
        <v>5325.93</v>
      </c>
      <c r="G93" s="24">
        <f>F93*E93</f>
        <v>181.08162000000002</v>
      </c>
      <c r="H93" s="24">
        <v>4879.67</v>
      </c>
      <c r="I93" s="24">
        <f>H93*E93</f>
        <v>165.90878000000001</v>
      </c>
      <c r="J93" s="643">
        <v>5159.25</v>
      </c>
      <c r="K93" s="38">
        <f>$K$92*E93</f>
        <v>5440</v>
      </c>
      <c r="L93" s="38"/>
      <c r="M93" s="38"/>
    </row>
    <row r="94" spans="3:13" x14ac:dyDescent="0.25">
      <c r="C94" s="4">
        <v>1380002</v>
      </c>
      <c r="D94" s="4" t="s">
        <v>1051</v>
      </c>
      <c r="E94" s="103">
        <v>6.7000000000000004E-2</v>
      </c>
      <c r="F94" s="24">
        <f>VLOOKUP(C94,[2]Hoja1!$C$2:$E$279,3,FALSE)</f>
        <v>73.33</v>
      </c>
      <c r="G94" s="24">
        <f>F94*E94</f>
        <v>4.9131100000000005</v>
      </c>
      <c r="H94" s="24">
        <v>76.61</v>
      </c>
      <c r="I94" s="24">
        <f>H94*E94</f>
        <v>5.1328700000000005</v>
      </c>
      <c r="J94" s="643">
        <v>54.19</v>
      </c>
      <c r="K94" s="38">
        <f>$K$92*E94</f>
        <v>10720</v>
      </c>
      <c r="L94" s="38"/>
      <c r="M94" s="38"/>
    </row>
    <row r="95" spans="3:13" x14ac:dyDescent="0.25">
      <c r="C95" s="4">
        <v>1310001</v>
      </c>
      <c r="D95" s="226" t="s">
        <v>1193</v>
      </c>
      <c r="E95" s="103">
        <v>4.7E-2</v>
      </c>
      <c r="F95" s="24">
        <f>VLOOKUP(C95,[2]Hoja1!$C$2:$E$279,3,FALSE)</f>
        <v>714.19</v>
      </c>
      <c r="G95" s="24">
        <f>F95*E95</f>
        <v>33.566929999999999</v>
      </c>
      <c r="H95" s="24">
        <v>649.65</v>
      </c>
      <c r="I95" s="24">
        <f>H95*E95</f>
        <v>30.533549999999998</v>
      </c>
      <c r="J95" s="643">
        <v>682.24</v>
      </c>
      <c r="K95" s="38">
        <f>K92*E95</f>
        <v>7520</v>
      </c>
      <c r="L95" s="38"/>
      <c r="M95" s="38"/>
    </row>
    <row r="96" spans="3:13" x14ac:dyDescent="0.25">
      <c r="C96" s="4">
        <v>1320003</v>
      </c>
      <c r="D96" s="226" t="s">
        <v>919</v>
      </c>
      <c r="E96" s="103">
        <v>4.7E-2</v>
      </c>
      <c r="F96" s="24">
        <f>VLOOKUP(C96,[2]Hoja1!$C$2:$E$279,3,FALSE)</f>
        <v>701.94</v>
      </c>
      <c r="G96" s="24">
        <f>F96*E96</f>
        <v>32.99118</v>
      </c>
      <c r="H96" s="24">
        <v>700.44</v>
      </c>
      <c r="I96" s="24">
        <f>H96*E96</f>
        <v>32.920680000000004</v>
      </c>
      <c r="J96" s="643">
        <v>678.79</v>
      </c>
      <c r="K96" s="38">
        <f>$K$92*E96</f>
        <v>7520</v>
      </c>
      <c r="L96" s="38"/>
      <c r="M96" s="38"/>
    </row>
    <row r="97" spans="3:13" ht="15" x14ac:dyDescent="0.25">
      <c r="C97" s="4">
        <v>1350001</v>
      </c>
      <c r="D97" s="226" t="s">
        <v>1194</v>
      </c>
      <c r="E97" s="103">
        <v>3.125E-2</v>
      </c>
      <c r="F97" s="24">
        <f>VLOOKUP(C97,[2]Hoja1!$C$2:$E$279,3,FALSE)</f>
        <v>2289</v>
      </c>
      <c r="G97" s="24">
        <f>F97*E97</f>
        <v>71.53125</v>
      </c>
      <c r="H97" s="866">
        <v>2140.89</v>
      </c>
      <c r="I97" s="24">
        <f>H97*E97</f>
        <v>66.902812499999996</v>
      </c>
      <c r="J97" s="643">
        <v>1982</v>
      </c>
      <c r="K97" s="38">
        <f>$K$92*E97</f>
        <v>5000</v>
      </c>
      <c r="L97" s="38"/>
      <c r="M97" s="38"/>
    </row>
    <row r="98" spans="3:13" x14ac:dyDescent="0.25">
      <c r="C98" s="1256"/>
      <c r="D98" s="1256" t="s">
        <v>37</v>
      </c>
      <c r="E98" s="1318"/>
      <c r="F98" s="1257"/>
      <c r="G98" s="1386">
        <f>SUM(G93:G97)</f>
        <v>324.08409</v>
      </c>
      <c r="H98" s="1386"/>
      <c r="I98" s="1386">
        <f>SUM(I93:I97)</f>
        <v>301.39869249999998</v>
      </c>
      <c r="J98" s="1268">
        <f>((G98/I98)*100)-100</f>
        <v>7.5267073363299346</v>
      </c>
      <c r="K98" s="1"/>
      <c r="L98" s="1"/>
      <c r="M98" s="1"/>
    </row>
    <row r="99" spans="3:13" x14ac:dyDescent="0.25">
      <c r="G99" s="107"/>
      <c r="J99" s="873"/>
      <c r="K99" s="1"/>
      <c r="L99" s="1"/>
      <c r="M99" s="1"/>
    </row>
    <row r="100" spans="3:13" x14ac:dyDescent="0.25">
      <c r="C100" s="1750" t="s">
        <v>397</v>
      </c>
      <c r="D100" s="1750"/>
      <c r="F100" s="881"/>
      <c r="G100" s="881"/>
      <c r="H100" s="881"/>
      <c r="I100" s="881">
        <f>+G98+H77</f>
        <v>3252.240527937643</v>
      </c>
      <c r="J100" s="181"/>
      <c r="K100" s="881"/>
      <c r="L100" s="181"/>
      <c r="M100" s="1"/>
    </row>
    <row r="101" spans="3:13" x14ac:dyDescent="0.25">
      <c r="C101" s="1758" t="s">
        <v>48</v>
      </c>
      <c r="D101" s="1759"/>
      <c r="F101" s="881"/>
      <c r="G101" s="881"/>
      <c r="H101" s="881"/>
      <c r="I101" s="881">
        <f>+('CIF Y PV'!C3/1000)*300</f>
        <v>567</v>
      </c>
      <c r="J101" s="182"/>
      <c r="K101" s="881"/>
      <c r="L101" s="182"/>
      <c r="M101" s="1"/>
    </row>
    <row r="102" spans="3:13" x14ac:dyDescent="0.25">
      <c r="C102" s="1758" t="s">
        <v>398</v>
      </c>
      <c r="D102" s="1759"/>
      <c r="F102" s="881"/>
      <c r="G102" s="881"/>
      <c r="H102" s="881"/>
      <c r="I102" s="881">
        <f>+I101+I100</f>
        <v>3819.240527937643</v>
      </c>
      <c r="J102" s="152"/>
      <c r="K102" s="881"/>
      <c r="L102" s="152"/>
      <c r="M102" s="1"/>
    </row>
    <row r="103" spans="3:13" x14ac:dyDescent="0.25">
      <c r="C103" s="1750" t="s">
        <v>49</v>
      </c>
      <c r="D103" s="1750"/>
      <c r="F103" s="881"/>
      <c r="G103" s="881"/>
      <c r="H103" s="881"/>
      <c r="I103" s="881">
        <f>'CIF Y PV'!C30</f>
        <v>6029</v>
      </c>
      <c r="K103" s="881"/>
      <c r="L103" s="339"/>
      <c r="M103" s="1"/>
    </row>
    <row r="104" spans="3:13" x14ac:dyDescent="0.25">
      <c r="C104" s="1750" t="s">
        <v>805</v>
      </c>
      <c r="D104" s="1750"/>
      <c r="F104" s="881"/>
      <c r="G104" s="881"/>
      <c r="H104" s="881"/>
      <c r="I104" s="928">
        <f>+(I103-I102)/I103</f>
        <v>0.36652172367927632</v>
      </c>
      <c r="J104" s="137"/>
      <c r="K104" s="38"/>
      <c r="L104" s="137"/>
      <c r="M104" s="1"/>
    </row>
  </sheetData>
  <mergeCells count="13">
    <mergeCell ref="C2:H2"/>
    <mergeCell ref="C25:D25"/>
    <mergeCell ref="C27:H27"/>
    <mergeCell ref="C50:D50"/>
    <mergeCell ref="C104:D104"/>
    <mergeCell ref="C101:D101"/>
    <mergeCell ref="C102:D102"/>
    <mergeCell ref="C103:D103"/>
    <mergeCell ref="C77:D77"/>
    <mergeCell ref="C80:D80"/>
    <mergeCell ref="C91:J91"/>
    <mergeCell ref="C100:D100"/>
    <mergeCell ref="C54:G54"/>
  </mergeCells>
  <pageMargins left="0.7" right="0.7" top="0.75" bottom="0.75" header="0.3" footer="0.3"/>
  <pageSetup scale="36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73EC-2C57-400E-8410-575AA8577AB8}">
  <sheetPr codeName="Hoja85"/>
  <dimension ref="B2:M56"/>
  <sheetViews>
    <sheetView view="pageBreakPreview" topLeftCell="A35" zoomScale="90" zoomScaleNormal="100" zoomScaleSheetLayoutView="90" workbookViewId="0">
      <selection activeCell="F29" sqref="F29"/>
    </sheetView>
  </sheetViews>
  <sheetFormatPr baseColWidth="10" defaultColWidth="11.5703125" defaultRowHeight="16.5" x14ac:dyDescent="0.3"/>
  <cols>
    <col min="1" max="1" width="10" style="527" customWidth="1"/>
    <col min="2" max="2" width="11.5703125" style="527"/>
    <col min="3" max="3" width="67.42578125" style="527" bestFit="1" customWidth="1"/>
    <col min="4" max="4" width="11.5703125" style="525"/>
    <col min="5" max="5" width="11.5703125" style="527"/>
    <col min="6" max="6" width="14.5703125" style="527" customWidth="1"/>
    <col min="7" max="7" width="11.5703125" style="527"/>
    <col min="8" max="8" width="15.5703125" style="1076" customWidth="1"/>
    <col min="9" max="9" width="14.42578125" style="527" bestFit="1" customWidth="1"/>
    <col min="10" max="10" width="12.5703125" style="693" bestFit="1" customWidth="1"/>
    <col min="11" max="12" width="11.5703125" style="527"/>
    <col min="13" max="13" width="17.42578125" style="527" bestFit="1" customWidth="1"/>
    <col min="14" max="16384" width="11.5703125" style="527"/>
  </cols>
  <sheetData>
    <row r="2" spans="2:13" ht="22.5" x14ac:dyDescent="0.3">
      <c r="B2" s="1886" t="s">
        <v>886</v>
      </c>
      <c r="C2" s="1886"/>
      <c r="D2" s="1886"/>
      <c r="E2" s="1886"/>
      <c r="F2" s="1886"/>
      <c r="G2" s="1886"/>
      <c r="H2" s="1886"/>
      <c r="I2" s="1886"/>
      <c r="J2" s="1886"/>
    </row>
    <row r="4" spans="2:13" s="42" customFormat="1" ht="28.5" x14ac:dyDescent="0.25">
      <c r="B4" s="1333" t="s">
        <v>0</v>
      </c>
      <c r="C4" s="1333" t="s">
        <v>1</v>
      </c>
      <c r="D4" s="1334" t="s">
        <v>2</v>
      </c>
      <c r="E4" s="1333" t="s">
        <v>3</v>
      </c>
      <c r="F4" s="1335" t="str">
        <f>+'CIF Y PV'!$F$2</f>
        <v xml:space="preserve">JUN-COP/Kg </v>
      </c>
      <c r="G4" s="1335" t="str">
        <f>+'CIF Y PV'!$G$2</f>
        <v>JUN-COP/APP</v>
      </c>
      <c r="H4" s="1335" t="str">
        <f>+'CIF Y PV'!$H$2</f>
        <v xml:space="preserve">MAY-COP/Kg </v>
      </c>
      <c r="I4" s="1335" t="str">
        <f>+'CIF Y PV'!$I$2</f>
        <v>MAY-COP/APP</v>
      </c>
      <c r="J4" s="1333" t="s">
        <v>3</v>
      </c>
      <c r="K4" s="1337">
        <f>+D32/1000</f>
        <v>0.27383999999999997</v>
      </c>
      <c r="L4" s="42">
        <v>2000</v>
      </c>
    </row>
    <row r="5" spans="2:13" x14ac:dyDescent="0.3">
      <c r="B5" s="74">
        <v>1112002</v>
      </c>
      <c r="C5" s="74" t="s">
        <v>796</v>
      </c>
      <c r="D5" s="532">
        <v>5.4767999999999997E-2</v>
      </c>
      <c r="E5" s="561">
        <v>20</v>
      </c>
      <c r="F5" s="982">
        <f>VLOOKUP(B5,[2]Hoja1!$C$2:$E$279,3,FALSE)</f>
        <v>3575.02</v>
      </c>
      <c r="G5" s="1105">
        <f>F5*D5</f>
        <v>195.79669536</v>
      </c>
      <c r="H5" s="982">
        <v>4222.72</v>
      </c>
      <c r="I5" s="73">
        <f>H5*D5</f>
        <v>231.26992896000002</v>
      </c>
      <c r="J5" s="562">
        <f>((F5/H5)*100)-100</f>
        <v>-15.338454834798426</v>
      </c>
      <c r="K5" s="525">
        <f>$K$4*E5%</f>
        <v>5.4767999999999997E-2</v>
      </c>
      <c r="L5" s="526">
        <f>$L$4*E5%</f>
        <v>400</v>
      </c>
      <c r="M5" s="1542">
        <f>L5*F5</f>
        <v>1430008</v>
      </c>
    </row>
    <row r="6" spans="2:13" x14ac:dyDescent="0.3">
      <c r="B6" s="74">
        <v>1122001</v>
      </c>
      <c r="C6" s="553" t="s">
        <v>1030</v>
      </c>
      <c r="D6" s="532">
        <v>2.8287671999999996E-2</v>
      </c>
      <c r="E6" s="561">
        <v>10.33</v>
      </c>
      <c r="F6" s="982">
        <f>VLOOKUP(B6,[2]Hoja1!$C$2:$E$279,3,FALSE)</f>
        <v>11506.13</v>
      </c>
      <c r="G6" s="1105">
        <f t="shared" ref="G6:G29" si="0">F6*D6</f>
        <v>325.48163142935994</v>
      </c>
      <c r="H6" s="982">
        <v>14000</v>
      </c>
      <c r="I6" s="73">
        <f t="shared" ref="I6:I29" si="1">H6*D6</f>
        <v>396.02740799999992</v>
      </c>
      <c r="J6" s="562">
        <f t="shared" ref="J6:J29" si="2">((F6/H6)*100)-100</f>
        <v>-17.813357142857143</v>
      </c>
      <c r="K6" s="525">
        <f t="shared" ref="K6:K29" si="3">$K$4*E6%</f>
        <v>2.8287671999999996E-2</v>
      </c>
      <c r="L6" s="526">
        <f t="shared" ref="L6:L29" si="4">$L$4*E6%</f>
        <v>206.6</v>
      </c>
      <c r="M6" s="1542">
        <f t="shared" ref="M6:M29" si="5">L6*F6</f>
        <v>2377166.4579999996</v>
      </c>
    </row>
    <row r="7" spans="2:13" x14ac:dyDescent="0.3">
      <c r="B7" s="74">
        <v>1122006</v>
      </c>
      <c r="C7" s="553" t="s">
        <v>972</v>
      </c>
      <c r="D7" s="532">
        <v>1.3691999999999999E-2</v>
      </c>
      <c r="E7" s="561">
        <v>5</v>
      </c>
      <c r="F7" s="982">
        <f>VLOOKUP(B7,[2]Hoja1!$C$2:$E$279,3,FALSE)</f>
        <v>12955.53</v>
      </c>
      <c r="G7" s="1105">
        <f t="shared" si="0"/>
        <v>177.38711676</v>
      </c>
      <c r="H7" s="982"/>
      <c r="I7" s="73"/>
      <c r="J7" s="562"/>
      <c r="K7" s="525">
        <f t="shared" si="3"/>
        <v>1.3691999999999999E-2</v>
      </c>
      <c r="L7" s="526"/>
      <c r="M7" s="1542"/>
    </row>
    <row r="8" spans="2:13" x14ac:dyDescent="0.3">
      <c r="B8" s="74">
        <v>1122007</v>
      </c>
      <c r="C8" s="74" t="s">
        <v>1067</v>
      </c>
      <c r="D8" s="532">
        <v>4.1979671999999996E-2</v>
      </c>
      <c r="E8" s="561">
        <v>15.33</v>
      </c>
      <c r="F8" s="982">
        <f>VLOOKUP(B8,[2]Hoja1!$C$2:$E$279,3,FALSE)</f>
        <v>11229.33</v>
      </c>
      <c r="G8" s="1105">
        <f t="shared" si="0"/>
        <v>471.40359017975993</v>
      </c>
      <c r="H8" s="983">
        <v>12278.37</v>
      </c>
      <c r="I8" s="73">
        <f t="shared" si="1"/>
        <v>515.44194529463994</v>
      </c>
      <c r="J8" s="562">
        <f t="shared" si="2"/>
        <v>-8.5438050816191549</v>
      </c>
      <c r="K8" s="525">
        <f t="shared" si="3"/>
        <v>4.1979671999999996E-2</v>
      </c>
      <c r="L8" s="526">
        <f t="shared" si="4"/>
        <v>306.59999999999997</v>
      </c>
      <c r="M8" s="1542">
        <f t="shared" si="5"/>
        <v>3442912.5779999997</v>
      </c>
    </row>
    <row r="9" spans="2:13" x14ac:dyDescent="0.3">
      <c r="B9" s="74">
        <v>1111002</v>
      </c>
      <c r="C9" s="74" t="s">
        <v>1170</v>
      </c>
      <c r="D9" s="532">
        <v>1.91688E-2</v>
      </c>
      <c r="E9" s="561">
        <v>7</v>
      </c>
      <c r="F9" s="982">
        <f>VLOOKUP(B9,[2]Hoja1!$C$2:$E$279,3,FALSE)</f>
        <v>2800</v>
      </c>
      <c r="G9" s="1105">
        <f t="shared" si="0"/>
        <v>53.672640000000001</v>
      </c>
      <c r="H9" s="1092">
        <v>2803.03</v>
      </c>
      <c r="I9" s="73">
        <f t="shared" si="1"/>
        <v>53.730721464000005</v>
      </c>
      <c r="J9" s="562">
        <f>((F9/H9)*100)-100</f>
        <v>-0.10809730898350267</v>
      </c>
      <c r="K9" s="525">
        <f>$K$4*E9%</f>
        <v>1.91688E-2</v>
      </c>
      <c r="L9" s="526">
        <f t="shared" si="4"/>
        <v>140</v>
      </c>
      <c r="M9" s="1542">
        <f t="shared" si="5"/>
        <v>392000</v>
      </c>
    </row>
    <row r="10" spans="2:13" x14ac:dyDescent="0.3">
      <c r="B10" s="74">
        <v>2906001</v>
      </c>
      <c r="C10" s="74" t="s">
        <v>831</v>
      </c>
      <c r="D10" s="532">
        <v>1.3691999999999999E-2</v>
      </c>
      <c r="E10" s="561">
        <v>5</v>
      </c>
      <c r="F10" s="982">
        <f>VLOOKUP(B10,[2]Hoja1!$C$2:$E$279,3,FALSE)</f>
        <v>1956.71</v>
      </c>
      <c r="G10" s="1105">
        <f t="shared" si="0"/>
        <v>26.791273319999998</v>
      </c>
      <c r="H10" s="1092"/>
      <c r="I10" s="73"/>
      <c r="J10" s="562"/>
      <c r="K10" s="525">
        <f>$K$4*E10%</f>
        <v>1.3691999999999999E-2</v>
      </c>
      <c r="L10" s="526">
        <f t="shared" si="4"/>
        <v>100</v>
      </c>
      <c r="M10" s="1542"/>
    </row>
    <row r="11" spans="2:13" x14ac:dyDescent="0.3">
      <c r="B11" s="74">
        <v>1131002</v>
      </c>
      <c r="C11" s="74" t="s">
        <v>663</v>
      </c>
      <c r="D11" s="532">
        <v>7.2293759999999999E-2</v>
      </c>
      <c r="E11" s="561">
        <v>26.13</v>
      </c>
      <c r="F11" s="982">
        <f>VLOOKUP(B11,[2]Hoja1!$C$2:$E$279,3,FALSE)</f>
        <v>0</v>
      </c>
      <c r="G11" s="1105">
        <f t="shared" si="0"/>
        <v>0</v>
      </c>
      <c r="H11" s="70">
        <v>0</v>
      </c>
      <c r="I11" s="73">
        <f t="shared" si="1"/>
        <v>0</v>
      </c>
      <c r="J11" s="562" t="e">
        <f t="shared" si="2"/>
        <v>#DIV/0!</v>
      </c>
      <c r="K11" s="525">
        <f t="shared" si="3"/>
        <v>7.1554391999999981E-2</v>
      </c>
      <c r="L11" s="526">
        <f t="shared" si="4"/>
        <v>522.59999999999991</v>
      </c>
      <c r="M11" s="1542">
        <f t="shared" si="5"/>
        <v>0</v>
      </c>
    </row>
    <row r="12" spans="2:13" x14ac:dyDescent="0.3">
      <c r="B12" s="74">
        <v>1210010</v>
      </c>
      <c r="C12" s="74" t="s">
        <v>1351</v>
      </c>
      <c r="D12" s="532">
        <v>2.1085679999999999E-3</v>
      </c>
      <c r="E12" s="561">
        <v>0.77</v>
      </c>
      <c r="F12" s="982">
        <f>VLOOKUP(B12,[2]Hoja1!$C$2:$E$279,3,FALSE)</f>
        <v>11600</v>
      </c>
      <c r="G12" s="1105">
        <f t="shared" si="0"/>
        <v>24.459388799999999</v>
      </c>
      <c r="H12" s="1091"/>
      <c r="I12" s="73"/>
      <c r="J12" s="562"/>
      <c r="K12" s="525">
        <f t="shared" si="3"/>
        <v>2.1085679999999999E-3</v>
      </c>
      <c r="L12" s="526">
        <f t="shared" si="4"/>
        <v>15.4</v>
      </c>
      <c r="M12" s="1542"/>
    </row>
    <row r="13" spans="2:13" x14ac:dyDescent="0.3">
      <c r="B13" s="74">
        <v>1210005</v>
      </c>
      <c r="C13" s="74" t="s">
        <v>1155</v>
      </c>
      <c r="D13" s="532">
        <v>3.1491599999999998E-3</v>
      </c>
      <c r="E13" s="561">
        <v>1.1499999999999999</v>
      </c>
      <c r="F13" s="982">
        <f>VLOOKUP(B13,[2]Hoja1!$C$2:$E$279,3,FALSE)</f>
        <v>1356</v>
      </c>
      <c r="G13" s="1105">
        <f t="shared" si="0"/>
        <v>4.2702609599999999</v>
      </c>
      <c r="H13" s="965">
        <v>8910.1</v>
      </c>
      <c r="I13" s="73">
        <f t="shared" si="1"/>
        <v>28.059330515999999</v>
      </c>
      <c r="J13" s="562">
        <f t="shared" si="2"/>
        <v>-84.781315585683672</v>
      </c>
      <c r="K13" s="525">
        <f t="shared" si="3"/>
        <v>3.1491599999999998E-3</v>
      </c>
      <c r="L13" s="526">
        <f t="shared" si="4"/>
        <v>23</v>
      </c>
      <c r="M13" s="1542">
        <f t="shared" si="5"/>
        <v>31188</v>
      </c>
    </row>
    <row r="14" spans="2:13" x14ac:dyDescent="0.3">
      <c r="B14" s="74">
        <v>1210004</v>
      </c>
      <c r="C14" s="74" t="s">
        <v>1131</v>
      </c>
      <c r="D14" s="532">
        <v>2.4645599999999999E-4</v>
      </c>
      <c r="E14" s="561">
        <v>0.09</v>
      </c>
      <c r="F14" s="982">
        <f>VLOOKUP(B14,[2]Hoja1!$C$2:$E$279,3,FALSE)</f>
        <v>3841</v>
      </c>
      <c r="G14" s="1105">
        <f t="shared" si="0"/>
        <v>0.94663749599999991</v>
      </c>
      <c r="H14" s="965">
        <v>3508.01</v>
      </c>
      <c r="I14" s="73">
        <f t="shared" si="1"/>
        <v>0.86457011256000005</v>
      </c>
      <c r="J14" s="562">
        <f t="shared" si="2"/>
        <v>9.4922762477871885</v>
      </c>
      <c r="K14" s="525">
        <f t="shared" si="3"/>
        <v>2.4645599999999999E-4</v>
      </c>
      <c r="L14" s="526">
        <f t="shared" si="4"/>
        <v>1.8</v>
      </c>
      <c r="M14" s="1542">
        <f t="shared" si="5"/>
        <v>6913.8</v>
      </c>
    </row>
    <row r="15" spans="2:13" x14ac:dyDescent="0.3">
      <c r="B15" s="74">
        <v>1210002</v>
      </c>
      <c r="C15" s="74" t="s">
        <v>1033</v>
      </c>
      <c r="D15" s="532">
        <v>7.9413599999999987E-4</v>
      </c>
      <c r="E15" s="561">
        <v>0.28999999999999998</v>
      </c>
      <c r="F15" s="982">
        <f>VLOOKUP(B15,[2]Hoja1!$C$2:$E$279,3,FALSE)</f>
        <v>12886</v>
      </c>
      <c r="G15" s="1105">
        <f t="shared" si="0"/>
        <v>10.233236495999998</v>
      </c>
      <c r="H15" s="964">
        <v>12858.08</v>
      </c>
      <c r="I15" s="73">
        <f t="shared" si="1"/>
        <v>10.211064218879999</v>
      </c>
      <c r="J15" s="562">
        <f t="shared" si="2"/>
        <v>0.21713972848201024</v>
      </c>
      <c r="K15" s="525">
        <f t="shared" si="3"/>
        <v>7.9413599999999987E-4</v>
      </c>
      <c r="L15" s="526">
        <f t="shared" si="4"/>
        <v>5.8</v>
      </c>
      <c r="M15" s="1542">
        <f t="shared" si="5"/>
        <v>74738.8</v>
      </c>
    </row>
    <row r="16" spans="2:13" x14ac:dyDescent="0.3">
      <c r="B16" s="74">
        <v>1220009</v>
      </c>
      <c r="C16" s="74" t="s">
        <v>1133</v>
      </c>
      <c r="D16" s="532">
        <v>1.6430399999999996E-4</v>
      </c>
      <c r="E16" s="561">
        <v>0.06</v>
      </c>
      <c r="F16" s="982">
        <f>VLOOKUP(B16,[2]Hoja1!$C$2:$E$279,3,FALSE)</f>
        <v>21312.16</v>
      </c>
      <c r="G16" s="1105">
        <f t="shared" si="0"/>
        <v>3.5016731366399991</v>
      </c>
      <c r="H16" s="965">
        <v>20299</v>
      </c>
      <c r="I16" s="73">
        <f t="shared" si="1"/>
        <v>3.3352068959999994</v>
      </c>
      <c r="J16" s="562">
        <f t="shared" si="2"/>
        <v>4.9911818316173253</v>
      </c>
      <c r="K16" s="525">
        <f t="shared" si="3"/>
        <v>1.6430399999999996E-4</v>
      </c>
      <c r="L16" s="526">
        <f t="shared" si="4"/>
        <v>1.2</v>
      </c>
      <c r="M16" s="1542">
        <f t="shared" si="5"/>
        <v>25574.592000000001</v>
      </c>
    </row>
    <row r="17" spans="2:13" x14ac:dyDescent="0.3">
      <c r="B17" s="74">
        <v>1230013</v>
      </c>
      <c r="C17" s="74" t="s">
        <v>754</v>
      </c>
      <c r="D17" s="532">
        <v>5.4767999999999993E-4</v>
      </c>
      <c r="E17" s="561">
        <v>0.2</v>
      </c>
      <c r="F17" s="982">
        <f>VLOOKUP(B17,[2]Hoja1!$C$2:$E$279,3,FALSE)</f>
        <v>20777.07</v>
      </c>
      <c r="G17" s="1105">
        <f t="shared" si="0"/>
        <v>11.379185697599999</v>
      </c>
      <c r="H17" s="1106">
        <v>19794.98</v>
      </c>
      <c r="I17" s="73">
        <f t="shared" si="1"/>
        <v>10.841314646399999</v>
      </c>
      <c r="J17" s="562">
        <f t="shared" si="2"/>
        <v>4.9613083721226303</v>
      </c>
      <c r="K17" s="525">
        <f t="shared" si="3"/>
        <v>5.4767999999999993E-4</v>
      </c>
      <c r="L17" s="526">
        <f t="shared" si="4"/>
        <v>4</v>
      </c>
      <c r="M17" s="1542">
        <f t="shared" si="5"/>
        <v>83108.28</v>
      </c>
    </row>
    <row r="18" spans="2:13" x14ac:dyDescent="0.3">
      <c r="B18" s="74">
        <v>121007</v>
      </c>
      <c r="C18" s="74" t="s">
        <v>821</v>
      </c>
      <c r="D18" s="532">
        <v>3.01224E-4</v>
      </c>
      <c r="E18" s="561">
        <v>0.11</v>
      </c>
      <c r="F18" s="982">
        <f>VLOOKUP(B18,[2]Hoja1!$C$2:$E$279,3,FALSE)</f>
        <v>16905</v>
      </c>
      <c r="G18" s="1105">
        <f t="shared" si="0"/>
        <v>5.0921917199999998</v>
      </c>
      <c r="H18" s="1106">
        <v>16100</v>
      </c>
      <c r="I18" s="73">
        <f t="shared" si="1"/>
        <v>4.8497063999999996</v>
      </c>
      <c r="J18" s="562"/>
      <c r="K18" s="525">
        <f>$K$4*E18%</f>
        <v>3.01224E-4</v>
      </c>
      <c r="L18" s="526">
        <f t="shared" si="4"/>
        <v>2.2000000000000002</v>
      </c>
      <c r="M18" s="1542">
        <f t="shared" si="5"/>
        <v>37191</v>
      </c>
    </row>
    <row r="19" spans="2:13" x14ac:dyDescent="0.3">
      <c r="B19" s="74">
        <v>1220005</v>
      </c>
      <c r="C19" s="74" t="s">
        <v>1135</v>
      </c>
      <c r="D19" s="532">
        <v>1.6430399999999996E-4</v>
      </c>
      <c r="E19" s="561">
        <v>0.06</v>
      </c>
      <c r="F19" s="982">
        <f>VLOOKUP(B19,[2]Hoja1!$C$2:$E$279,3,FALSE)</f>
        <v>17429.990000000002</v>
      </c>
      <c r="G19" s="1105">
        <f t="shared" si="0"/>
        <v>2.8638170769599998</v>
      </c>
      <c r="H19" s="1106">
        <v>17430</v>
      </c>
      <c r="I19" s="73">
        <f t="shared" si="1"/>
        <v>2.8638187199999994</v>
      </c>
      <c r="J19" s="562">
        <f t="shared" si="2"/>
        <v>-5.7372346518036466E-5</v>
      </c>
      <c r="K19" s="525">
        <f t="shared" si="3"/>
        <v>1.6430399999999996E-4</v>
      </c>
      <c r="L19" s="526">
        <f t="shared" si="4"/>
        <v>1.2</v>
      </c>
      <c r="M19" s="1542">
        <f t="shared" si="5"/>
        <v>20915.988000000001</v>
      </c>
    </row>
    <row r="20" spans="2:13" x14ac:dyDescent="0.3">
      <c r="B20" s="74">
        <v>1220007</v>
      </c>
      <c r="C20" s="74" t="s">
        <v>916</v>
      </c>
      <c r="D20" s="532">
        <v>1.6430399999999996E-4</v>
      </c>
      <c r="E20" s="561">
        <v>0.06</v>
      </c>
      <c r="F20" s="982">
        <f>VLOOKUP(B20,[2]Hoja1!$C$2:$E$279,3,FALSE)</f>
        <v>60081.72</v>
      </c>
      <c r="G20" s="1105">
        <f t="shared" si="0"/>
        <v>9.8716669228799976</v>
      </c>
      <c r="H20" s="1106">
        <v>56748.6</v>
      </c>
      <c r="I20" s="73">
        <f t="shared" si="1"/>
        <v>9.3240219743999972</v>
      </c>
      <c r="J20" s="562">
        <f t="shared" si="2"/>
        <v>5.8734841035726078</v>
      </c>
      <c r="K20" s="525">
        <f t="shared" si="3"/>
        <v>1.6430399999999996E-4</v>
      </c>
      <c r="L20" s="526">
        <f t="shared" si="4"/>
        <v>1.2</v>
      </c>
      <c r="M20" s="1542">
        <f t="shared" si="5"/>
        <v>72098.063999999998</v>
      </c>
    </row>
    <row r="21" spans="2:13" x14ac:dyDescent="0.3">
      <c r="B21" s="74">
        <v>1210003</v>
      </c>
      <c r="C21" s="74" t="s">
        <v>1143</v>
      </c>
      <c r="D21" s="532">
        <v>1.3691999999999998E-4</v>
      </c>
      <c r="E21" s="561">
        <v>0.05</v>
      </c>
      <c r="F21" s="982">
        <f>VLOOKUP(B21,[2]Hoja1!$C$2:$E$279,3,FALSE)</f>
        <v>16235.45</v>
      </c>
      <c r="G21" s="1105">
        <f t="shared" si="0"/>
        <v>2.2229578139999999</v>
      </c>
      <c r="H21" s="1106">
        <v>12852.58</v>
      </c>
      <c r="I21" s="73">
        <f t="shared" si="1"/>
        <v>1.7597752535999998</v>
      </c>
      <c r="J21" s="562">
        <f t="shared" si="2"/>
        <v>26.320551982559152</v>
      </c>
      <c r="K21" s="525">
        <f t="shared" si="3"/>
        <v>1.3691999999999998E-4</v>
      </c>
      <c r="L21" s="526">
        <f t="shared" si="4"/>
        <v>1</v>
      </c>
      <c r="M21" s="1542">
        <f t="shared" si="5"/>
        <v>16235.45</v>
      </c>
    </row>
    <row r="22" spans="2:13" x14ac:dyDescent="0.3">
      <c r="B22" s="74">
        <v>1250004</v>
      </c>
      <c r="C22" s="74" t="s">
        <v>969</v>
      </c>
      <c r="D22" s="532">
        <v>2.7383999999999997E-5</v>
      </c>
      <c r="E22" s="561">
        <v>0.01</v>
      </c>
      <c r="F22" s="982">
        <f>VLOOKUP(B22,[2]Hoja1!$C$2:$E$279,3,FALSE)</f>
        <v>164481.95000000001</v>
      </c>
      <c r="G22" s="1105">
        <f t="shared" si="0"/>
        <v>4.5041737187999997</v>
      </c>
      <c r="H22" s="533">
        <v>156520.01999999999</v>
      </c>
      <c r="I22" s="73">
        <f t="shared" si="1"/>
        <v>4.2861442276799995</v>
      </c>
      <c r="J22" s="562">
        <f t="shared" si="2"/>
        <v>5.0868444816196927</v>
      </c>
      <c r="K22" s="525">
        <f t="shared" si="3"/>
        <v>2.7383999999999997E-5</v>
      </c>
      <c r="L22" s="526">
        <f t="shared" si="4"/>
        <v>0.2</v>
      </c>
      <c r="M22" s="1542">
        <f t="shared" si="5"/>
        <v>32896.390000000007</v>
      </c>
    </row>
    <row r="23" spans="2:13" x14ac:dyDescent="0.3">
      <c r="B23" s="74">
        <v>1250009</v>
      </c>
      <c r="C23" s="1627" t="s">
        <v>1279</v>
      </c>
      <c r="D23" s="532">
        <v>5.4767999999999995E-5</v>
      </c>
      <c r="E23" s="561">
        <v>0.02</v>
      </c>
      <c r="F23" s="982">
        <f>VLOOKUP(B23,[2]Hoja1!$C$2:$E$279,3,FALSE)</f>
        <v>83551.55</v>
      </c>
      <c r="G23" s="1105">
        <f t="shared" si="0"/>
        <v>4.5759512903999999</v>
      </c>
      <c r="H23" s="965">
        <v>71910.02</v>
      </c>
      <c r="I23" s="73">
        <f t="shared" si="1"/>
        <v>3.9383679753599998</v>
      </c>
      <c r="J23" s="562">
        <f t="shared" si="2"/>
        <v>16.18902344902699</v>
      </c>
      <c r="K23" s="525">
        <f t="shared" si="3"/>
        <v>5.4767999999999995E-5</v>
      </c>
      <c r="L23" s="526">
        <f t="shared" si="4"/>
        <v>0.4</v>
      </c>
      <c r="M23" s="1542">
        <f t="shared" si="5"/>
        <v>33420.620000000003</v>
      </c>
    </row>
    <row r="24" spans="2:13" x14ac:dyDescent="0.3">
      <c r="B24" s="74">
        <v>1260015</v>
      </c>
      <c r="C24" s="74" t="s">
        <v>785</v>
      </c>
      <c r="D24" s="532">
        <v>1.1501279999999999E-2</v>
      </c>
      <c r="E24" s="561">
        <v>4.2</v>
      </c>
      <c r="F24" s="982">
        <f>VLOOKUP(B24,[2]Hoja1!$C$2:$E$279,3,FALSE)</f>
        <v>3450.01</v>
      </c>
      <c r="G24" s="1105">
        <f t="shared" si="0"/>
        <v>39.679531012799998</v>
      </c>
      <c r="H24" s="965">
        <v>3400.01</v>
      </c>
      <c r="I24" s="73">
        <f t="shared" si="1"/>
        <v>39.104467012800001</v>
      </c>
      <c r="J24" s="562">
        <f t="shared" si="2"/>
        <v>1.4705839100473241</v>
      </c>
      <c r="K24" s="525">
        <f t="shared" si="3"/>
        <v>1.1501279999999999E-2</v>
      </c>
      <c r="L24" s="526">
        <f t="shared" si="4"/>
        <v>84</v>
      </c>
      <c r="M24" s="1542">
        <f t="shared" si="5"/>
        <v>289800.84000000003</v>
      </c>
    </row>
    <row r="25" spans="2:13" x14ac:dyDescent="0.3">
      <c r="B25" s="74">
        <v>1220010</v>
      </c>
      <c r="C25" s="74" t="s">
        <v>1144</v>
      </c>
      <c r="D25" s="532">
        <v>2.1907199999999997E-3</v>
      </c>
      <c r="E25" s="561">
        <v>0.8</v>
      </c>
      <c r="F25" s="982">
        <f>VLOOKUP(B25,[2]Hoja1!$C$2:$E$279,3,FALSE)</f>
        <v>4744.72</v>
      </c>
      <c r="G25" s="1105">
        <f t="shared" si="0"/>
        <v>10.394352998399999</v>
      </c>
      <c r="H25" s="561">
        <v>9381</v>
      </c>
      <c r="I25" s="73">
        <f t="shared" si="1"/>
        <v>20.551144319999999</v>
      </c>
      <c r="J25" s="562">
        <f t="shared" si="2"/>
        <v>-49.42202323846071</v>
      </c>
      <c r="K25" s="525">
        <f t="shared" si="3"/>
        <v>2.1907199999999997E-3</v>
      </c>
      <c r="L25" s="526">
        <f t="shared" si="4"/>
        <v>16</v>
      </c>
      <c r="M25" s="1542">
        <f t="shared" si="5"/>
        <v>75915.520000000004</v>
      </c>
    </row>
    <row r="26" spans="2:13" x14ac:dyDescent="0.3">
      <c r="B26" s="74">
        <v>1240007</v>
      </c>
      <c r="C26" s="74" t="s">
        <v>1352</v>
      </c>
      <c r="D26" s="532">
        <v>1.3691999999999999E-3</v>
      </c>
      <c r="E26" s="561">
        <v>0.5</v>
      </c>
      <c r="F26" s="982">
        <f>VLOOKUP(B26,[2]Hoja1!$C$2:$E$279,3,FALSE)</f>
        <v>25921.42</v>
      </c>
      <c r="G26" s="1105">
        <f t="shared" si="0"/>
        <v>35.491608263999993</v>
      </c>
      <c r="H26" s="965">
        <v>11340</v>
      </c>
      <c r="I26" s="73">
        <f t="shared" si="1"/>
        <v>15.526727999999999</v>
      </c>
      <c r="J26" s="562">
        <f t="shared" si="2"/>
        <v>128.58395061728393</v>
      </c>
      <c r="K26" s="525">
        <f t="shared" si="3"/>
        <v>1.3691999999999999E-3</v>
      </c>
      <c r="L26" s="526">
        <f t="shared" si="4"/>
        <v>10</v>
      </c>
      <c r="M26" s="1542">
        <f t="shared" si="5"/>
        <v>259214.19999999998</v>
      </c>
    </row>
    <row r="27" spans="2:13" x14ac:dyDescent="0.3">
      <c r="B27" s="74">
        <v>1260024</v>
      </c>
      <c r="C27" s="74" t="s">
        <v>1290</v>
      </c>
      <c r="D27" s="532">
        <v>4.7921999999999999E-3</v>
      </c>
      <c r="E27" s="561">
        <v>1.75</v>
      </c>
      <c r="F27" s="982">
        <f>VLOOKUP(B27,[2]Hoja1!$C$2:$E$279,3,FALSE)</f>
        <v>12625.84</v>
      </c>
      <c r="G27" s="1105">
        <f t="shared" si="0"/>
        <v>60.505550448000001</v>
      </c>
      <c r="H27" s="982">
        <v>18900</v>
      </c>
      <c r="I27" s="73">
        <f t="shared" si="1"/>
        <v>90.572580000000002</v>
      </c>
      <c r="J27" s="562">
        <f t="shared" si="2"/>
        <v>-33.196613756613758</v>
      </c>
      <c r="K27" s="525">
        <f t="shared" si="3"/>
        <v>4.7921999999999999E-3</v>
      </c>
      <c r="L27" s="526">
        <f t="shared" si="4"/>
        <v>35</v>
      </c>
      <c r="M27" s="1542">
        <f t="shared" si="5"/>
        <v>441904.4</v>
      </c>
    </row>
    <row r="28" spans="2:13" x14ac:dyDescent="0.3">
      <c r="B28" s="74">
        <v>1260005</v>
      </c>
      <c r="C28" s="74" t="s">
        <v>811</v>
      </c>
      <c r="D28" s="532">
        <v>2.7383999999999998E-3</v>
      </c>
      <c r="E28" s="561">
        <v>1</v>
      </c>
      <c r="F28" s="982">
        <f>VLOOKUP(B28,[2]Hoja1!$C$2:$E$279,3,FALSE)</f>
        <v>26429</v>
      </c>
      <c r="G28" s="1105">
        <f t="shared" si="0"/>
        <v>72.373173599999987</v>
      </c>
      <c r="H28" s="70">
        <v>25850</v>
      </c>
      <c r="I28" s="73">
        <f t="shared" si="1"/>
        <v>70.787639999999996</v>
      </c>
      <c r="J28" s="562">
        <f t="shared" si="2"/>
        <v>2.2398452611218715</v>
      </c>
      <c r="K28" s="525">
        <f t="shared" si="3"/>
        <v>2.7383999999999998E-3</v>
      </c>
      <c r="L28" s="526">
        <f t="shared" si="4"/>
        <v>20</v>
      </c>
      <c r="M28" s="1542">
        <f t="shared" si="5"/>
        <v>528580</v>
      </c>
    </row>
    <row r="29" spans="2:13" x14ac:dyDescent="0.3">
      <c r="B29" s="74">
        <v>1270004</v>
      </c>
      <c r="C29" s="553" t="s">
        <v>1032</v>
      </c>
      <c r="D29" s="532">
        <v>1.0953599999999999E-4</v>
      </c>
      <c r="E29" s="1107">
        <v>0.04</v>
      </c>
      <c r="F29" s="982">
        <f>VLOOKUP(B29,[2]Hoja1!$C$2:$E$279,3,FALSE)</f>
        <v>50662</v>
      </c>
      <c r="G29" s="1105">
        <f t="shared" si="0"/>
        <v>5.5493128319999991</v>
      </c>
      <c r="H29" s="88">
        <v>53849.37</v>
      </c>
      <c r="I29" s="73">
        <f t="shared" si="1"/>
        <v>5.8984445923199997</v>
      </c>
      <c r="J29" s="562">
        <f t="shared" si="2"/>
        <v>-5.9190478922966179</v>
      </c>
      <c r="K29" s="525">
        <f t="shared" si="3"/>
        <v>1.0953599999999999E-4</v>
      </c>
      <c r="L29" s="526">
        <f t="shared" si="4"/>
        <v>0.8</v>
      </c>
      <c r="M29" s="1542">
        <f t="shared" si="5"/>
        <v>40529.600000000006</v>
      </c>
    </row>
    <row r="30" spans="2:13" s="693" customFormat="1" x14ac:dyDescent="0.3">
      <c r="B30" s="1887" t="s">
        <v>37</v>
      </c>
      <c r="C30" s="1887"/>
      <c r="D30" s="1507">
        <f>SUM(D5:D29)</f>
        <v>0.27444244800000001</v>
      </c>
      <c r="E30" s="1508">
        <f>SUM(E5:E29)</f>
        <v>99.950000000000017</v>
      </c>
      <c r="F30" s="1509"/>
      <c r="G30" s="1510">
        <f>SUM(G5:G29)</f>
        <v>1558.4476173336</v>
      </c>
      <c r="H30" s="1510"/>
      <c r="I30" s="1510">
        <f>SUM(I5:I29)</f>
        <v>1519.24432858464</v>
      </c>
      <c r="J30" s="1481">
        <f>((G30/I30)*100)-100</f>
        <v>2.5804466083136646</v>
      </c>
      <c r="K30" s="1480"/>
      <c r="M30" s="1543">
        <f>SUM(M5:M29)</f>
        <v>9712312.5799999982</v>
      </c>
    </row>
    <row r="32" spans="2:13" x14ac:dyDescent="0.3">
      <c r="B32" s="1888" t="s">
        <v>50</v>
      </c>
      <c r="C32" s="1889"/>
      <c r="D32" s="693">
        <f>+C35+(C35*C41%)</f>
        <v>273.83999999999997</v>
      </c>
      <c r="E32" s="995"/>
      <c r="F32" s="995"/>
      <c r="G32" s="995"/>
      <c r="H32" s="1112"/>
      <c r="I32" s="995"/>
      <c r="J32" s="1113"/>
    </row>
    <row r="33" spans="2:12" x14ac:dyDescent="0.3">
      <c r="B33" s="1389" t="s">
        <v>38</v>
      </c>
      <c r="C33" s="1115" t="s">
        <v>167</v>
      </c>
    </row>
    <row r="34" spans="2:12" x14ac:dyDescent="0.3">
      <c r="B34" s="1390" t="s">
        <v>39</v>
      </c>
      <c r="C34" s="997" t="s">
        <v>310</v>
      </c>
      <c r="H34" s="525"/>
    </row>
    <row r="35" spans="2:12" x14ac:dyDescent="0.3">
      <c r="B35" s="1390" t="s">
        <v>40</v>
      </c>
      <c r="C35" s="997">
        <v>240</v>
      </c>
    </row>
    <row r="36" spans="2:12" x14ac:dyDescent="0.3">
      <c r="B36" s="1390" t="s">
        <v>41</v>
      </c>
      <c r="C36" s="997">
        <v>0</v>
      </c>
    </row>
    <row r="37" spans="2:12" x14ac:dyDescent="0.3">
      <c r="B37" s="1390" t="s">
        <v>42</v>
      </c>
      <c r="C37" s="997">
        <v>9</v>
      </c>
    </row>
    <row r="38" spans="2:12" x14ac:dyDescent="0.3">
      <c r="B38" s="1390" t="s">
        <v>43</v>
      </c>
      <c r="C38" s="997">
        <v>2</v>
      </c>
    </row>
    <row r="39" spans="2:12" x14ac:dyDescent="0.3">
      <c r="B39" s="1390" t="s">
        <v>44</v>
      </c>
      <c r="C39" s="997">
        <v>1</v>
      </c>
      <c r="J39" s="693" t="s">
        <v>85</v>
      </c>
    </row>
    <row r="40" spans="2:12" x14ac:dyDescent="0.3">
      <c r="B40" s="1390" t="s">
        <v>45</v>
      </c>
      <c r="C40" s="997">
        <v>2.1</v>
      </c>
    </row>
    <row r="41" spans="2:12" x14ac:dyDescent="0.3">
      <c r="B41" s="1390" t="s">
        <v>46</v>
      </c>
      <c r="C41" s="997">
        <f>C40+C39+C38+C37</f>
        <v>14.1</v>
      </c>
    </row>
    <row r="42" spans="2:12" x14ac:dyDescent="0.3">
      <c r="H42" s="1112"/>
      <c r="I42" s="995"/>
      <c r="L42" s="527" t="s">
        <v>85</v>
      </c>
    </row>
    <row r="43" spans="2:12" x14ac:dyDescent="0.3">
      <c r="B43" s="1890" t="s">
        <v>47</v>
      </c>
      <c r="C43" s="1891"/>
      <c r="D43" s="1891"/>
      <c r="E43" s="1891"/>
      <c r="F43" s="1891"/>
      <c r="G43" s="1891"/>
      <c r="H43" s="1891"/>
      <c r="I43" s="1891"/>
    </row>
    <row r="44" spans="2:12" s="42" customFormat="1" ht="28.5" x14ac:dyDescent="0.25">
      <c r="B44" s="1478" t="s">
        <v>0</v>
      </c>
      <c r="C44" s="1478" t="s">
        <v>1</v>
      </c>
      <c r="D44" s="1356" t="s">
        <v>2</v>
      </c>
      <c r="E44" s="1335" t="str">
        <f>+'CIF Y PV'!$F$4</f>
        <v xml:space="preserve">JUN-COP/UMB </v>
      </c>
      <c r="F44" s="1335" t="str">
        <f>+'CIF Y PV'!$G$4</f>
        <v>JUN-COP/APP</v>
      </c>
      <c r="G44" s="1335" t="str">
        <f>+'CIF Y PV'!$H$4</f>
        <v xml:space="preserve">MAY-COP/UMB </v>
      </c>
      <c r="H44" s="1335" t="str">
        <f>+'CIF Y PV'!$I$4</f>
        <v>MAY-COP/APP</v>
      </c>
      <c r="I44" s="1364" t="s">
        <v>3</v>
      </c>
      <c r="J44" s="345">
        <v>3650</v>
      </c>
    </row>
    <row r="45" spans="2:12" x14ac:dyDescent="0.3">
      <c r="B45" s="563">
        <v>1370035</v>
      </c>
      <c r="C45" s="563" t="s">
        <v>1068</v>
      </c>
      <c r="D45" s="1001">
        <v>0.83760000000000001</v>
      </c>
      <c r="E45" s="582">
        <f>VLOOKUP(B45,[2]Hoja1!$C$2:$E$279,3,FALSE)</f>
        <v>169.93</v>
      </c>
      <c r="F45" s="582">
        <f>E45*D45</f>
        <v>142.33336800000001</v>
      </c>
      <c r="G45" s="582">
        <v>181.47</v>
      </c>
      <c r="H45" s="582">
        <f>G45*D45</f>
        <v>151.99927199999999</v>
      </c>
      <c r="I45" s="571">
        <f>((F45/H45)*100)-100</f>
        <v>-6.3591778255358946</v>
      </c>
      <c r="J45" s="693">
        <f>J44*D45</f>
        <v>3057.2400000000002</v>
      </c>
    </row>
    <row r="46" spans="2:12" x14ac:dyDescent="0.3">
      <c r="B46" s="563">
        <v>1350011</v>
      </c>
      <c r="C46" s="563" t="s">
        <v>906</v>
      </c>
      <c r="D46" s="1001">
        <v>6.25E-2</v>
      </c>
      <c r="E46" s="582">
        <f>VLOOKUP(B46,[2]Hoja1!$C$2:$E$279,3,FALSE)</f>
        <v>1414</v>
      </c>
      <c r="F46" s="582">
        <f>E46*D46</f>
        <v>88.375</v>
      </c>
      <c r="G46" s="691">
        <v>1161.1600000000001</v>
      </c>
      <c r="H46" s="582">
        <f>G46*D46</f>
        <v>72.572500000000005</v>
      </c>
      <c r="I46" s="571">
        <f>((F46/H46)*100)-100</f>
        <v>21.774776947190716</v>
      </c>
    </row>
    <row r="47" spans="2:12" x14ac:dyDescent="0.3">
      <c r="B47" s="563">
        <v>1310054</v>
      </c>
      <c r="C47" s="1142" t="s">
        <v>954</v>
      </c>
      <c r="D47" s="1001">
        <v>7.4999999999999997E-2</v>
      </c>
      <c r="E47" s="582">
        <f>VLOOKUP(B47,[2]Hoja1!$C$2:$E$279,3,FALSE)</f>
        <v>725.49</v>
      </c>
      <c r="F47" s="582">
        <f>E47*D47</f>
        <v>54.411749999999998</v>
      </c>
      <c r="G47" s="970">
        <v>821.52</v>
      </c>
      <c r="H47" s="582">
        <f>G47*D47</f>
        <v>61.613999999999997</v>
      </c>
      <c r="I47" s="571">
        <f>((F47/H47)*100)-100</f>
        <v>-11.689307624890446</v>
      </c>
      <c r="J47" s="693">
        <f>J44*D47</f>
        <v>273.75</v>
      </c>
    </row>
    <row r="48" spans="2:12" x14ac:dyDescent="0.3">
      <c r="B48" s="563">
        <v>1320010</v>
      </c>
      <c r="C48" s="563" t="s">
        <v>1283</v>
      </c>
      <c r="D48" s="1001">
        <v>7.4999999999999997E-2</v>
      </c>
      <c r="E48" s="582">
        <f>VLOOKUP(B48,[2]Hoja1!$C$2:$E$279,3,FALSE)</f>
        <v>741.22</v>
      </c>
      <c r="F48" s="582">
        <f>E48*D48</f>
        <v>55.591500000000003</v>
      </c>
      <c r="G48" s="582">
        <v>828.94</v>
      </c>
      <c r="H48" s="582">
        <f>G48*D48</f>
        <v>62.170500000000004</v>
      </c>
      <c r="I48" s="571">
        <f>((F48/H48)*100)-100</f>
        <v>-10.582189302000145</v>
      </c>
      <c r="J48" s="693">
        <f>J44*D48</f>
        <v>273.75</v>
      </c>
    </row>
    <row r="49" spans="2:11" x14ac:dyDescent="0.3">
      <c r="B49" s="1391"/>
      <c r="C49" s="1391" t="s">
        <v>37</v>
      </c>
      <c r="D49" s="1392"/>
      <c r="E49" s="1393"/>
      <c r="F49" s="1393">
        <f>SUM(F45:F48)</f>
        <v>340.71161799999999</v>
      </c>
      <c r="G49" s="1393"/>
      <c r="H49" s="1393">
        <f>SUM(H45:H48)</f>
        <v>348.35627199999999</v>
      </c>
      <c r="I49" s="1439">
        <f>((F49/H49)*100)-100</f>
        <v>-2.194492998822767</v>
      </c>
    </row>
    <row r="50" spans="2:11" x14ac:dyDescent="0.3">
      <c r="H50" s="527" t="str">
        <f>+'CIF Y PV'!$G$1</f>
        <v>MAYO</v>
      </c>
      <c r="J50" s="1076"/>
    </row>
    <row r="51" spans="2:11" x14ac:dyDescent="0.3">
      <c r="B51" s="1807" t="s">
        <v>888</v>
      </c>
      <c r="C51" s="1807"/>
      <c r="E51" s="1005"/>
      <c r="F51" s="1005"/>
      <c r="G51" s="1005"/>
      <c r="H51" s="1005">
        <f>+F49+G30</f>
        <v>1899.1592353336</v>
      </c>
      <c r="I51" s="180"/>
      <c r="J51" s="1005"/>
      <c r="K51" s="180"/>
    </row>
    <row r="52" spans="2:11" x14ac:dyDescent="0.3">
      <c r="B52" s="1808" t="s">
        <v>48</v>
      </c>
      <c r="C52" s="1809"/>
      <c r="E52" s="1005"/>
      <c r="F52" s="1005"/>
      <c r="G52" s="1005"/>
      <c r="H52" s="1005">
        <f>+('CIF Y PV'!C3/1000)*240</f>
        <v>453.59999999999997</v>
      </c>
      <c r="J52" s="1005"/>
    </row>
    <row r="53" spans="2:11" x14ac:dyDescent="0.3">
      <c r="B53" s="1808" t="s">
        <v>887</v>
      </c>
      <c r="C53" s="1809"/>
      <c r="E53" s="1005"/>
      <c r="F53" s="1005"/>
      <c r="G53" s="1005"/>
      <c r="H53" s="1005">
        <f>+H52+H51</f>
        <v>2352.7592353335999</v>
      </c>
      <c r="I53" s="1116"/>
      <c r="J53" s="1005"/>
      <c r="K53" s="1116"/>
    </row>
    <row r="54" spans="2:11" x14ac:dyDescent="0.3">
      <c r="B54" s="1807" t="s">
        <v>49</v>
      </c>
      <c r="C54" s="1807"/>
      <c r="E54" s="1005"/>
      <c r="F54" s="1005"/>
      <c r="G54" s="1005"/>
      <c r="H54" s="1117">
        <f>'CIF Y PV'!C50</f>
        <v>3850</v>
      </c>
      <c r="J54" s="1118"/>
      <c r="K54" s="1119"/>
    </row>
    <row r="55" spans="2:11" ht="14.45" customHeight="1" x14ac:dyDescent="0.3">
      <c r="B55" s="1807" t="s">
        <v>805</v>
      </c>
      <c r="C55" s="1807"/>
      <c r="E55" s="1005"/>
      <c r="F55" s="1005"/>
      <c r="G55" s="1005"/>
      <c r="H55" s="1119">
        <f>+(H54-H53)/H54</f>
        <v>0.38889370510815585</v>
      </c>
      <c r="I55" s="1120"/>
      <c r="J55" s="1121"/>
      <c r="K55" s="1120"/>
    </row>
    <row r="56" spans="2:11" x14ac:dyDescent="0.3">
      <c r="H56" s="1121"/>
      <c r="I56" s="1007"/>
      <c r="J56" s="1122"/>
      <c r="K56" s="1007"/>
    </row>
  </sheetData>
  <mergeCells count="9">
    <mergeCell ref="B53:C53"/>
    <mergeCell ref="B54:C54"/>
    <mergeCell ref="B55:C55"/>
    <mergeCell ref="B2:J2"/>
    <mergeCell ref="B30:C30"/>
    <mergeCell ref="B32:C32"/>
    <mergeCell ref="B43:I43"/>
    <mergeCell ref="B51:C51"/>
    <mergeCell ref="B52:C52"/>
  </mergeCells>
  <pageMargins left="0.7" right="0.7" top="0.75" bottom="0.75" header="0.3" footer="0.3"/>
  <pageSetup scale="3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F8CA-B8AD-4C8F-A5F0-A036901E77E1}">
  <sheetPr codeName="Hoja121"/>
  <dimension ref="B2:M55"/>
  <sheetViews>
    <sheetView view="pageBreakPreview" topLeftCell="B3" zoomScale="90" zoomScaleNormal="100" zoomScaleSheetLayoutView="90" workbookViewId="0">
      <selection activeCell="G5" sqref="G5:G28"/>
    </sheetView>
  </sheetViews>
  <sheetFormatPr baseColWidth="10" defaultColWidth="11.5703125" defaultRowHeight="13.5" x14ac:dyDescent="0.25"/>
  <cols>
    <col min="1" max="1" width="5" style="1" customWidth="1"/>
    <col min="2" max="2" width="11.5703125" style="1"/>
    <col min="3" max="3" width="67.42578125" style="1" bestFit="1" customWidth="1"/>
    <col min="4" max="4" width="11.5703125" style="100"/>
    <col min="5" max="5" width="11.5703125" style="1"/>
    <col min="6" max="6" width="12.5703125" style="1" bestFit="1" customWidth="1"/>
    <col min="7" max="7" width="11.5703125" style="1"/>
    <col min="8" max="8" width="12.5703125" style="107" bestFit="1" customWidth="1"/>
    <col min="9" max="9" width="14.42578125" style="1" bestFit="1" customWidth="1"/>
    <col min="10" max="10" width="12.5703125" style="38" bestFit="1" customWidth="1"/>
    <col min="11" max="12" width="11.5703125" style="1"/>
    <col min="13" max="13" width="15.42578125" style="1" bestFit="1" customWidth="1"/>
    <col min="14" max="16384" width="11.5703125" style="1"/>
  </cols>
  <sheetData>
    <row r="2" spans="2:13" ht="25.5" x14ac:dyDescent="0.35">
      <c r="B2" s="1751" t="s">
        <v>889</v>
      </c>
      <c r="C2" s="1751"/>
      <c r="D2" s="1751"/>
      <c r="E2" s="1751"/>
      <c r="F2" s="1751"/>
      <c r="G2" s="1751"/>
      <c r="H2" s="1751"/>
      <c r="I2" s="1751"/>
      <c r="J2" s="1751"/>
    </row>
    <row r="4" spans="2:13" s="120" customFormat="1" ht="25.5" x14ac:dyDescent="0.25">
      <c r="B4" s="1271" t="s">
        <v>0</v>
      </c>
      <c r="C4" s="1271" t="s">
        <v>1</v>
      </c>
      <c r="D4" s="1314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272">
        <f>+D31/1000</f>
        <v>0.45639999999999997</v>
      </c>
      <c r="L4" s="120">
        <v>2000</v>
      </c>
    </row>
    <row r="5" spans="2:13" ht="16.5" x14ac:dyDescent="0.3">
      <c r="B5" s="74">
        <v>1112002</v>
      </c>
      <c r="C5" s="74" t="s">
        <v>796</v>
      </c>
      <c r="D5" s="532">
        <v>9.128E-2</v>
      </c>
      <c r="E5" s="561">
        <v>20</v>
      </c>
      <c r="F5" s="982">
        <f>VLOOKUP(B5,[2]Hoja1!$C$2:$E$279,3,FALSE)</f>
        <v>3575.02</v>
      </c>
      <c r="G5" s="1105">
        <f>F5*D5</f>
        <v>326.32782559999998</v>
      </c>
      <c r="H5" s="982">
        <v>4222.72</v>
      </c>
      <c r="I5" s="73">
        <f>H5*D5</f>
        <v>385.44988160000003</v>
      </c>
      <c r="J5" s="562">
        <f>((F5/H5)*100)-100</f>
        <v>-15.338454834798426</v>
      </c>
      <c r="K5" s="525">
        <f>$K$4*E5%</f>
        <v>9.128E-2</v>
      </c>
      <c r="L5" s="153">
        <f>$L$4*E5%</f>
        <v>400</v>
      </c>
      <c r="M5" s="1549">
        <f>L5*F5</f>
        <v>1430008</v>
      </c>
    </row>
    <row r="6" spans="2:13" ht="16.5" x14ac:dyDescent="0.3">
      <c r="B6" s="74">
        <v>1122006</v>
      </c>
      <c r="C6" s="74" t="s">
        <v>972</v>
      </c>
      <c r="D6" s="532">
        <v>6.9966119999999993E-2</v>
      </c>
      <c r="E6" s="561">
        <v>15.33</v>
      </c>
      <c r="F6" s="982">
        <f>VLOOKUP(B6,[2]Hoja1!$C$2:$E$279,3,FALSE)</f>
        <v>12955.53</v>
      </c>
      <c r="G6" s="1105">
        <f t="shared" ref="G6:G16" si="0">F6*D6</f>
        <v>906.44816664359996</v>
      </c>
      <c r="H6" s="983">
        <v>12278.37</v>
      </c>
      <c r="I6" s="73">
        <f t="shared" ref="I6:I28" si="1">H6*D6</f>
        <v>859.06990882439993</v>
      </c>
      <c r="J6" s="562">
        <f t="shared" ref="J6:J28" si="2">((F6/H6)*100)-100</f>
        <v>5.5150642959936818</v>
      </c>
      <c r="K6" s="525">
        <f t="shared" ref="K6:K28" si="3">$K$4*E6%</f>
        <v>6.9966119999999993E-2</v>
      </c>
      <c r="L6" s="153">
        <f t="shared" ref="L6:L28" si="4">$L$4*E6%</f>
        <v>306.59999999999997</v>
      </c>
      <c r="M6" s="1549">
        <f t="shared" ref="M6:M28" si="5">L6*F6</f>
        <v>3972165.4979999997</v>
      </c>
    </row>
    <row r="7" spans="2:13" ht="16.5" x14ac:dyDescent="0.3">
      <c r="B7" s="74">
        <v>1122007</v>
      </c>
      <c r="C7" s="74" t="s">
        <v>1067</v>
      </c>
      <c r="D7" s="532">
        <v>6.9966119999999993E-2</v>
      </c>
      <c r="E7" s="561">
        <v>15.33</v>
      </c>
      <c r="F7" s="982">
        <f>VLOOKUP(B7,[2]Hoja1!$C$2:$E$279,3,FALSE)</f>
        <v>11229.33</v>
      </c>
      <c r="G7" s="1105">
        <f t="shared" si="0"/>
        <v>785.67265029959992</v>
      </c>
      <c r="H7" s="1092">
        <v>2803.03</v>
      </c>
      <c r="I7" s="73">
        <f t="shared" si="1"/>
        <v>196.11713334359999</v>
      </c>
      <c r="J7" s="562">
        <f>((F7/H7)*100)-100</f>
        <v>300.61397844475442</v>
      </c>
      <c r="K7" s="525">
        <f>$K$4*E7%</f>
        <v>6.9966119999999993E-2</v>
      </c>
      <c r="L7" s="153">
        <f t="shared" si="4"/>
        <v>306.59999999999997</v>
      </c>
      <c r="M7" s="1549">
        <f t="shared" si="5"/>
        <v>3442912.5779999997</v>
      </c>
    </row>
    <row r="8" spans="2:13" ht="16.5" x14ac:dyDescent="0.3">
      <c r="B8" s="74">
        <v>1111002</v>
      </c>
      <c r="C8" s="74" t="s">
        <v>1170</v>
      </c>
      <c r="D8" s="532">
        <v>3.1948000000000004E-2</v>
      </c>
      <c r="E8" s="561">
        <v>7</v>
      </c>
      <c r="F8" s="982">
        <f>VLOOKUP(B8,[2]Hoja1!$C$2:$E$279,3,FALSE)</f>
        <v>2800</v>
      </c>
      <c r="G8" s="1105">
        <f t="shared" si="0"/>
        <v>89.454400000000007</v>
      </c>
      <c r="H8" s="1092"/>
      <c r="I8" s="73"/>
      <c r="J8" s="562"/>
      <c r="K8" s="525">
        <f t="shared" ref="K8:K9" si="6">$K$4*E8%</f>
        <v>3.1948000000000004E-2</v>
      </c>
      <c r="L8" s="153"/>
      <c r="M8" s="1549">
        <f t="shared" si="5"/>
        <v>0</v>
      </c>
    </row>
    <row r="9" spans="2:13" ht="16.5" x14ac:dyDescent="0.3">
      <c r="B9" s="74">
        <v>2906001</v>
      </c>
      <c r="C9" s="74" t="s">
        <v>831</v>
      </c>
      <c r="D9" s="532">
        <v>2.282E-2</v>
      </c>
      <c r="E9" s="561">
        <v>5</v>
      </c>
      <c r="F9" s="982">
        <f>VLOOKUP(B9,[2]Hoja1!$C$2:$E$279,3,FALSE)</f>
        <v>1956.71</v>
      </c>
      <c r="G9" s="1105">
        <f t="shared" si="0"/>
        <v>44.652122200000001</v>
      </c>
      <c r="H9" s="1092"/>
      <c r="I9" s="73"/>
      <c r="J9" s="562"/>
      <c r="K9" s="525">
        <f t="shared" si="6"/>
        <v>2.282E-2</v>
      </c>
      <c r="L9" s="153"/>
      <c r="M9" s="1549">
        <f t="shared" si="5"/>
        <v>0</v>
      </c>
    </row>
    <row r="10" spans="2:13" ht="16.5" x14ac:dyDescent="0.3">
      <c r="B10" s="74">
        <v>1131002</v>
      </c>
      <c r="C10" s="74" t="s">
        <v>663</v>
      </c>
      <c r="D10" s="532">
        <v>0.11925731999999999</v>
      </c>
      <c r="E10" s="561">
        <v>26.13</v>
      </c>
      <c r="F10" s="982">
        <f>VLOOKUP(B10,[2]Hoja1!$C$2:$E$279,3,FALSE)</f>
        <v>0</v>
      </c>
      <c r="G10" s="1105">
        <f t="shared" si="0"/>
        <v>0</v>
      </c>
      <c r="H10" s="70">
        <v>0</v>
      </c>
      <c r="I10" s="73">
        <f t="shared" si="1"/>
        <v>0</v>
      </c>
      <c r="J10" s="562" t="e">
        <f t="shared" si="2"/>
        <v>#DIV/0!</v>
      </c>
      <c r="K10" s="525">
        <f t="shared" si="3"/>
        <v>0.11925731999999999</v>
      </c>
      <c r="L10" s="153">
        <f t="shared" si="4"/>
        <v>522.59999999999991</v>
      </c>
      <c r="M10" s="1549">
        <f t="shared" si="5"/>
        <v>0</v>
      </c>
    </row>
    <row r="11" spans="2:13" ht="16.5" x14ac:dyDescent="0.3">
      <c r="B11" s="74">
        <v>1210010</v>
      </c>
      <c r="C11" s="74" t="s">
        <v>1351</v>
      </c>
      <c r="D11" s="532">
        <v>3.5142799999999998E-3</v>
      </c>
      <c r="E11" s="561">
        <v>0.77</v>
      </c>
      <c r="F11" s="982">
        <f>VLOOKUP(B11,[2]Hoja1!$C$2:$E$279,3,FALSE)</f>
        <v>11600</v>
      </c>
      <c r="G11" s="1105">
        <f t="shared" si="0"/>
        <v>40.765647999999999</v>
      </c>
      <c r="H11" s="1091"/>
      <c r="I11" s="73"/>
      <c r="J11" s="562"/>
      <c r="K11" s="525">
        <f t="shared" si="3"/>
        <v>3.5142799999999998E-3</v>
      </c>
      <c r="L11" s="153"/>
      <c r="M11" s="1549">
        <f t="shared" si="5"/>
        <v>0</v>
      </c>
    </row>
    <row r="12" spans="2:13" ht="16.5" x14ac:dyDescent="0.3">
      <c r="B12" s="74">
        <v>1210005</v>
      </c>
      <c r="C12" s="74" t="s">
        <v>1155</v>
      </c>
      <c r="D12" s="532">
        <v>5.2486E-3</v>
      </c>
      <c r="E12" s="561">
        <v>1.1499999999999999</v>
      </c>
      <c r="F12" s="982">
        <f>VLOOKUP(B12,[2]Hoja1!$C$2:$E$279,3,FALSE)</f>
        <v>1356</v>
      </c>
      <c r="G12" s="1105">
        <f t="shared" si="0"/>
        <v>7.1171015999999998</v>
      </c>
      <c r="H12" s="965">
        <v>8910.1</v>
      </c>
      <c r="I12" s="73">
        <f t="shared" si="1"/>
        <v>46.765550860000005</v>
      </c>
      <c r="J12" s="562">
        <f t="shared" si="2"/>
        <v>-84.781315585683672</v>
      </c>
      <c r="K12" s="525">
        <f t="shared" si="3"/>
        <v>5.2486E-3</v>
      </c>
      <c r="L12" s="153">
        <f t="shared" si="4"/>
        <v>23</v>
      </c>
      <c r="M12" s="1549">
        <f t="shared" si="5"/>
        <v>31188</v>
      </c>
    </row>
    <row r="13" spans="2:13" ht="16.5" x14ac:dyDescent="0.3">
      <c r="B13" s="74">
        <v>1210004</v>
      </c>
      <c r="C13" s="74" t="s">
        <v>1131</v>
      </c>
      <c r="D13" s="532">
        <v>4.1075999999999998E-4</v>
      </c>
      <c r="E13" s="561">
        <v>0.09</v>
      </c>
      <c r="F13" s="982">
        <f>VLOOKUP(B13,[2]Hoja1!$C$2:$E$279,3,FALSE)</f>
        <v>3841</v>
      </c>
      <c r="G13" s="1105">
        <f t="shared" si="0"/>
        <v>1.5777291599999999</v>
      </c>
      <c r="H13" s="965">
        <v>3508.01</v>
      </c>
      <c r="I13" s="73">
        <f t="shared" si="1"/>
        <v>1.4409501875999999</v>
      </c>
      <c r="J13" s="562">
        <f t="shared" si="2"/>
        <v>9.4922762477871885</v>
      </c>
      <c r="K13" s="525">
        <f t="shared" si="3"/>
        <v>4.1075999999999998E-4</v>
      </c>
      <c r="L13" s="153">
        <f t="shared" si="4"/>
        <v>1.8</v>
      </c>
      <c r="M13" s="1549">
        <f t="shared" si="5"/>
        <v>6913.8</v>
      </c>
    </row>
    <row r="14" spans="2:13" ht="16.5" x14ac:dyDescent="0.3">
      <c r="B14" s="74">
        <v>1210002</v>
      </c>
      <c r="C14" s="74" t="s">
        <v>1033</v>
      </c>
      <c r="D14" s="532">
        <v>1.3235599999999999E-3</v>
      </c>
      <c r="E14" s="561">
        <v>0.28999999999999998</v>
      </c>
      <c r="F14" s="982">
        <f>VLOOKUP(B14,[2]Hoja1!$C$2:$E$279,3,FALSE)</f>
        <v>12886</v>
      </c>
      <c r="G14" s="1105">
        <f t="shared" si="0"/>
        <v>17.055394159999999</v>
      </c>
      <c r="H14" s="964">
        <v>12858.08</v>
      </c>
      <c r="I14" s="73">
        <f t="shared" si="1"/>
        <v>17.0184403648</v>
      </c>
      <c r="J14" s="562">
        <f t="shared" si="2"/>
        <v>0.21713972848201024</v>
      </c>
      <c r="K14" s="525">
        <f t="shared" si="3"/>
        <v>1.3235599999999999E-3</v>
      </c>
      <c r="L14" s="153">
        <f t="shared" si="4"/>
        <v>5.8</v>
      </c>
      <c r="M14" s="1549">
        <f t="shared" si="5"/>
        <v>74738.8</v>
      </c>
    </row>
    <row r="15" spans="2:13" ht="16.5" x14ac:dyDescent="0.3">
      <c r="B15" s="74">
        <v>1220009</v>
      </c>
      <c r="C15" s="74" t="s">
        <v>1133</v>
      </c>
      <c r="D15" s="532">
        <v>2.7383999999999997E-4</v>
      </c>
      <c r="E15" s="561">
        <v>0.06</v>
      </c>
      <c r="F15" s="982">
        <f>VLOOKUP(B15,[2]Hoja1!$C$2:$E$279,3,FALSE)</f>
        <v>21312.16</v>
      </c>
      <c r="G15" s="1105">
        <f t="shared" si="0"/>
        <v>5.8361218943999988</v>
      </c>
      <c r="H15" s="965">
        <v>20299</v>
      </c>
      <c r="I15" s="73">
        <f t="shared" si="1"/>
        <v>5.5586781599999995</v>
      </c>
      <c r="J15" s="562">
        <f t="shared" si="2"/>
        <v>4.9911818316173253</v>
      </c>
      <c r="K15" s="525">
        <f t="shared" si="3"/>
        <v>2.7383999999999997E-4</v>
      </c>
      <c r="L15" s="153">
        <f t="shared" si="4"/>
        <v>1.2</v>
      </c>
      <c r="M15" s="1549">
        <f t="shared" si="5"/>
        <v>25574.592000000001</v>
      </c>
    </row>
    <row r="16" spans="2:13" ht="16.5" x14ac:dyDescent="0.3">
      <c r="B16" s="74">
        <v>1230013</v>
      </c>
      <c r="C16" s="74" t="s">
        <v>754</v>
      </c>
      <c r="D16" s="532">
        <v>9.1279999999999996E-4</v>
      </c>
      <c r="E16" s="561">
        <v>0.2</v>
      </c>
      <c r="F16" s="982">
        <f>VLOOKUP(B16,[2]Hoja1!$C$2:$E$279,3,FALSE)</f>
        <v>20777.07</v>
      </c>
      <c r="G16" s="1105">
        <f t="shared" si="0"/>
        <v>18.965309496</v>
      </c>
      <c r="H16" s="1106">
        <v>19794.98</v>
      </c>
      <c r="I16" s="73">
        <f t="shared" si="1"/>
        <v>18.068857743999999</v>
      </c>
      <c r="J16" s="562">
        <f t="shared" si="2"/>
        <v>4.9613083721226303</v>
      </c>
      <c r="K16" s="525">
        <f t="shared" si="3"/>
        <v>9.1279999999999996E-4</v>
      </c>
      <c r="L16" s="153">
        <f t="shared" si="4"/>
        <v>4</v>
      </c>
      <c r="M16" s="1549">
        <f t="shared" si="5"/>
        <v>83108.28</v>
      </c>
    </row>
    <row r="17" spans="2:13" ht="16.5" x14ac:dyDescent="0.3">
      <c r="B17" s="74">
        <v>121007</v>
      </c>
      <c r="C17" s="74" t="s">
        <v>821</v>
      </c>
      <c r="D17" s="532">
        <v>5.0204000000000004E-4</v>
      </c>
      <c r="E17" s="561">
        <v>0.11</v>
      </c>
      <c r="F17" s="982">
        <f>VLOOKUP(B17,[2]Hoja1!$C$2:$E$279,3,FALSE)</f>
        <v>16905</v>
      </c>
      <c r="G17" s="1105">
        <f>F17*D17</f>
        <v>8.4869862000000005</v>
      </c>
      <c r="H17" s="1106">
        <v>16100</v>
      </c>
      <c r="I17" s="73"/>
      <c r="J17" s="562"/>
      <c r="K17" s="525">
        <f t="shared" si="3"/>
        <v>5.0204000000000004E-4</v>
      </c>
      <c r="L17" s="153">
        <f t="shared" si="4"/>
        <v>2.2000000000000002</v>
      </c>
      <c r="M17" s="1549">
        <f t="shared" si="5"/>
        <v>37191</v>
      </c>
    </row>
    <row r="18" spans="2:13" ht="16.5" x14ac:dyDescent="0.3">
      <c r="B18" s="74">
        <v>1220005</v>
      </c>
      <c r="C18" s="74" t="s">
        <v>1135</v>
      </c>
      <c r="D18" s="532">
        <v>2.7383999999999997E-4</v>
      </c>
      <c r="E18" s="561">
        <v>0.06</v>
      </c>
      <c r="F18" s="982">
        <f>VLOOKUP(B18,[2]Hoja1!$C$2:$E$279,3,FALSE)</f>
        <v>17429.990000000002</v>
      </c>
      <c r="G18" s="1105">
        <f>F18*D18</f>
        <v>4.7730284616</v>
      </c>
      <c r="H18" s="1106">
        <v>17430</v>
      </c>
      <c r="I18" s="73">
        <f t="shared" si="1"/>
        <v>4.7730311999999993</v>
      </c>
      <c r="J18" s="562">
        <f t="shared" si="2"/>
        <v>-5.7372346518036466E-5</v>
      </c>
      <c r="K18" s="525">
        <f t="shared" si="3"/>
        <v>2.7383999999999997E-4</v>
      </c>
      <c r="L18" s="153">
        <f t="shared" si="4"/>
        <v>1.2</v>
      </c>
      <c r="M18" s="1549">
        <f t="shared" si="5"/>
        <v>20915.988000000001</v>
      </c>
    </row>
    <row r="19" spans="2:13" ht="16.5" x14ac:dyDescent="0.3">
      <c r="B19" s="74">
        <v>1220007</v>
      </c>
      <c r="C19" s="74" t="s">
        <v>916</v>
      </c>
      <c r="D19" s="532">
        <v>2.7383999999999997E-4</v>
      </c>
      <c r="E19" s="561">
        <v>0.06</v>
      </c>
      <c r="F19" s="982">
        <f>VLOOKUP(B19,[2]Hoja1!$C$2:$E$279,3,FALSE)</f>
        <v>60081.72</v>
      </c>
      <c r="G19" s="1105">
        <f t="shared" ref="G19:G28" si="7">F19*D19</f>
        <v>16.452778204799998</v>
      </c>
      <c r="H19" s="1106">
        <v>56748.6</v>
      </c>
      <c r="I19" s="73">
        <f t="shared" si="1"/>
        <v>15.540036623999997</v>
      </c>
      <c r="J19" s="562">
        <f t="shared" si="2"/>
        <v>5.8734841035726078</v>
      </c>
      <c r="K19" s="525">
        <f t="shared" si="3"/>
        <v>2.7383999999999997E-4</v>
      </c>
      <c r="L19" s="153">
        <f t="shared" si="4"/>
        <v>1.2</v>
      </c>
      <c r="M19" s="1549">
        <f t="shared" si="5"/>
        <v>72098.063999999998</v>
      </c>
    </row>
    <row r="20" spans="2:13" ht="16.5" x14ac:dyDescent="0.3">
      <c r="B20" s="74">
        <v>1210003</v>
      </c>
      <c r="C20" s="74" t="s">
        <v>1143</v>
      </c>
      <c r="D20" s="532">
        <v>2.2819999999999999E-4</v>
      </c>
      <c r="E20" s="561">
        <v>0.05</v>
      </c>
      <c r="F20" s="982">
        <f>VLOOKUP(B20,[2]Hoja1!$C$2:$E$279,3,FALSE)</f>
        <v>16235.45</v>
      </c>
      <c r="G20" s="1105">
        <f t="shared" si="7"/>
        <v>3.7049296900000002</v>
      </c>
      <c r="H20" s="1106">
        <v>12852.58</v>
      </c>
      <c r="I20" s="73">
        <f t="shared" si="1"/>
        <v>2.9329587559999997</v>
      </c>
      <c r="J20" s="562">
        <f t="shared" si="2"/>
        <v>26.320551982559152</v>
      </c>
      <c r="K20" s="525">
        <f t="shared" si="3"/>
        <v>2.2819999999999999E-4</v>
      </c>
      <c r="L20" s="153">
        <f t="shared" si="4"/>
        <v>1</v>
      </c>
      <c r="M20" s="1549">
        <f t="shared" si="5"/>
        <v>16235.45</v>
      </c>
    </row>
    <row r="21" spans="2:13" ht="16.5" x14ac:dyDescent="0.3">
      <c r="B21" s="74">
        <v>1250004</v>
      </c>
      <c r="C21" s="74" t="s">
        <v>969</v>
      </c>
      <c r="D21" s="532">
        <v>4.5639999999999997E-5</v>
      </c>
      <c r="E21" s="561">
        <v>0.01</v>
      </c>
      <c r="F21" s="982">
        <f>VLOOKUP(B21,[2]Hoja1!$C$2:$E$279,3,FALSE)</f>
        <v>164481.95000000001</v>
      </c>
      <c r="G21" s="1105">
        <f t="shared" si="7"/>
        <v>7.5069561980000001</v>
      </c>
      <c r="H21" s="533">
        <v>156520.01999999999</v>
      </c>
      <c r="I21" s="73">
        <f t="shared" si="1"/>
        <v>7.1435737127999994</v>
      </c>
      <c r="J21" s="562">
        <f t="shared" si="2"/>
        <v>5.0868444816196927</v>
      </c>
      <c r="K21" s="525">
        <f t="shared" si="3"/>
        <v>4.5639999999999997E-5</v>
      </c>
      <c r="L21" s="153">
        <f t="shared" si="4"/>
        <v>0.2</v>
      </c>
      <c r="M21" s="1549">
        <f t="shared" si="5"/>
        <v>32896.390000000007</v>
      </c>
    </row>
    <row r="22" spans="2:13" ht="16.5" x14ac:dyDescent="0.3">
      <c r="B22" s="74">
        <v>1250009</v>
      </c>
      <c r="C22" s="74" t="s">
        <v>1279</v>
      </c>
      <c r="D22" s="532">
        <v>9.1279999999999993E-5</v>
      </c>
      <c r="E22" s="561">
        <v>0.02</v>
      </c>
      <c r="F22" s="982">
        <f>VLOOKUP(B22,[2]Hoja1!$C$2:$E$279,3,FALSE)</f>
        <v>83551.55</v>
      </c>
      <c r="G22" s="1105">
        <f t="shared" si="7"/>
        <v>7.6265854839999996</v>
      </c>
      <c r="H22" s="965">
        <v>71910.02</v>
      </c>
      <c r="I22" s="73">
        <f t="shared" si="1"/>
        <v>6.5639466255999999</v>
      </c>
      <c r="J22" s="562">
        <f t="shared" si="2"/>
        <v>16.18902344902699</v>
      </c>
      <c r="K22" s="525">
        <f t="shared" si="3"/>
        <v>9.1279999999999993E-5</v>
      </c>
      <c r="L22" s="153">
        <f t="shared" si="4"/>
        <v>0.4</v>
      </c>
      <c r="M22" s="1549">
        <f t="shared" si="5"/>
        <v>33420.620000000003</v>
      </c>
    </row>
    <row r="23" spans="2:13" ht="16.5" x14ac:dyDescent="0.3">
      <c r="B23" s="74">
        <v>1260015</v>
      </c>
      <c r="C23" s="74" t="s">
        <v>785</v>
      </c>
      <c r="D23" s="532">
        <v>1.91688E-2</v>
      </c>
      <c r="E23" s="561">
        <v>4.2</v>
      </c>
      <c r="F23" s="982">
        <f>VLOOKUP(B23,[2]Hoja1!$C$2:$E$279,3,FALSE)</f>
        <v>3450.01</v>
      </c>
      <c r="G23" s="1105">
        <f t="shared" si="7"/>
        <v>66.132551688000007</v>
      </c>
      <c r="H23" s="965">
        <v>3400.01</v>
      </c>
      <c r="I23" s="73">
        <f t="shared" si="1"/>
        <v>65.174111687999996</v>
      </c>
      <c r="J23" s="562">
        <f t="shared" si="2"/>
        <v>1.4705839100473241</v>
      </c>
      <c r="K23" s="525">
        <f t="shared" si="3"/>
        <v>1.91688E-2</v>
      </c>
      <c r="L23" s="153">
        <f t="shared" si="4"/>
        <v>84</v>
      </c>
      <c r="M23" s="1549">
        <f t="shared" si="5"/>
        <v>289800.84000000003</v>
      </c>
    </row>
    <row r="24" spans="2:13" ht="16.5" x14ac:dyDescent="0.3">
      <c r="B24" s="74">
        <v>1220010</v>
      </c>
      <c r="C24" s="74" t="s">
        <v>1144</v>
      </c>
      <c r="D24" s="532">
        <v>3.6511999999999998E-3</v>
      </c>
      <c r="E24" s="561">
        <v>0.8</v>
      </c>
      <c r="F24" s="982">
        <f>VLOOKUP(B24,[2]Hoja1!$C$2:$E$279,3,FALSE)</f>
        <v>4744.72</v>
      </c>
      <c r="G24" s="1105">
        <f t="shared" si="7"/>
        <v>17.323921664</v>
      </c>
      <c r="H24" s="561">
        <v>9381</v>
      </c>
      <c r="I24" s="73">
        <f t="shared" si="1"/>
        <v>34.251907199999998</v>
      </c>
      <c r="J24" s="562">
        <f t="shared" si="2"/>
        <v>-49.42202323846071</v>
      </c>
      <c r="K24" s="525">
        <f t="shared" si="3"/>
        <v>3.6511999999999998E-3</v>
      </c>
      <c r="L24" s="153">
        <f t="shared" si="4"/>
        <v>16</v>
      </c>
      <c r="M24" s="1549">
        <f t="shared" si="5"/>
        <v>75915.520000000004</v>
      </c>
    </row>
    <row r="25" spans="2:13" ht="16.5" x14ac:dyDescent="0.3">
      <c r="B25" s="74">
        <v>1240007</v>
      </c>
      <c r="C25" s="74" t="s">
        <v>1352</v>
      </c>
      <c r="D25" s="532">
        <v>2.2819999999999997E-3</v>
      </c>
      <c r="E25" s="561">
        <v>0.5</v>
      </c>
      <c r="F25" s="982">
        <f>VLOOKUP(B25,[2]Hoja1!$C$2:$E$279,3,FALSE)</f>
        <v>25921.42</v>
      </c>
      <c r="G25" s="1105">
        <f t="shared" si="7"/>
        <v>59.15268043999999</v>
      </c>
      <c r="H25" s="965">
        <v>11340</v>
      </c>
      <c r="I25" s="73">
        <f t="shared" si="1"/>
        <v>25.877879999999998</v>
      </c>
      <c r="J25" s="562">
        <f t="shared" si="2"/>
        <v>128.58395061728393</v>
      </c>
      <c r="K25" s="525">
        <f t="shared" si="3"/>
        <v>2.2819999999999997E-3</v>
      </c>
      <c r="L25" s="153">
        <f t="shared" si="4"/>
        <v>10</v>
      </c>
      <c r="M25" s="1549">
        <f t="shared" si="5"/>
        <v>259214.19999999998</v>
      </c>
    </row>
    <row r="26" spans="2:13" ht="16.5" x14ac:dyDescent="0.3">
      <c r="B26" s="74">
        <v>1260024</v>
      </c>
      <c r="C26" s="74" t="s">
        <v>1290</v>
      </c>
      <c r="D26" s="532">
        <v>7.987000000000001E-3</v>
      </c>
      <c r="E26" s="561">
        <v>1.75</v>
      </c>
      <c r="F26" s="982">
        <f>VLOOKUP(B26,[2]Hoja1!$C$2:$E$279,3,FALSE)</f>
        <v>12625.84</v>
      </c>
      <c r="G26" s="1105">
        <f t="shared" si="7"/>
        <v>100.84258408000001</v>
      </c>
      <c r="H26" s="982">
        <v>18900</v>
      </c>
      <c r="I26" s="73">
        <f t="shared" si="1"/>
        <v>150.95430000000002</v>
      </c>
      <c r="J26" s="562">
        <f t="shared" si="2"/>
        <v>-33.196613756613758</v>
      </c>
      <c r="K26" s="525">
        <f t="shared" si="3"/>
        <v>7.987000000000001E-3</v>
      </c>
      <c r="L26" s="153">
        <f t="shared" si="4"/>
        <v>35</v>
      </c>
      <c r="M26" s="1549">
        <f t="shared" si="5"/>
        <v>441904.4</v>
      </c>
    </row>
    <row r="27" spans="2:13" ht="16.5" x14ac:dyDescent="0.3">
      <c r="B27" s="74">
        <v>1260005</v>
      </c>
      <c r="C27" s="74" t="s">
        <v>811</v>
      </c>
      <c r="D27" s="532">
        <v>4.5639999999999995E-3</v>
      </c>
      <c r="E27" s="561">
        <v>1</v>
      </c>
      <c r="F27" s="982">
        <f>VLOOKUP(B27,[2]Hoja1!$C$2:$E$279,3,FALSE)</f>
        <v>26429</v>
      </c>
      <c r="G27" s="1105">
        <f t="shared" si="7"/>
        <v>120.62195599999998</v>
      </c>
      <c r="H27" s="70">
        <v>25850</v>
      </c>
      <c r="I27" s="73">
        <f t="shared" si="1"/>
        <v>117.97939999999998</v>
      </c>
      <c r="J27" s="562">
        <f t="shared" si="2"/>
        <v>2.2398452611218715</v>
      </c>
      <c r="K27" s="525">
        <f t="shared" si="3"/>
        <v>4.5639999999999995E-3</v>
      </c>
      <c r="L27" s="153">
        <f t="shared" si="4"/>
        <v>20</v>
      </c>
      <c r="M27" s="1549">
        <f t="shared" si="5"/>
        <v>528580</v>
      </c>
    </row>
    <row r="28" spans="2:13" ht="16.5" x14ac:dyDescent="0.3">
      <c r="B28" s="74">
        <v>1270004</v>
      </c>
      <c r="C28" s="553" t="s">
        <v>1032</v>
      </c>
      <c r="D28" s="532">
        <v>1.8255999999999999E-4</v>
      </c>
      <c r="E28" s="1107">
        <v>0.04</v>
      </c>
      <c r="F28" s="982">
        <f>VLOOKUP(B28,[2]Hoja1!$C$2:$E$279,3,FALSE)</f>
        <v>50662</v>
      </c>
      <c r="G28" s="1105">
        <f t="shared" si="7"/>
        <v>9.2488547199999989</v>
      </c>
      <c r="H28" s="88">
        <v>53849.37</v>
      </c>
      <c r="I28" s="73">
        <f t="shared" si="1"/>
        <v>9.8307409872000004</v>
      </c>
      <c r="J28" s="562">
        <f t="shared" si="2"/>
        <v>-5.9190478922966179</v>
      </c>
      <c r="K28" s="525">
        <f t="shared" si="3"/>
        <v>1.8255999999999999E-4</v>
      </c>
      <c r="L28" s="153">
        <f t="shared" si="4"/>
        <v>0.8</v>
      </c>
      <c r="M28" s="1549">
        <f t="shared" si="5"/>
        <v>40529.600000000006</v>
      </c>
    </row>
    <row r="29" spans="2:13" s="38" customFormat="1" x14ac:dyDescent="0.25">
      <c r="B29" s="1763" t="s">
        <v>37</v>
      </c>
      <c r="C29" s="1763"/>
      <c r="D29" s="1273">
        <f>SUM(D5:D28)</f>
        <v>0.45617180000000013</v>
      </c>
      <c r="E29" s="1511">
        <f>SUM(E5:E28)</f>
        <v>99.950000000000017</v>
      </c>
      <c r="F29" s="1274"/>
      <c r="G29" s="1316">
        <f>SUM(G5:G28)</f>
        <v>2665.7462818839999</v>
      </c>
      <c r="H29" s="1316"/>
      <c r="I29" s="1316">
        <f>SUM(I5:I28)</f>
        <v>1970.5112878780005</v>
      </c>
      <c r="J29" s="1317">
        <f>((G29/I29)*100)-100</f>
        <v>35.281959473304113</v>
      </c>
      <c r="K29" s="1250"/>
      <c r="M29" s="38">
        <f>SUM(M5:M28)</f>
        <v>10915311.619999997</v>
      </c>
    </row>
    <row r="31" spans="2:13" ht="25.5" x14ac:dyDescent="0.35">
      <c r="B31" s="1760" t="s">
        <v>50</v>
      </c>
      <c r="C31" s="1754"/>
      <c r="D31" s="38">
        <f>+C34+(C34*C40%)</f>
        <v>456.4</v>
      </c>
      <c r="E31" s="97"/>
      <c r="F31" s="97"/>
      <c r="G31" s="97"/>
      <c r="H31" s="105"/>
      <c r="I31" s="97"/>
      <c r="J31" s="101"/>
    </row>
    <row r="32" spans="2:13" x14ac:dyDescent="0.25">
      <c r="B32" s="1264" t="s">
        <v>38</v>
      </c>
      <c r="C32" s="93" t="s">
        <v>167</v>
      </c>
    </row>
    <row r="33" spans="2:12" x14ac:dyDescent="0.25">
      <c r="B33" s="1265" t="s">
        <v>39</v>
      </c>
      <c r="C33" s="21" t="s">
        <v>310</v>
      </c>
      <c r="H33" s="100"/>
    </row>
    <row r="34" spans="2:12" x14ac:dyDescent="0.25">
      <c r="B34" s="1265" t="s">
        <v>40</v>
      </c>
      <c r="C34" s="21">
        <v>400</v>
      </c>
    </row>
    <row r="35" spans="2:12" x14ac:dyDescent="0.25">
      <c r="B35" s="1265" t="s">
        <v>41</v>
      </c>
      <c r="C35" s="21">
        <v>0</v>
      </c>
    </row>
    <row r="36" spans="2:12" x14ac:dyDescent="0.25">
      <c r="B36" s="1265" t="s">
        <v>42</v>
      </c>
      <c r="C36" s="21">
        <v>9</v>
      </c>
    </row>
    <row r="37" spans="2:12" x14ac:dyDescent="0.25">
      <c r="B37" s="1265" t="s">
        <v>43</v>
      </c>
      <c r="C37" s="21">
        <v>2</v>
      </c>
    </row>
    <row r="38" spans="2:12" x14ac:dyDescent="0.25">
      <c r="B38" s="1265" t="s">
        <v>44</v>
      </c>
      <c r="C38" s="21">
        <v>1</v>
      </c>
      <c r="J38" s="38" t="s">
        <v>85</v>
      </c>
    </row>
    <row r="39" spans="2:12" x14ac:dyDescent="0.25">
      <c r="B39" s="1265" t="s">
        <v>45</v>
      </c>
      <c r="C39" s="21">
        <v>2.1</v>
      </c>
    </row>
    <row r="40" spans="2:12" x14ac:dyDescent="0.25">
      <c r="B40" s="1265" t="s">
        <v>46</v>
      </c>
      <c r="C40" s="21">
        <f>C39+C38+C37+C36</f>
        <v>14.1</v>
      </c>
    </row>
    <row r="41" spans="2:12" x14ac:dyDescent="0.25">
      <c r="H41" s="105"/>
      <c r="I41" s="97"/>
      <c r="L41" s="1" t="s">
        <v>85</v>
      </c>
    </row>
    <row r="42" spans="2:12" ht="25.5" x14ac:dyDescent="0.35">
      <c r="B42" s="1773" t="s">
        <v>47</v>
      </c>
      <c r="C42" s="1774"/>
      <c r="D42" s="1774"/>
      <c r="E42" s="1774"/>
      <c r="F42" s="1774"/>
      <c r="G42" s="1774"/>
      <c r="H42" s="1774"/>
      <c r="I42" s="1774"/>
    </row>
    <row r="43" spans="2:12" s="120" customFormat="1" ht="25.5" x14ac:dyDescent="0.25">
      <c r="B43" s="1255" t="s">
        <v>0</v>
      </c>
      <c r="C43" s="1255" t="s">
        <v>1</v>
      </c>
      <c r="D43" s="1275" t="s">
        <v>2</v>
      </c>
      <c r="E43" s="1243" t="str">
        <f>+'CIF Y PV'!$F$4</f>
        <v xml:space="preserve">JUN-COP/UMB </v>
      </c>
      <c r="F43" s="1243" t="str">
        <f>+'CIF Y PV'!$G$4</f>
        <v>JUN-COP/APP</v>
      </c>
      <c r="G43" s="1243" t="str">
        <f>+'CIF Y PV'!$H$4</f>
        <v xml:space="preserve">MAY-COP/UMB </v>
      </c>
      <c r="H43" s="1243" t="str">
        <f>+'CIF Y PV'!$I$4</f>
        <v>MAY-COP/APP</v>
      </c>
      <c r="I43" s="1244" t="s">
        <v>3</v>
      </c>
      <c r="J43" s="146"/>
    </row>
    <row r="44" spans="2:12" x14ac:dyDescent="0.25">
      <c r="B44" s="4">
        <v>1370036</v>
      </c>
      <c r="C44" s="4" t="s">
        <v>1069</v>
      </c>
      <c r="D44" s="103">
        <v>1.1499999999999999</v>
      </c>
      <c r="E44" s="24">
        <f>VLOOKUP(B44,[2]Hoja1!$C$2:$E$279,3,FALSE)</f>
        <v>181.62</v>
      </c>
      <c r="F44" s="24">
        <f>E44*D44</f>
        <v>208.863</v>
      </c>
      <c r="G44" s="24">
        <v>198.19</v>
      </c>
      <c r="H44" s="24">
        <v>254.20749999999998</v>
      </c>
      <c r="I44" s="643">
        <f>((F44/H44)*100)-100</f>
        <v>-17.837593304682201</v>
      </c>
    </row>
    <row r="45" spans="2:12" x14ac:dyDescent="0.25">
      <c r="B45" s="4">
        <v>1350012</v>
      </c>
      <c r="C45" s="4" t="s">
        <v>1195</v>
      </c>
      <c r="D45" s="103">
        <v>0.1</v>
      </c>
      <c r="E45" s="24">
        <f>VLOOKUP(B45,[2]Hoja1!$C$2:$E$279,3,FALSE)</f>
        <v>1380</v>
      </c>
      <c r="F45" s="24">
        <f>E45*D45</f>
        <v>138</v>
      </c>
      <c r="G45" s="115">
        <v>1134</v>
      </c>
      <c r="H45" s="24">
        <v>91.539000000000001</v>
      </c>
      <c r="I45" s="643">
        <f>((F45/H45)*100)-100</f>
        <v>50.755415724445299</v>
      </c>
    </row>
    <row r="46" spans="2:12" x14ac:dyDescent="0.25">
      <c r="B46" s="4">
        <v>1310065</v>
      </c>
      <c r="C46" s="4" t="s">
        <v>1285</v>
      </c>
      <c r="D46" s="103">
        <v>7.4999999999999997E-2</v>
      </c>
      <c r="E46" s="24">
        <f>VLOOKUP(B46,[2]Hoja1!$C$2:$E$279,3,FALSE)</f>
        <v>736.83</v>
      </c>
      <c r="F46" s="24">
        <f>E46*D46</f>
        <v>55.262250000000002</v>
      </c>
      <c r="G46" s="871">
        <v>495</v>
      </c>
      <c r="H46" s="24">
        <v>66.75</v>
      </c>
      <c r="I46" s="643">
        <f>((F46/H46)*100)-100</f>
        <v>-17.21011235955055</v>
      </c>
    </row>
    <row r="47" spans="2:12" ht="15" x14ac:dyDescent="0.25">
      <c r="B47" s="4">
        <v>1320005</v>
      </c>
      <c r="C47" s="1142" t="s">
        <v>1145</v>
      </c>
      <c r="D47" s="103">
        <v>7.4999999999999997E-2</v>
      </c>
      <c r="E47" s="24">
        <f>VLOOKUP(B47,[2]Hoja1!$C$2:$E$279,3,FALSE)</f>
        <v>740.21</v>
      </c>
      <c r="F47" s="24">
        <f>E47*D47</f>
        <v>55.515750000000004</v>
      </c>
      <c r="G47" s="24">
        <v>828.94</v>
      </c>
      <c r="H47" s="24">
        <v>126.441</v>
      </c>
      <c r="I47" s="643">
        <f>((F47/H47)*100)-100</f>
        <v>-56.093553515078177</v>
      </c>
    </row>
    <row r="48" spans="2:12" x14ac:dyDescent="0.25">
      <c r="B48" s="1256"/>
      <c r="C48" s="1256" t="s">
        <v>37</v>
      </c>
      <c r="D48" s="1318"/>
      <c r="E48" s="1257"/>
      <c r="F48" s="1257">
        <f>SUM(F44:F47)</f>
        <v>457.64100000000002</v>
      </c>
      <c r="G48" s="1257"/>
      <c r="H48" s="1257">
        <f>SUM(H44:H47)</f>
        <v>538.9375</v>
      </c>
      <c r="I48" s="1268">
        <f>((F48/H48)*100)-100</f>
        <v>-15.084587730488224</v>
      </c>
    </row>
    <row r="49" spans="2:11" x14ac:dyDescent="0.25">
      <c r="H49" s="1" t="str">
        <f>+'CIF Y PV'!$G$1</f>
        <v>MAYO</v>
      </c>
      <c r="J49" s="107"/>
    </row>
    <row r="50" spans="2:11" x14ac:dyDescent="0.25">
      <c r="B50" s="1750" t="s">
        <v>816</v>
      </c>
      <c r="C50" s="1750"/>
      <c r="E50" s="881"/>
      <c r="F50" s="881"/>
      <c r="G50" s="881"/>
      <c r="H50" s="1269">
        <f>+F48+G29</f>
        <v>3123.387281884</v>
      </c>
      <c r="I50" s="28"/>
      <c r="J50" s="881"/>
      <c r="K50" s="28"/>
    </row>
    <row r="51" spans="2:11" x14ac:dyDescent="0.25">
      <c r="B51" s="1758" t="s">
        <v>48</v>
      </c>
      <c r="C51" s="1759"/>
      <c r="E51" s="881"/>
      <c r="F51" s="881"/>
      <c r="G51" s="881"/>
      <c r="H51" s="1269">
        <f>+('CIF Y PV'!C3/1000)*400</f>
        <v>756</v>
      </c>
      <c r="J51" s="881"/>
    </row>
    <row r="52" spans="2:11" x14ac:dyDescent="0.25">
      <c r="B52" s="1758" t="s">
        <v>197</v>
      </c>
      <c r="C52" s="1759"/>
      <c r="E52" s="881"/>
      <c r="F52" s="881"/>
      <c r="G52" s="881"/>
      <c r="H52" s="1269">
        <f>+H51+H50</f>
        <v>3879.387281884</v>
      </c>
      <c r="I52" s="140"/>
      <c r="J52" s="881"/>
      <c r="K52" s="140"/>
    </row>
    <row r="53" spans="2:11" x14ac:dyDescent="0.25">
      <c r="B53" s="1750" t="s">
        <v>49</v>
      </c>
      <c r="C53" s="1750"/>
      <c r="E53" s="881"/>
      <c r="F53" s="881"/>
      <c r="G53" s="881"/>
      <c r="H53" s="1320">
        <f>'CIF Y PV'!C52</f>
        <v>6370</v>
      </c>
      <c r="J53" s="931"/>
      <c r="K53" s="339"/>
    </row>
    <row r="54" spans="2:11" ht="14.45" customHeight="1" x14ac:dyDescent="0.25">
      <c r="B54" s="1750" t="s">
        <v>805</v>
      </c>
      <c r="C54" s="1750"/>
      <c r="E54" s="881"/>
      <c r="F54" s="881"/>
      <c r="G54" s="881"/>
      <c r="H54" s="1229">
        <f>+(H53-H52)/H53</f>
        <v>0.39099100755353217</v>
      </c>
      <c r="I54" s="932"/>
      <c r="J54" s="384"/>
      <c r="K54" s="932"/>
    </row>
    <row r="55" spans="2:11" x14ac:dyDescent="0.25">
      <c r="H55" s="384"/>
      <c r="I55" s="188"/>
      <c r="J55" s="933"/>
      <c r="K55" s="188"/>
    </row>
  </sheetData>
  <mergeCells count="9">
    <mergeCell ref="B52:C52"/>
    <mergeCell ref="B53:C53"/>
    <mergeCell ref="B54:C54"/>
    <mergeCell ref="B2:J2"/>
    <mergeCell ref="B29:C29"/>
    <mergeCell ref="B31:C31"/>
    <mergeCell ref="B42:I42"/>
    <mergeCell ref="B50:C50"/>
    <mergeCell ref="B51:C51"/>
  </mergeCells>
  <pageMargins left="0.7" right="0.7" top="0.75" bottom="0.75" header="0.3" footer="0.3"/>
  <pageSetup scale="41" orientation="portrait" r:id="rId1"/>
  <colBreaks count="1" manualBreakCount="1">
    <brk id="14" max="53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B414-3BF9-456E-AD9E-7C8D9D7CA3B7}">
  <sheetPr codeName="Hoja122"/>
  <dimension ref="B2:M55"/>
  <sheetViews>
    <sheetView view="pageBreakPreview" topLeftCell="A37" zoomScaleNormal="100" zoomScaleSheetLayoutView="100" workbookViewId="0">
      <selection activeCell="B25" sqref="B25:C25"/>
    </sheetView>
  </sheetViews>
  <sheetFormatPr baseColWidth="10" defaultColWidth="11.5703125" defaultRowHeight="13.5" x14ac:dyDescent="0.25"/>
  <cols>
    <col min="1" max="1" width="5" style="1" customWidth="1"/>
    <col min="2" max="2" width="11.5703125" style="1"/>
    <col min="3" max="3" width="67.42578125" style="1" bestFit="1" customWidth="1"/>
    <col min="4" max="4" width="11.5703125" style="100"/>
    <col min="5" max="5" width="11.5703125" style="1"/>
    <col min="6" max="6" width="12.5703125" style="1" bestFit="1" customWidth="1"/>
    <col min="7" max="7" width="11.5703125" style="1"/>
    <col min="8" max="8" width="12.5703125" style="107" bestFit="1" customWidth="1"/>
    <col min="9" max="9" width="14.42578125" style="1" bestFit="1" customWidth="1"/>
    <col min="10" max="10" width="12.5703125" style="38" bestFit="1" customWidth="1"/>
    <col min="11" max="12" width="11.5703125" style="1"/>
    <col min="13" max="13" width="17.28515625" style="1" customWidth="1"/>
    <col min="14" max="16384" width="11.5703125" style="1"/>
  </cols>
  <sheetData>
    <row r="2" spans="2:13" ht="25.5" x14ac:dyDescent="0.35">
      <c r="B2" s="1751" t="s">
        <v>1219</v>
      </c>
      <c r="C2" s="1751"/>
      <c r="D2" s="1751"/>
      <c r="E2" s="1751"/>
      <c r="F2" s="1751"/>
      <c r="G2" s="1751"/>
      <c r="H2" s="1751"/>
      <c r="I2" s="1751"/>
      <c r="J2" s="1751"/>
    </row>
    <row r="4" spans="2:13" s="120" customFormat="1" ht="25.5" x14ac:dyDescent="0.25">
      <c r="B4" s="1271" t="s">
        <v>0</v>
      </c>
      <c r="C4" s="1271" t="s">
        <v>1</v>
      </c>
      <c r="D4" s="1314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272">
        <f>+D31/1000</f>
        <v>1.46048</v>
      </c>
      <c r="L4" s="120">
        <v>2000</v>
      </c>
    </row>
    <row r="5" spans="2:13" x14ac:dyDescent="0.25">
      <c r="B5" s="6">
        <v>1112002</v>
      </c>
      <c r="C5" s="6" t="s">
        <v>796</v>
      </c>
      <c r="D5" s="7">
        <v>0.29209600000000002</v>
      </c>
      <c r="E5" s="32">
        <v>20</v>
      </c>
      <c r="F5" s="896">
        <f>VLOOKUP(B5,[2]Hoja1!$C$2:$E$279,3,FALSE)</f>
        <v>3575.02</v>
      </c>
      <c r="G5" s="8">
        <f>F5*D5</f>
        <v>1044.2490419200001</v>
      </c>
      <c r="H5" s="896">
        <v>4222.72</v>
      </c>
      <c r="I5" s="96">
        <f>H5*D5</f>
        <v>1233.4396211200001</v>
      </c>
      <c r="J5" s="39">
        <f>((F5/H5)*100)-100</f>
        <v>-15.338454834798426</v>
      </c>
      <c r="K5" s="100">
        <f>$K$4*E5%</f>
        <v>0.29209600000000002</v>
      </c>
      <c r="L5" s="38">
        <f>$L$4*E5%</f>
        <v>400</v>
      </c>
      <c r="M5" s="1549">
        <f>L5*F5</f>
        <v>1430008</v>
      </c>
    </row>
    <row r="6" spans="2:13" x14ac:dyDescent="0.25">
      <c r="B6" s="6">
        <v>1122001</v>
      </c>
      <c r="C6" s="30" t="s">
        <v>1030</v>
      </c>
      <c r="D6" s="7">
        <v>0.150867584</v>
      </c>
      <c r="E6" s="32">
        <v>10.33</v>
      </c>
      <c r="F6" s="896">
        <f>VLOOKUP(B6,[2]Hoja1!$C$2:$E$279,3,FALSE)</f>
        <v>11506.13</v>
      </c>
      <c r="G6" s="8">
        <f t="shared" ref="G6:G28" si="0">F6*D6</f>
        <v>1735.9020342899198</v>
      </c>
      <c r="H6" s="896">
        <v>14266.27</v>
      </c>
      <c r="I6" s="96">
        <f t="shared" ref="I6:I26" si="1">H6*D6</f>
        <v>2152.3176875916802</v>
      </c>
      <c r="J6" s="39">
        <f t="shared" ref="J6:J26" si="2">((F6/H6)*100)-100</f>
        <v>-19.347313628579869</v>
      </c>
      <c r="K6" s="100">
        <f t="shared" ref="K6:K28" si="3">$K$4*E6%</f>
        <v>0.150867584</v>
      </c>
      <c r="L6" s="38">
        <f t="shared" ref="L6:L26" si="4">$L$4*E6%</f>
        <v>206.6</v>
      </c>
      <c r="M6" s="1549">
        <f t="shared" ref="M6:M26" si="5">L6*F6</f>
        <v>2377166.4579999996</v>
      </c>
    </row>
    <row r="7" spans="2:13" x14ac:dyDescent="0.25">
      <c r="B7" s="6">
        <v>1122006</v>
      </c>
      <c r="C7" s="6" t="s">
        <v>972</v>
      </c>
      <c r="D7" s="7">
        <v>7.3024000000000006E-2</v>
      </c>
      <c r="E7" s="32">
        <v>5</v>
      </c>
      <c r="F7" s="896">
        <f>VLOOKUP(B7,[2]Hoja1!$C$2:$E$279,3,FALSE)</f>
        <v>12955.53</v>
      </c>
      <c r="G7" s="8">
        <f t="shared" si="0"/>
        <v>946.0646227200001</v>
      </c>
      <c r="H7" s="879">
        <v>12278.37</v>
      </c>
      <c r="I7" s="96">
        <f t="shared" si="1"/>
        <v>896.6156908800001</v>
      </c>
      <c r="J7" s="39">
        <f t="shared" si="2"/>
        <v>5.5150642959936818</v>
      </c>
      <c r="K7" s="100">
        <f t="shared" si="3"/>
        <v>7.3024000000000006E-2</v>
      </c>
      <c r="L7" s="38">
        <f t="shared" si="4"/>
        <v>100</v>
      </c>
      <c r="M7" s="1549">
        <f t="shared" si="5"/>
        <v>1295553</v>
      </c>
    </row>
    <row r="8" spans="2:13" x14ac:dyDescent="0.25">
      <c r="B8" s="6">
        <v>1122007</v>
      </c>
      <c r="C8" s="6" t="s">
        <v>1067</v>
      </c>
      <c r="D8" s="7">
        <v>0.22389158399999998</v>
      </c>
      <c r="E8" s="32">
        <v>15.33</v>
      </c>
      <c r="F8" s="896">
        <f>VLOOKUP(B8,[2]Hoja1!$C$2:$E$279,3,FALSE)</f>
        <v>11229.33</v>
      </c>
      <c r="G8" s="8">
        <f t="shared" si="0"/>
        <v>2514.1524809587199</v>
      </c>
      <c r="H8" s="388">
        <v>2803.03</v>
      </c>
      <c r="I8" s="96">
        <f t="shared" si="1"/>
        <v>627.57482669952003</v>
      </c>
      <c r="J8" s="39">
        <f>((F8/H8)*100)-100</f>
        <v>300.61397844475442</v>
      </c>
      <c r="K8" s="100">
        <f>$K$4*E8%</f>
        <v>0.22389158399999998</v>
      </c>
      <c r="L8" s="38">
        <f t="shared" si="4"/>
        <v>306.59999999999997</v>
      </c>
      <c r="M8" s="1549">
        <f t="shared" si="5"/>
        <v>3442912.5779999997</v>
      </c>
    </row>
    <row r="9" spans="2:13" x14ac:dyDescent="0.25">
      <c r="B9" s="6">
        <v>1111002</v>
      </c>
      <c r="C9" s="6" t="s">
        <v>1170</v>
      </c>
      <c r="D9" s="7">
        <v>0.10223360000000001</v>
      </c>
      <c r="E9" s="32">
        <v>7</v>
      </c>
      <c r="F9" s="896">
        <f>VLOOKUP(B9,[2]Hoja1!$C$2:$E$279,3,FALSE)</f>
        <v>2800</v>
      </c>
      <c r="G9" s="8">
        <f t="shared" si="0"/>
        <v>286.25408000000004</v>
      </c>
      <c r="H9" s="106">
        <v>0</v>
      </c>
      <c r="I9" s="96">
        <f t="shared" si="1"/>
        <v>0</v>
      </c>
      <c r="J9" s="39" t="e">
        <f t="shared" si="2"/>
        <v>#DIV/0!</v>
      </c>
      <c r="K9" s="100">
        <f t="shared" si="3"/>
        <v>0.10223360000000001</v>
      </c>
      <c r="L9" s="38">
        <v>0</v>
      </c>
      <c r="M9" s="1549">
        <f t="shared" si="5"/>
        <v>0</v>
      </c>
    </row>
    <row r="10" spans="2:13" x14ac:dyDescent="0.25">
      <c r="B10" s="6">
        <v>2906001</v>
      </c>
      <c r="C10" s="6" t="s">
        <v>831</v>
      </c>
      <c r="D10" s="7">
        <v>7.3024000000000006E-2</v>
      </c>
      <c r="E10" s="32">
        <v>5</v>
      </c>
      <c r="F10" s="896">
        <f>VLOOKUP(B10,[2]Hoja1!$C$2:$E$279,3,FALSE)</f>
        <v>1956.71</v>
      </c>
      <c r="G10" s="8">
        <f t="shared" si="0"/>
        <v>142.88679104000002</v>
      </c>
      <c r="H10" s="914">
        <v>8910.1</v>
      </c>
      <c r="I10" s="96">
        <f t="shared" si="1"/>
        <v>650.65114240000003</v>
      </c>
      <c r="J10" s="39">
        <f t="shared" si="2"/>
        <v>-78.039415943704341</v>
      </c>
      <c r="K10" s="100">
        <f t="shared" si="3"/>
        <v>7.3024000000000006E-2</v>
      </c>
      <c r="L10" s="38">
        <f t="shared" si="4"/>
        <v>100</v>
      </c>
      <c r="M10" s="1549">
        <f t="shared" si="5"/>
        <v>195671</v>
      </c>
    </row>
    <row r="11" spans="2:13" x14ac:dyDescent="0.25">
      <c r="B11" s="6">
        <v>1131002</v>
      </c>
      <c r="C11" s="6" t="s">
        <v>663</v>
      </c>
      <c r="D11" s="7">
        <v>0.38556672000000003</v>
      </c>
      <c r="E11" s="32">
        <v>26.4</v>
      </c>
      <c r="F11" s="896">
        <f>VLOOKUP(B11,[2]Hoja1!$C$2:$E$279,3,FALSE)</f>
        <v>0</v>
      </c>
      <c r="G11" s="8">
        <f t="shared" si="0"/>
        <v>0</v>
      </c>
      <c r="H11" s="914">
        <v>3508.01</v>
      </c>
      <c r="I11" s="96">
        <f t="shared" si="1"/>
        <v>1352.5719094272001</v>
      </c>
      <c r="J11" s="39">
        <f t="shared" si="2"/>
        <v>-100</v>
      </c>
      <c r="K11" s="100">
        <f t="shared" si="3"/>
        <v>0.38556672000000003</v>
      </c>
      <c r="L11" s="38">
        <f t="shared" si="4"/>
        <v>528</v>
      </c>
      <c r="M11" s="1549">
        <f t="shared" si="5"/>
        <v>0</v>
      </c>
    </row>
    <row r="12" spans="2:13" x14ac:dyDescent="0.25">
      <c r="B12" s="6">
        <v>1210006</v>
      </c>
      <c r="C12" s="6" t="s">
        <v>1130</v>
      </c>
      <c r="D12" s="7">
        <v>2.8041215999999997E-2</v>
      </c>
      <c r="E12" s="32">
        <v>1.92</v>
      </c>
      <c r="F12" s="896">
        <f>VLOOKUP(B12,[2]Hoja1!$C$2:$E$279,3,FALSE)</f>
        <v>8904.4500000000007</v>
      </c>
      <c r="G12" s="8">
        <f t="shared" si="0"/>
        <v>249.69160581119999</v>
      </c>
      <c r="H12" s="880">
        <v>12858.08</v>
      </c>
      <c r="I12" s="96">
        <f t="shared" si="1"/>
        <v>360.55619862527999</v>
      </c>
      <c r="J12" s="39">
        <f t="shared" si="2"/>
        <v>-30.748214352376095</v>
      </c>
      <c r="K12" s="100">
        <f t="shared" si="3"/>
        <v>2.8041215999999997E-2</v>
      </c>
      <c r="L12" s="38">
        <f t="shared" si="4"/>
        <v>38.4</v>
      </c>
      <c r="M12" s="1549">
        <f t="shared" si="5"/>
        <v>341930.88</v>
      </c>
    </row>
    <row r="13" spans="2:13" x14ac:dyDescent="0.25">
      <c r="B13" s="6">
        <v>1210004</v>
      </c>
      <c r="C13" s="6" t="s">
        <v>1131</v>
      </c>
      <c r="D13" s="7">
        <v>1.3144319999999999E-3</v>
      </c>
      <c r="E13" s="32">
        <v>0.09</v>
      </c>
      <c r="F13" s="896">
        <f>VLOOKUP(B13,[2]Hoja1!$C$2:$E$279,3,FALSE)</f>
        <v>3841</v>
      </c>
      <c r="G13" s="8">
        <f t="shared" si="0"/>
        <v>5.0487333119999995</v>
      </c>
      <c r="H13" s="914">
        <v>20299</v>
      </c>
      <c r="I13" s="96">
        <f t="shared" si="1"/>
        <v>26.681655167999999</v>
      </c>
      <c r="J13" s="39">
        <f t="shared" si="2"/>
        <v>-81.077885610128575</v>
      </c>
      <c r="K13" s="100">
        <f t="shared" si="3"/>
        <v>1.3144319999999999E-3</v>
      </c>
      <c r="L13" s="38">
        <f t="shared" si="4"/>
        <v>1.8</v>
      </c>
      <c r="M13" s="1549">
        <f t="shared" si="5"/>
        <v>6913.8</v>
      </c>
    </row>
    <row r="14" spans="2:13" x14ac:dyDescent="0.25">
      <c r="B14" s="6">
        <v>1210002</v>
      </c>
      <c r="C14" s="6" t="s">
        <v>1033</v>
      </c>
      <c r="D14" s="7">
        <v>4.2353919999999993E-3</v>
      </c>
      <c r="E14" s="32">
        <v>0.28999999999999998</v>
      </c>
      <c r="F14" s="896">
        <f>VLOOKUP(B14,[2]Hoja1!$C$2:$E$279,3,FALSE)</f>
        <v>12886</v>
      </c>
      <c r="G14" s="8">
        <f t="shared" si="0"/>
        <v>54.57726131199999</v>
      </c>
      <c r="H14" s="950">
        <v>19794.98</v>
      </c>
      <c r="I14" s="96">
        <f t="shared" si="1"/>
        <v>83.839499932159981</v>
      </c>
      <c r="J14" s="39">
        <f t="shared" si="2"/>
        <v>-34.902687449040101</v>
      </c>
      <c r="K14" s="100">
        <f t="shared" si="3"/>
        <v>4.2353919999999993E-3</v>
      </c>
      <c r="L14" s="38">
        <f t="shared" si="4"/>
        <v>5.8</v>
      </c>
      <c r="M14" s="1549">
        <f t="shared" si="5"/>
        <v>74738.8</v>
      </c>
    </row>
    <row r="15" spans="2:13" x14ac:dyDescent="0.25">
      <c r="B15" s="6">
        <v>1220009</v>
      </c>
      <c r="C15" s="6" t="s">
        <v>1133</v>
      </c>
      <c r="D15" s="7">
        <v>8.7628799999999992E-4</v>
      </c>
      <c r="E15" s="32">
        <v>0.06</v>
      </c>
      <c r="F15" s="896">
        <f>VLOOKUP(B15,[2]Hoja1!$C$2:$E$279,3,FALSE)</f>
        <v>21312.16</v>
      </c>
      <c r="G15" s="8">
        <f t="shared" si="0"/>
        <v>18.675590062079998</v>
      </c>
      <c r="H15" s="950">
        <v>16100</v>
      </c>
      <c r="I15" s="96"/>
      <c r="J15" s="39"/>
      <c r="K15" s="100">
        <f t="shared" si="3"/>
        <v>8.7628799999999992E-4</v>
      </c>
      <c r="L15" s="38">
        <f t="shared" si="4"/>
        <v>1.2</v>
      </c>
      <c r="M15" s="1549">
        <f t="shared" si="5"/>
        <v>25574.592000000001</v>
      </c>
    </row>
    <row r="16" spans="2:13" x14ac:dyDescent="0.25">
      <c r="B16" s="6">
        <v>1230013</v>
      </c>
      <c r="C16" s="6" t="s">
        <v>754</v>
      </c>
      <c r="D16" s="7">
        <v>2.9209600000000002E-3</v>
      </c>
      <c r="E16" s="32">
        <v>0.2</v>
      </c>
      <c r="F16" s="896">
        <f>VLOOKUP(B16,[2]Hoja1!$C$2:$E$279,3,FALSE)</f>
        <v>20777.07</v>
      </c>
      <c r="G16" s="8">
        <f t="shared" si="0"/>
        <v>60.6889903872</v>
      </c>
      <c r="H16" s="950">
        <v>17430</v>
      </c>
      <c r="I16" s="96">
        <f t="shared" si="1"/>
        <v>50.912332800000001</v>
      </c>
      <c r="J16" s="39">
        <f t="shared" si="2"/>
        <v>19.202925989672963</v>
      </c>
      <c r="K16" s="100">
        <f t="shared" si="3"/>
        <v>2.9209600000000002E-3</v>
      </c>
      <c r="L16" s="38">
        <f t="shared" si="4"/>
        <v>4</v>
      </c>
      <c r="M16" s="1549">
        <f t="shared" si="5"/>
        <v>83108.28</v>
      </c>
    </row>
    <row r="17" spans="2:13" x14ac:dyDescent="0.25">
      <c r="B17" s="6">
        <v>121007</v>
      </c>
      <c r="C17" s="6" t="s">
        <v>821</v>
      </c>
      <c r="D17" s="7">
        <v>1.6065280000000001E-3</v>
      </c>
      <c r="E17" s="32">
        <v>0.11</v>
      </c>
      <c r="F17" s="896">
        <f>VLOOKUP(B17,[2]Hoja1!$C$2:$E$279,3,FALSE)</f>
        <v>16905</v>
      </c>
      <c r="G17" s="8">
        <f t="shared" si="0"/>
        <v>27.158355840000002</v>
      </c>
      <c r="H17" s="950">
        <v>56748.6</v>
      </c>
      <c r="I17" s="96">
        <f t="shared" si="1"/>
        <v>91.168214860800006</v>
      </c>
      <c r="J17" s="39">
        <f t="shared" si="2"/>
        <v>-70.210718854738261</v>
      </c>
      <c r="K17" s="100">
        <f t="shared" si="3"/>
        <v>1.6065280000000001E-3</v>
      </c>
      <c r="L17" s="38">
        <f t="shared" si="4"/>
        <v>2.2000000000000002</v>
      </c>
      <c r="M17" s="1549">
        <f t="shared" si="5"/>
        <v>37191</v>
      </c>
    </row>
    <row r="18" spans="2:13" x14ac:dyDescent="0.25">
      <c r="B18" s="6">
        <v>1220005</v>
      </c>
      <c r="C18" s="6" t="s">
        <v>1135</v>
      </c>
      <c r="D18" s="7">
        <v>8.7628799999999992E-4</v>
      </c>
      <c r="E18" s="32">
        <v>0.06</v>
      </c>
      <c r="F18" s="896">
        <f>VLOOKUP(B18,[2]Hoja1!$C$2:$E$279,3,FALSE)</f>
        <v>17429.990000000002</v>
      </c>
      <c r="G18" s="8">
        <f t="shared" si="0"/>
        <v>15.273691077120001</v>
      </c>
      <c r="H18" s="950">
        <v>12852.58</v>
      </c>
      <c r="I18" s="96">
        <f t="shared" si="1"/>
        <v>11.262561623039998</v>
      </c>
      <c r="J18" s="39">
        <f t="shared" si="2"/>
        <v>35.614717045138036</v>
      </c>
      <c r="K18" s="100">
        <f t="shared" si="3"/>
        <v>8.7628799999999992E-4</v>
      </c>
      <c r="L18" s="38">
        <f t="shared" si="4"/>
        <v>1.2</v>
      </c>
      <c r="M18" s="1549">
        <f t="shared" si="5"/>
        <v>20915.988000000001</v>
      </c>
    </row>
    <row r="19" spans="2:13" x14ac:dyDescent="0.25">
      <c r="B19" s="6">
        <v>1220007</v>
      </c>
      <c r="C19" s="6" t="s">
        <v>916</v>
      </c>
      <c r="D19" s="7">
        <v>8.7628799999999992E-4</v>
      </c>
      <c r="E19" s="32">
        <v>0.06</v>
      </c>
      <c r="F19" s="896">
        <f>VLOOKUP(B19,[2]Hoja1!$C$2:$E$279,3,FALSE)</f>
        <v>60081.72</v>
      </c>
      <c r="G19" s="8">
        <f t="shared" si="0"/>
        <v>52.648890255359994</v>
      </c>
      <c r="H19" s="25">
        <v>156520.01999999999</v>
      </c>
      <c r="I19" s="96">
        <f t="shared" si="1"/>
        <v>137.15661528575998</v>
      </c>
      <c r="J19" s="39">
        <f t="shared" si="2"/>
        <v>-61.614035060818416</v>
      </c>
      <c r="K19" s="100">
        <f t="shared" si="3"/>
        <v>8.7628799999999992E-4</v>
      </c>
      <c r="L19" s="38">
        <f t="shared" si="4"/>
        <v>1.2</v>
      </c>
      <c r="M19" s="1549">
        <f t="shared" si="5"/>
        <v>72098.063999999998</v>
      </c>
    </row>
    <row r="20" spans="2:13" x14ac:dyDescent="0.25">
      <c r="B20" s="6">
        <v>1210003</v>
      </c>
      <c r="C20" s="6" t="s">
        <v>1143</v>
      </c>
      <c r="D20" s="7">
        <v>7.3024000000000006E-4</v>
      </c>
      <c r="E20" s="32">
        <v>0.05</v>
      </c>
      <c r="F20" s="896">
        <f>VLOOKUP(B20,[2]Hoja1!$C$2:$E$279,3,FALSE)</f>
        <v>16235.45</v>
      </c>
      <c r="G20" s="8">
        <f t="shared" si="0"/>
        <v>11.855775008000002</v>
      </c>
      <c r="H20" s="914">
        <v>71910.02</v>
      </c>
      <c r="I20" s="96">
        <f t="shared" si="1"/>
        <v>52.511573004800006</v>
      </c>
      <c r="J20" s="39">
        <f t="shared" si="2"/>
        <v>-77.422548345835537</v>
      </c>
      <c r="K20" s="100">
        <f t="shared" si="3"/>
        <v>7.3024000000000006E-4</v>
      </c>
      <c r="L20" s="38">
        <f t="shared" si="4"/>
        <v>1</v>
      </c>
      <c r="M20" s="1549">
        <f t="shared" si="5"/>
        <v>16235.45</v>
      </c>
    </row>
    <row r="21" spans="2:13" x14ac:dyDescent="0.25">
      <c r="B21" s="6">
        <v>1250004</v>
      </c>
      <c r="C21" s="6" t="s">
        <v>969</v>
      </c>
      <c r="D21" s="7">
        <v>1.4604799999999999E-4</v>
      </c>
      <c r="E21" s="32">
        <v>0.01</v>
      </c>
      <c r="F21" s="896">
        <f>VLOOKUP(B21,[2]Hoja1!$C$2:$E$279,3,FALSE)</f>
        <v>164481.95000000001</v>
      </c>
      <c r="G21" s="8">
        <f t="shared" si="0"/>
        <v>24.0222598336</v>
      </c>
      <c r="H21" s="914">
        <v>3400.01</v>
      </c>
      <c r="I21" s="96">
        <f t="shared" si="1"/>
        <v>0.49656466048000003</v>
      </c>
      <c r="J21" s="39">
        <f t="shared" si="2"/>
        <v>4737.690183264167</v>
      </c>
      <c r="K21" s="100">
        <f t="shared" si="3"/>
        <v>1.4604799999999999E-4</v>
      </c>
      <c r="L21" s="38">
        <f t="shared" si="4"/>
        <v>0.2</v>
      </c>
      <c r="M21" s="1549">
        <f t="shared" si="5"/>
        <v>32896.390000000007</v>
      </c>
    </row>
    <row r="22" spans="2:13" x14ac:dyDescent="0.25">
      <c r="B22" s="6">
        <v>1250009</v>
      </c>
      <c r="C22" s="6" t="s">
        <v>1279</v>
      </c>
      <c r="D22" s="7">
        <v>2.9209599999999999E-4</v>
      </c>
      <c r="E22" s="32">
        <v>0.02</v>
      </c>
      <c r="F22" s="896">
        <f>VLOOKUP(B22,[2]Hoja1!$C$2:$E$279,3,FALSE)</f>
        <v>83551.55</v>
      </c>
      <c r="G22" s="8">
        <f t="shared" si="0"/>
        <v>24.405073548800001</v>
      </c>
      <c r="H22" s="32">
        <v>9381</v>
      </c>
      <c r="I22" s="96">
        <f t="shared" si="1"/>
        <v>2.7401525759999998</v>
      </c>
      <c r="J22" s="39">
        <f t="shared" si="2"/>
        <v>790.64651956081434</v>
      </c>
      <c r="K22" s="100">
        <f t="shared" si="3"/>
        <v>2.9209599999999999E-4</v>
      </c>
      <c r="L22" s="38">
        <f t="shared" si="4"/>
        <v>0.4</v>
      </c>
      <c r="M22" s="1549">
        <f t="shared" si="5"/>
        <v>33420.620000000003</v>
      </c>
    </row>
    <row r="23" spans="2:13" x14ac:dyDescent="0.25">
      <c r="B23" s="6">
        <v>1260015</v>
      </c>
      <c r="C23" s="6" t="s">
        <v>785</v>
      </c>
      <c r="D23" s="7">
        <v>6.1340160000000005E-2</v>
      </c>
      <c r="E23" s="32">
        <v>4.2</v>
      </c>
      <c r="F23" s="896">
        <f>VLOOKUP(B23,[2]Hoja1!$C$2:$E$279,3,FALSE)</f>
        <v>3450.01</v>
      </c>
      <c r="G23" s="8">
        <f t="shared" si="0"/>
        <v>211.62416540160004</v>
      </c>
      <c r="H23" s="914">
        <v>11340</v>
      </c>
      <c r="I23" s="96">
        <f t="shared" si="1"/>
        <v>695.59741440000005</v>
      </c>
      <c r="J23" s="39">
        <f t="shared" si="2"/>
        <v>-69.576631393298058</v>
      </c>
      <c r="K23" s="100">
        <f t="shared" si="3"/>
        <v>6.1340160000000005E-2</v>
      </c>
      <c r="L23" s="38">
        <f t="shared" si="4"/>
        <v>84</v>
      </c>
      <c r="M23" s="1549">
        <f t="shared" si="5"/>
        <v>289800.84000000003</v>
      </c>
    </row>
    <row r="24" spans="2:13" x14ac:dyDescent="0.25">
      <c r="B24" s="6">
        <v>1220010</v>
      </c>
      <c r="C24" s="6" t="s">
        <v>1144</v>
      </c>
      <c r="D24" s="7">
        <v>1.1683840000000001E-2</v>
      </c>
      <c r="E24" s="32">
        <v>0.8</v>
      </c>
      <c r="F24" s="896">
        <f>VLOOKUP(B24,[2]Hoja1!$C$2:$E$279,3,FALSE)</f>
        <v>4744.72</v>
      </c>
      <c r="G24" s="8">
        <f t="shared" si="0"/>
        <v>55.436549324800005</v>
      </c>
      <c r="H24" s="880">
        <v>324156.28000000003</v>
      </c>
      <c r="I24" s="96">
        <f t="shared" si="1"/>
        <v>3787.3901105152008</v>
      </c>
      <c r="J24" s="39">
        <f t="shared" si="2"/>
        <v>-98.536286262909982</v>
      </c>
      <c r="K24" s="100">
        <f t="shared" si="3"/>
        <v>1.1683840000000001E-2</v>
      </c>
      <c r="L24" s="38">
        <f t="shared" si="4"/>
        <v>16</v>
      </c>
      <c r="M24" s="1549">
        <f t="shared" si="5"/>
        <v>75915.520000000004</v>
      </c>
    </row>
    <row r="25" spans="2:13" x14ac:dyDescent="0.25">
      <c r="B25" s="6">
        <v>1240007</v>
      </c>
      <c r="C25" s="6" t="s">
        <v>1352</v>
      </c>
      <c r="D25" s="7">
        <v>4.3814400000000003E-3</v>
      </c>
      <c r="E25" s="32">
        <v>0.5</v>
      </c>
      <c r="F25" s="896">
        <f>VLOOKUP(B25,[2]Hoja1!$C$2:$E$279,3,FALSE)</f>
        <v>25921.42</v>
      </c>
      <c r="G25" s="8">
        <f t="shared" si="0"/>
        <v>113.5731464448</v>
      </c>
      <c r="H25" s="896">
        <v>18900</v>
      </c>
      <c r="I25" s="96">
        <f t="shared" si="1"/>
        <v>82.809216000000006</v>
      </c>
      <c r="J25" s="39">
        <f t="shared" si="2"/>
        <v>37.150370370370354</v>
      </c>
      <c r="K25" s="100">
        <f t="shared" si="3"/>
        <v>7.3024000000000006E-3</v>
      </c>
      <c r="L25" s="38">
        <f t="shared" si="4"/>
        <v>10</v>
      </c>
      <c r="M25" s="1549">
        <f t="shared" si="5"/>
        <v>259214.19999999998</v>
      </c>
    </row>
    <row r="26" spans="2:13" x14ac:dyDescent="0.25">
      <c r="B26" s="6">
        <v>1260024</v>
      </c>
      <c r="C26" s="6" t="s">
        <v>1290</v>
      </c>
      <c r="D26" s="7">
        <v>2.5558400000000002E-2</v>
      </c>
      <c r="E26" s="922">
        <v>1.75</v>
      </c>
      <c r="F26" s="896">
        <f>VLOOKUP(B26,[2]Hoja1!$C$2:$E$279,3,FALSE)</f>
        <v>12625.84</v>
      </c>
      <c r="G26" s="8">
        <f t="shared" si="0"/>
        <v>322.69626905600001</v>
      </c>
      <c r="H26" s="95">
        <v>53849.37</v>
      </c>
      <c r="I26" s="96">
        <f t="shared" si="1"/>
        <v>1376.3037382080001</v>
      </c>
      <c r="J26" s="39">
        <f t="shared" si="2"/>
        <v>-76.553411859785911</v>
      </c>
      <c r="K26" s="100">
        <f t="shared" si="3"/>
        <v>2.5558400000000002E-2</v>
      </c>
      <c r="L26" s="38">
        <f t="shared" si="4"/>
        <v>35</v>
      </c>
      <c r="M26" s="1549">
        <f t="shared" si="5"/>
        <v>441904.4</v>
      </c>
    </row>
    <row r="27" spans="2:13" x14ac:dyDescent="0.25">
      <c r="B27" s="6">
        <v>1260005</v>
      </c>
      <c r="C27" s="6" t="s">
        <v>811</v>
      </c>
      <c r="D27" s="7">
        <v>1.4604800000000001E-2</v>
      </c>
      <c r="E27" s="922">
        <v>1</v>
      </c>
      <c r="F27" s="896">
        <f>VLOOKUP(B27,[2]Hoja1!$C$2:$E$279,3,FALSE)</f>
        <v>26429</v>
      </c>
      <c r="G27" s="8">
        <f t="shared" si="0"/>
        <v>385.99025920000003</v>
      </c>
      <c r="H27" s="95"/>
      <c r="I27" s="96"/>
      <c r="J27" s="39"/>
      <c r="K27" s="100">
        <f t="shared" si="3"/>
        <v>1.4604800000000001E-2</v>
      </c>
      <c r="L27" s="38"/>
      <c r="M27" s="1549"/>
    </row>
    <row r="28" spans="2:13" x14ac:dyDescent="0.25">
      <c r="B28" s="6">
        <v>1270004</v>
      </c>
      <c r="C28" s="6" t="s">
        <v>1032</v>
      </c>
      <c r="D28" s="7">
        <v>5.8419199999999998E-4</v>
      </c>
      <c r="E28" s="922">
        <v>0.04</v>
      </c>
      <c r="F28" s="896">
        <f>VLOOKUP(B28,[2]Hoja1!$C$2:$E$279,3,FALSE)</f>
        <v>50662</v>
      </c>
      <c r="G28" s="8">
        <f t="shared" si="0"/>
        <v>29.596335103999998</v>
      </c>
      <c r="H28" s="95"/>
      <c r="I28" s="96"/>
      <c r="J28" s="39"/>
      <c r="K28" s="100">
        <f t="shared" si="3"/>
        <v>5.8419199999999998E-4</v>
      </c>
      <c r="L28" s="38"/>
      <c r="M28" s="1549"/>
    </row>
    <row r="29" spans="2:13" s="38" customFormat="1" x14ac:dyDescent="0.25">
      <c r="B29" s="1763" t="s">
        <v>37</v>
      </c>
      <c r="C29" s="1763"/>
      <c r="D29" s="1273">
        <f>SUM(D5:D26)</f>
        <v>1.4455831039999998</v>
      </c>
      <c r="E29" s="1511">
        <f>SUM(E5:E28)</f>
        <v>100.22000000000003</v>
      </c>
      <c r="F29" s="1274"/>
      <c r="G29" s="1316">
        <f>SUM(G5:G28)</f>
        <v>8332.472001907201</v>
      </c>
      <c r="H29" s="1316"/>
      <c r="I29" s="1316">
        <f>SUM(I5:I26)</f>
        <v>13672.596725777918</v>
      </c>
      <c r="J29" s="1317">
        <f>((G29/I29)*100)-100</f>
        <v>-39.057136189810969</v>
      </c>
      <c r="K29" s="1250"/>
      <c r="M29" s="38">
        <f>SUM(M5:M26)</f>
        <v>10553169.859999998</v>
      </c>
    </row>
    <row r="31" spans="2:13" ht="25.5" x14ac:dyDescent="0.35">
      <c r="B31" s="1760" t="s">
        <v>50</v>
      </c>
      <c r="C31" s="1754"/>
      <c r="D31" s="38">
        <f>+C34+(C34*C40%)</f>
        <v>1460.48</v>
      </c>
      <c r="E31" s="97"/>
      <c r="F31" s="97"/>
      <c r="G31" s="97"/>
      <c r="H31" s="105"/>
      <c r="I31" s="97"/>
      <c r="J31" s="101"/>
    </row>
    <row r="32" spans="2:13" x14ac:dyDescent="0.25">
      <c r="B32" s="1264" t="s">
        <v>38</v>
      </c>
      <c r="C32" s="93" t="s">
        <v>167</v>
      </c>
    </row>
    <row r="33" spans="2:12" x14ac:dyDescent="0.25">
      <c r="B33" s="1265" t="s">
        <v>39</v>
      </c>
      <c r="C33" s="21" t="s">
        <v>310</v>
      </c>
      <c r="H33" s="100"/>
    </row>
    <row r="34" spans="2:12" x14ac:dyDescent="0.25">
      <c r="B34" s="1265" t="s">
        <v>40</v>
      </c>
      <c r="C34" s="21">
        <v>1280</v>
      </c>
    </row>
    <row r="35" spans="2:12" x14ac:dyDescent="0.25">
      <c r="B35" s="1265" t="s">
        <v>41</v>
      </c>
      <c r="C35" s="21">
        <v>0</v>
      </c>
    </row>
    <row r="36" spans="2:12" x14ac:dyDescent="0.25">
      <c r="B36" s="1265" t="s">
        <v>42</v>
      </c>
      <c r="C36" s="21">
        <v>9</v>
      </c>
    </row>
    <row r="37" spans="2:12" x14ac:dyDescent="0.25">
      <c r="B37" s="1265" t="s">
        <v>43</v>
      </c>
      <c r="C37" s="21">
        <v>2</v>
      </c>
    </row>
    <row r="38" spans="2:12" x14ac:dyDescent="0.25">
      <c r="B38" s="1265" t="s">
        <v>44</v>
      </c>
      <c r="C38" s="21">
        <v>1</v>
      </c>
      <c r="J38" s="38" t="s">
        <v>85</v>
      </c>
    </row>
    <row r="39" spans="2:12" x14ac:dyDescent="0.25">
      <c r="B39" s="1265" t="s">
        <v>45</v>
      </c>
      <c r="C39" s="21">
        <v>2.1</v>
      </c>
    </row>
    <row r="40" spans="2:12" x14ac:dyDescent="0.25">
      <c r="B40" s="1265" t="s">
        <v>46</v>
      </c>
      <c r="C40" s="21">
        <f>C39+C38+C37+C36</f>
        <v>14.1</v>
      </c>
    </row>
    <row r="41" spans="2:12" x14ac:dyDescent="0.25">
      <c r="E41" s="1">
        <v>0.2</v>
      </c>
      <c r="F41" s="1">
        <v>16</v>
      </c>
      <c r="H41" s="105"/>
      <c r="I41" s="97"/>
      <c r="L41" s="1" t="s">
        <v>85</v>
      </c>
    </row>
    <row r="42" spans="2:12" ht="25.5" x14ac:dyDescent="0.35">
      <c r="B42" s="1773" t="s">
        <v>47</v>
      </c>
      <c r="C42" s="1774"/>
      <c r="D42" s="1774"/>
      <c r="E42" s="1774"/>
      <c r="F42" s="1774"/>
      <c r="G42" s="1774"/>
      <c r="H42" s="1774"/>
      <c r="I42" s="1774"/>
    </row>
    <row r="43" spans="2:12" s="120" customFormat="1" ht="25.5" x14ac:dyDescent="0.25">
      <c r="B43" s="1255" t="s">
        <v>0</v>
      </c>
      <c r="C43" s="1255" t="s">
        <v>1</v>
      </c>
      <c r="D43" s="1275" t="s">
        <v>2</v>
      </c>
      <c r="E43" s="1243" t="str">
        <f>+'CIF Y PV'!$F$4</f>
        <v xml:space="preserve">JUN-COP/UMB </v>
      </c>
      <c r="F43" s="1243" t="str">
        <f>+'CIF Y PV'!$G$4</f>
        <v>JUN-COP/APP</v>
      </c>
      <c r="G43" s="1243" t="str">
        <f>+'CIF Y PV'!$H$4</f>
        <v xml:space="preserve">MAY-COP/UMB </v>
      </c>
      <c r="H43" s="1243" t="str">
        <f>+'CIF Y PV'!$I$4</f>
        <v>MAY-COP/APP</v>
      </c>
      <c r="I43" s="1244" t="s">
        <v>3</v>
      </c>
      <c r="J43" s="146"/>
    </row>
    <row r="44" spans="2:12" x14ac:dyDescent="0.25">
      <c r="B44" s="4">
        <v>1370036</v>
      </c>
      <c r="C44" s="4" t="s">
        <v>1069</v>
      </c>
      <c r="D44" s="103">
        <f>E41*F41</f>
        <v>3.2</v>
      </c>
      <c r="E44" s="24">
        <f>VLOOKUP(B44,[2]Hoja1!$C$2:$E$279,3,FALSE)</f>
        <v>181.62</v>
      </c>
      <c r="F44" s="24">
        <f>E44*D44</f>
        <v>581.18400000000008</v>
      </c>
      <c r="G44" s="24">
        <v>198.19</v>
      </c>
      <c r="H44" s="24">
        <v>254.20749999999998</v>
      </c>
      <c r="I44" s="643">
        <f>((F44/H44)*100)-100</f>
        <v>128.62582732610176</v>
      </c>
    </row>
    <row r="45" spans="2:12" x14ac:dyDescent="0.25">
      <c r="B45" s="4">
        <v>1330022</v>
      </c>
      <c r="C45" s="4" t="s">
        <v>943</v>
      </c>
      <c r="D45" s="103">
        <v>0.1</v>
      </c>
      <c r="E45" s="24">
        <f>VLOOKUP(B45,[2]Hoja1!$C$2:$E$279,3,FALSE)</f>
        <v>40.869999999999997</v>
      </c>
      <c r="F45" s="24">
        <f>E45*D45</f>
        <v>4.0869999999999997</v>
      </c>
      <c r="G45" s="115">
        <v>40.200000000000003</v>
      </c>
      <c r="H45" s="24">
        <v>91.539000000000001</v>
      </c>
      <c r="I45" s="643">
        <f>((F45/H45)*100)-100</f>
        <v>-95.535236347349212</v>
      </c>
    </row>
    <row r="46" spans="2:12" x14ac:dyDescent="0.25">
      <c r="B46" s="4">
        <v>1310018</v>
      </c>
      <c r="C46" s="4" t="s">
        <v>890</v>
      </c>
      <c r="D46" s="103">
        <v>0.15</v>
      </c>
      <c r="E46" s="24">
        <f>VLOOKUP(B46,[2]Hoja1!$C$2:$E$279,3,FALSE)</f>
        <v>478.26</v>
      </c>
      <c r="F46" s="24">
        <f>E46*D46</f>
        <v>71.73899999999999</v>
      </c>
      <c r="G46" s="871">
        <v>503.51</v>
      </c>
      <c r="H46" s="24">
        <v>66.75</v>
      </c>
      <c r="I46" s="643">
        <f>((F46/H46)*100)-100</f>
        <v>7.4741573033707738</v>
      </c>
    </row>
    <row r="47" spans="2:12" ht="15" x14ac:dyDescent="0.25">
      <c r="B47" s="4">
        <v>1320004</v>
      </c>
      <c r="C47" s="1142" t="s">
        <v>1141</v>
      </c>
      <c r="D47" s="103">
        <v>0.15</v>
      </c>
      <c r="E47" s="24">
        <f>VLOOKUP(B47,[2]Hoja1!$C$2:$E$279,3,FALSE)</f>
        <v>1481.51</v>
      </c>
      <c r="F47" s="24">
        <f>E47*D47</f>
        <v>222.22649999999999</v>
      </c>
      <c r="G47" s="24">
        <v>1575.9</v>
      </c>
      <c r="H47" s="24">
        <v>126.441</v>
      </c>
      <c r="I47" s="643">
        <f>((F47/H47)*100)-100</f>
        <v>75.755095261821708</v>
      </c>
    </row>
    <row r="48" spans="2:12" x14ac:dyDescent="0.25">
      <c r="B48" s="1256"/>
      <c r="C48" s="1256" t="s">
        <v>37</v>
      </c>
      <c r="D48" s="1318"/>
      <c r="E48" s="1257"/>
      <c r="F48" s="1257">
        <f>SUM(F44:F47)</f>
        <v>879.23650000000009</v>
      </c>
      <c r="G48" s="1257"/>
      <c r="H48" s="1257">
        <f>SUM(H44:H47)</f>
        <v>538.9375</v>
      </c>
      <c r="I48" s="1268">
        <f>((F48/H48)*100)-100</f>
        <v>63.142572190652913</v>
      </c>
    </row>
    <row r="49" spans="2:11" x14ac:dyDescent="0.25">
      <c r="H49" s="1" t="str">
        <f>+'CIF Y PV'!$G$1</f>
        <v>MAYO</v>
      </c>
      <c r="J49" s="107"/>
    </row>
    <row r="50" spans="2:11" x14ac:dyDescent="0.25">
      <c r="B50" s="1750" t="s">
        <v>816</v>
      </c>
      <c r="C50" s="1750"/>
      <c r="E50" s="881"/>
      <c r="F50" s="881"/>
      <c r="G50" s="881"/>
      <c r="H50" s="1269">
        <f>+F48+G29</f>
        <v>9211.7085019072019</v>
      </c>
      <c r="I50" s="28"/>
      <c r="J50" s="881"/>
      <c r="K50" s="28"/>
    </row>
    <row r="51" spans="2:11" x14ac:dyDescent="0.25">
      <c r="B51" s="1758" t="s">
        <v>48</v>
      </c>
      <c r="C51" s="1759"/>
      <c r="E51" s="881"/>
      <c r="F51" s="881"/>
      <c r="G51" s="881"/>
      <c r="H51" s="1269">
        <f>+('CIF Y PV'!C3/1000)*1280</f>
        <v>2419.1999999999998</v>
      </c>
      <c r="J51" s="881"/>
    </row>
    <row r="52" spans="2:11" x14ac:dyDescent="0.25">
      <c r="B52" s="1758" t="s">
        <v>197</v>
      </c>
      <c r="C52" s="1759"/>
      <c r="E52" s="881"/>
      <c r="F52" s="881"/>
      <c r="G52" s="881"/>
      <c r="H52" s="1269">
        <f>+H51+H50</f>
        <v>11630.908501907201</v>
      </c>
      <c r="I52" s="140"/>
      <c r="J52" s="881"/>
      <c r="K52" s="140"/>
    </row>
    <row r="53" spans="2:11" x14ac:dyDescent="0.25">
      <c r="B53" s="1750" t="s">
        <v>49</v>
      </c>
      <c r="C53" s="1750"/>
      <c r="E53" s="881"/>
      <c r="F53" s="881"/>
      <c r="G53" s="881"/>
      <c r="H53" s="1320">
        <f>'CIF Y PV'!C76</f>
        <v>22911.800000000003</v>
      </c>
      <c r="J53" s="931"/>
      <c r="K53" s="339"/>
    </row>
    <row r="54" spans="2:11" ht="14.45" customHeight="1" x14ac:dyDescent="0.25">
      <c r="B54" s="1750" t="s">
        <v>805</v>
      </c>
      <c r="C54" s="1750"/>
      <c r="E54" s="881"/>
      <c r="F54" s="881"/>
      <c r="G54" s="881"/>
      <c r="H54" s="1229">
        <f>+(H53-H52)/H53</f>
        <v>0.49236164326210952</v>
      </c>
      <c r="I54" s="932"/>
      <c r="J54" s="384"/>
      <c r="K54" s="932"/>
    </row>
    <row r="55" spans="2:11" x14ac:dyDescent="0.25">
      <c r="H55" s="384"/>
      <c r="I55" s="188"/>
      <c r="J55" s="933"/>
      <c r="K55" s="188"/>
    </row>
  </sheetData>
  <mergeCells count="9">
    <mergeCell ref="B52:C52"/>
    <mergeCell ref="B53:C53"/>
    <mergeCell ref="B54:C54"/>
    <mergeCell ref="B2:J2"/>
    <mergeCell ref="B29:C29"/>
    <mergeCell ref="B31:C31"/>
    <mergeCell ref="B42:I42"/>
    <mergeCell ref="B50:C50"/>
    <mergeCell ref="B51:C51"/>
  </mergeCells>
  <pageMargins left="0.7" right="0.7" top="0.75" bottom="0.75" header="0.3" footer="0.3"/>
  <pageSetup scale="41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F217-073F-4007-8BB2-A05F04483943}">
  <sheetPr codeName="Hoja123"/>
  <dimension ref="B2:M55"/>
  <sheetViews>
    <sheetView view="pageBreakPreview" topLeftCell="A44" zoomScaleNormal="100" zoomScaleSheetLayoutView="100" workbookViewId="0">
      <selection activeCell="F28" sqref="F28"/>
    </sheetView>
  </sheetViews>
  <sheetFormatPr baseColWidth="10" defaultColWidth="11.5703125" defaultRowHeight="13.5" x14ac:dyDescent="0.25"/>
  <cols>
    <col min="1" max="1" width="5" style="1" customWidth="1"/>
    <col min="2" max="2" width="11.5703125" style="1"/>
    <col min="3" max="3" width="52.85546875" style="1" customWidth="1"/>
    <col min="4" max="4" width="11.5703125" style="100"/>
    <col min="5" max="5" width="11.5703125" style="1"/>
    <col min="6" max="6" width="12.5703125" style="1" bestFit="1" customWidth="1"/>
    <col min="7" max="7" width="11.5703125" style="1"/>
    <col min="8" max="8" width="12.5703125" style="107" bestFit="1" customWidth="1"/>
    <col min="9" max="9" width="14.42578125" style="1" bestFit="1" customWidth="1"/>
    <col min="10" max="10" width="12.5703125" style="38" bestFit="1" customWidth="1"/>
    <col min="11" max="12" width="11.5703125" style="1"/>
    <col min="13" max="13" width="15.42578125" style="1" bestFit="1" customWidth="1"/>
    <col min="14" max="16384" width="11.5703125" style="1"/>
  </cols>
  <sheetData>
    <row r="2" spans="2:13" ht="25.5" x14ac:dyDescent="0.35">
      <c r="B2" s="1751" t="s">
        <v>1198</v>
      </c>
      <c r="C2" s="1751"/>
      <c r="D2" s="1751"/>
      <c r="E2" s="1751"/>
      <c r="F2" s="1751"/>
      <c r="G2" s="1751"/>
      <c r="H2" s="1751"/>
      <c r="I2" s="1751"/>
      <c r="J2" s="1751"/>
    </row>
    <row r="4" spans="2:13" s="120" customFormat="1" ht="25.5" x14ac:dyDescent="0.25">
      <c r="B4" s="1271" t="s">
        <v>0</v>
      </c>
      <c r="C4" s="1271" t="s">
        <v>1</v>
      </c>
      <c r="D4" s="1314" t="s">
        <v>2</v>
      </c>
      <c r="E4" s="1271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272">
        <f>+D31/1000</f>
        <v>1.2550999999999999</v>
      </c>
      <c r="L4" s="120">
        <v>2000</v>
      </c>
    </row>
    <row r="5" spans="2:13" x14ac:dyDescent="0.25">
      <c r="B5" s="6">
        <v>1112002</v>
      </c>
      <c r="C5" s="6" t="s">
        <v>796</v>
      </c>
      <c r="D5" s="7">
        <v>0.25101999999999997</v>
      </c>
      <c r="E5" s="32">
        <v>20</v>
      </c>
      <c r="F5" s="896">
        <f>VLOOKUP(B5,[2]Hoja1!$C$2:$E$279,3,FALSE)</f>
        <v>3575.02</v>
      </c>
      <c r="G5" s="8">
        <f>F5*D5</f>
        <v>897.40152039999987</v>
      </c>
      <c r="H5" s="896">
        <v>4222.72</v>
      </c>
      <c r="I5" s="96">
        <v>1451.2344769999997</v>
      </c>
      <c r="J5" s="39">
        <f>((F5/H5)*100)-100</f>
        <v>-15.338454834798426</v>
      </c>
      <c r="K5" s="100">
        <f>$K$4*E5%</f>
        <v>0.25101999999999997</v>
      </c>
      <c r="L5" s="153">
        <f>$L$4*E5%</f>
        <v>400</v>
      </c>
      <c r="M5" s="1319">
        <f>L5*F5</f>
        <v>1430008</v>
      </c>
    </row>
    <row r="6" spans="2:13" x14ac:dyDescent="0.25">
      <c r="B6" s="6">
        <v>1122001</v>
      </c>
      <c r="C6" s="30" t="s">
        <v>1030</v>
      </c>
      <c r="D6" s="7">
        <v>0.12965183</v>
      </c>
      <c r="E6" s="32">
        <v>10.33</v>
      </c>
      <c r="F6" s="896">
        <f>VLOOKUP(B6,[2]Hoja1!$C$2:$E$279,3,FALSE)</f>
        <v>11506.13</v>
      </c>
      <c r="G6" s="8">
        <f t="shared" ref="G6:G28" si="0">F6*D6</f>
        <v>1491.7908107178998</v>
      </c>
      <c r="H6" s="896">
        <v>14266.27</v>
      </c>
      <c r="I6" s="96">
        <v>2848.4619018470999</v>
      </c>
      <c r="J6" s="39">
        <f t="shared" ref="J6:J26" si="1">((F6/H6)*100)-100</f>
        <v>-19.347313628579869</v>
      </c>
      <c r="K6" s="100">
        <f t="shared" ref="K6:K28" si="2">$K$4*E6%</f>
        <v>0.12965183</v>
      </c>
      <c r="L6" s="153">
        <f t="shared" ref="L6:L26" si="3">$L$4*E6%</f>
        <v>206.6</v>
      </c>
      <c r="M6" s="1319">
        <f t="shared" ref="M6:M26" si="4">L6*F6</f>
        <v>2377166.4579999996</v>
      </c>
    </row>
    <row r="7" spans="2:13" x14ac:dyDescent="0.25">
      <c r="B7" s="6">
        <v>1122006</v>
      </c>
      <c r="C7" s="6" t="s">
        <v>972</v>
      </c>
      <c r="D7" s="7">
        <v>6.2754999999999991E-2</v>
      </c>
      <c r="E7" s="32">
        <v>5</v>
      </c>
      <c r="F7" s="896">
        <f>VLOOKUP(B7,[2]Hoja1!$C$2:$E$279,3,FALSE)</f>
        <v>12955.53</v>
      </c>
      <c r="G7" s="8">
        <f t="shared" si="0"/>
        <v>813.02428514999997</v>
      </c>
      <c r="H7" s="879">
        <v>12278.37</v>
      </c>
      <c r="I7" s="96">
        <v>2483.8875162947998</v>
      </c>
      <c r="J7" s="39">
        <f t="shared" si="1"/>
        <v>5.5150642959936818</v>
      </c>
      <c r="K7" s="100">
        <f t="shared" si="2"/>
        <v>6.2754999999999991E-2</v>
      </c>
      <c r="L7" s="153">
        <f t="shared" si="3"/>
        <v>100</v>
      </c>
      <c r="M7" s="1319">
        <f t="shared" si="4"/>
        <v>1295553</v>
      </c>
    </row>
    <row r="8" spans="2:13" x14ac:dyDescent="0.25">
      <c r="B8" s="6">
        <v>1122007</v>
      </c>
      <c r="C8" s="6" t="s">
        <v>1067</v>
      </c>
      <c r="D8" s="7">
        <v>0.19240682999999997</v>
      </c>
      <c r="E8" s="32">
        <v>15.33</v>
      </c>
      <c r="F8" s="896">
        <f>VLOOKUP(B8,[2]Hoja1!$C$2:$E$279,3,FALSE)</f>
        <v>11229.33</v>
      </c>
      <c r="G8" s="8">
        <f t="shared" si="0"/>
        <v>2160.5997883238997</v>
      </c>
      <c r="H8" s="388">
        <v>2803.03</v>
      </c>
      <c r="I8" s="96">
        <v>246.00487142</v>
      </c>
      <c r="J8" s="39">
        <f>((F8/H8)*100)-100</f>
        <v>300.61397844475442</v>
      </c>
      <c r="K8" s="100">
        <f>$K$4*E8%</f>
        <v>0.19240682999999997</v>
      </c>
      <c r="L8" s="153">
        <f t="shared" si="3"/>
        <v>306.59999999999997</v>
      </c>
      <c r="M8" s="1319">
        <f t="shared" si="4"/>
        <v>3442912.5779999997</v>
      </c>
    </row>
    <row r="9" spans="2:13" x14ac:dyDescent="0.25">
      <c r="B9" s="6">
        <v>1111002</v>
      </c>
      <c r="C9" s="6" t="s">
        <v>1170</v>
      </c>
      <c r="D9" s="7">
        <v>8.7857000000000005E-2</v>
      </c>
      <c r="E9" s="32">
        <v>7</v>
      </c>
      <c r="F9" s="896">
        <f>VLOOKUP(B9,[2]Hoja1!$C$2:$E$279,3,FALSE)</f>
        <v>2800</v>
      </c>
      <c r="G9" s="8">
        <f t="shared" si="0"/>
        <v>245.99960000000002</v>
      </c>
      <c r="H9" s="106">
        <v>0</v>
      </c>
      <c r="I9" s="96">
        <v>0</v>
      </c>
      <c r="J9" s="39" t="e">
        <f t="shared" si="1"/>
        <v>#DIV/0!</v>
      </c>
      <c r="K9" s="100">
        <f t="shared" si="2"/>
        <v>8.7857000000000005E-2</v>
      </c>
      <c r="L9" s="153">
        <f t="shared" si="3"/>
        <v>140</v>
      </c>
      <c r="M9" s="1319">
        <f t="shared" si="4"/>
        <v>392000</v>
      </c>
    </row>
    <row r="10" spans="2:13" x14ac:dyDescent="0.25">
      <c r="B10" s="6">
        <v>2906001</v>
      </c>
      <c r="C10" s="6" t="s">
        <v>831</v>
      </c>
      <c r="D10" s="7">
        <v>6.2754999999999991E-2</v>
      </c>
      <c r="E10" s="32">
        <v>5</v>
      </c>
      <c r="F10" s="896">
        <f>VLOOKUP(B10,[2]Hoja1!$C$2:$E$279,3,FALSE)</f>
        <v>1956.71</v>
      </c>
      <c r="G10" s="8">
        <f t="shared" si="0"/>
        <v>122.79333604999998</v>
      </c>
      <c r="H10" s="914">
        <v>8910.1</v>
      </c>
      <c r="I10" s="96">
        <v>193.95789262079995</v>
      </c>
      <c r="J10" s="39">
        <f t="shared" si="1"/>
        <v>-78.039415943704341</v>
      </c>
      <c r="K10" s="100">
        <f t="shared" si="2"/>
        <v>6.2754999999999991E-2</v>
      </c>
      <c r="L10" s="153">
        <f t="shared" si="3"/>
        <v>100</v>
      </c>
      <c r="M10" s="1319">
        <f t="shared" si="4"/>
        <v>195671</v>
      </c>
    </row>
    <row r="11" spans="2:13" x14ac:dyDescent="0.25">
      <c r="B11" s="6">
        <v>1131002</v>
      </c>
      <c r="C11" s="6" t="s">
        <v>663</v>
      </c>
      <c r="D11" s="7">
        <v>0.33134639999999999</v>
      </c>
      <c r="E11" s="32">
        <v>26.4</v>
      </c>
      <c r="F11" s="896">
        <f>VLOOKUP(B11,[2]Hoja1!$C$2:$E$279,3,FALSE)</f>
        <v>0</v>
      </c>
      <c r="G11" s="8">
        <f t="shared" si="0"/>
        <v>0</v>
      </c>
      <c r="H11" s="914">
        <v>3508.01</v>
      </c>
      <c r="I11" s="96">
        <v>3.962601719999999</v>
      </c>
      <c r="J11" s="39">
        <f t="shared" si="1"/>
        <v>-100</v>
      </c>
      <c r="K11" s="100">
        <f t="shared" si="2"/>
        <v>0.33134639999999999</v>
      </c>
      <c r="L11" s="153">
        <f t="shared" si="3"/>
        <v>528</v>
      </c>
      <c r="M11" s="1319">
        <f t="shared" si="4"/>
        <v>0</v>
      </c>
    </row>
    <row r="12" spans="2:13" x14ac:dyDescent="0.25">
      <c r="B12" s="6">
        <v>1210006</v>
      </c>
      <c r="C12" s="6" t="s">
        <v>1130</v>
      </c>
      <c r="D12" s="7">
        <v>2.4097919999999995E-2</v>
      </c>
      <c r="E12" s="32">
        <v>1.92</v>
      </c>
      <c r="F12" s="896">
        <f>VLOOKUP(B12,[2]Hoja1!$C$2:$E$279,3,FALSE)</f>
        <v>8904.4500000000007</v>
      </c>
      <c r="G12" s="8">
        <f t="shared" si="0"/>
        <v>214.57872374399997</v>
      </c>
      <c r="H12" s="880">
        <v>12858.08</v>
      </c>
      <c r="I12" s="96">
        <v>48.160572945099993</v>
      </c>
      <c r="J12" s="39">
        <f t="shared" si="1"/>
        <v>-30.748214352376095</v>
      </c>
      <c r="K12" s="100">
        <f t="shared" si="2"/>
        <v>2.4097919999999995E-2</v>
      </c>
      <c r="L12" s="153">
        <f t="shared" si="3"/>
        <v>38.4</v>
      </c>
      <c r="M12" s="1319">
        <f t="shared" si="4"/>
        <v>341930.88</v>
      </c>
    </row>
    <row r="13" spans="2:13" x14ac:dyDescent="0.25">
      <c r="B13" s="6">
        <v>1210004</v>
      </c>
      <c r="C13" s="6" t="s">
        <v>1131</v>
      </c>
      <c r="D13" s="7">
        <v>1.1295899999999998E-3</v>
      </c>
      <c r="E13" s="32">
        <v>0.09</v>
      </c>
      <c r="F13" s="896">
        <f>VLOOKUP(B13,[2]Hoja1!$C$2:$E$279,3,FALSE)</f>
        <v>3841</v>
      </c>
      <c r="G13" s="8">
        <f t="shared" si="0"/>
        <v>4.3387551899999988</v>
      </c>
      <c r="H13" s="914">
        <v>20299</v>
      </c>
      <c r="I13" s="96">
        <v>15.286304695199995</v>
      </c>
      <c r="J13" s="39">
        <f t="shared" si="1"/>
        <v>-81.077885610128575</v>
      </c>
      <c r="K13" s="100">
        <f t="shared" si="2"/>
        <v>1.1295899999999998E-3</v>
      </c>
      <c r="L13" s="153">
        <f t="shared" si="3"/>
        <v>1.8</v>
      </c>
      <c r="M13" s="1319">
        <f t="shared" si="4"/>
        <v>6913.8</v>
      </c>
    </row>
    <row r="14" spans="2:13" x14ac:dyDescent="0.25">
      <c r="B14" s="6">
        <v>1210002</v>
      </c>
      <c r="C14" s="6" t="s">
        <v>1033</v>
      </c>
      <c r="D14" s="7">
        <v>3.6397899999999995E-3</v>
      </c>
      <c r="E14" s="32">
        <v>0.28999999999999998</v>
      </c>
      <c r="F14" s="896">
        <f>VLOOKUP(B14,[2]Hoja1!$C$2:$E$279,3,FALSE)</f>
        <v>12886</v>
      </c>
      <c r="G14" s="8">
        <f t="shared" si="0"/>
        <v>46.902333939999991</v>
      </c>
      <c r="H14" s="950">
        <v>19794.98</v>
      </c>
      <c r="I14" s="96">
        <v>49.685719005999992</v>
      </c>
      <c r="J14" s="39">
        <f t="shared" si="1"/>
        <v>-34.902687449040101</v>
      </c>
      <c r="K14" s="100">
        <f t="shared" si="2"/>
        <v>3.6397899999999995E-3</v>
      </c>
      <c r="L14" s="153">
        <f t="shared" si="3"/>
        <v>5.8</v>
      </c>
      <c r="M14" s="1319">
        <f t="shared" si="4"/>
        <v>74738.8</v>
      </c>
    </row>
    <row r="15" spans="2:13" x14ac:dyDescent="0.25">
      <c r="B15" s="6">
        <v>1220009</v>
      </c>
      <c r="C15" s="6" t="s">
        <v>1133</v>
      </c>
      <c r="D15" s="7">
        <v>7.5305999999999984E-4</v>
      </c>
      <c r="E15" s="32">
        <v>0.06</v>
      </c>
      <c r="F15" s="896">
        <f>VLOOKUP(B15,[2]Hoja1!$C$2:$E$279,3,FALSE)</f>
        <v>21312.16</v>
      </c>
      <c r="G15" s="8">
        <f t="shared" si="0"/>
        <v>16.049335209599995</v>
      </c>
      <c r="H15" s="950">
        <v>16100</v>
      </c>
      <c r="I15" s="96">
        <v>22.227820999999999</v>
      </c>
      <c r="J15" s="39"/>
      <c r="K15" s="100">
        <f t="shared" si="2"/>
        <v>7.5305999999999984E-4</v>
      </c>
      <c r="L15" s="153">
        <f t="shared" si="3"/>
        <v>1.2</v>
      </c>
      <c r="M15" s="1319">
        <f t="shared" si="4"/>
        <v>25574.592000000001</v>
      </c>
    </row>
    <row r="16" spans="2:13" x14ac:dyDescent="0.25">
      <c r="B16" s="6">
        <v>1230013</v>
      </c>
      <c r="C16" s="6" t="s">
        <v>754</v>
      </c>
      <c r="D16" s="7">
        <v>2.5101999999999998E-3</v>
      </c>
      <c r="E16" s="32">
        <v>0.2</v>
      </c>
      <c r="F16" s="896">
        <f>VLOOKUP(B16,[2]Hoja1!$C$2:$E$279,3,FALSE)</f>
        <v>20777.07</v>
      </c>
      <c r="G16" s="8">
        <f t="shared" si="0"/>
        <v>52.154601113999995</v>
      </c>
      <c r="H16" s="950">
        <v>17430</v>
      </c>
      <c r="I16" s="96">
        <v>13.125835799999997</v>
      </c>
      <c r="J16" s="39">
        <f t="shared" si="1"/>
        <v>19.202925989672963</v>
      </c>
      <c r="K16" s="100">
        <f t="shared" si="2"/>
        <v>2.5101999999999998E-3</v>
      </c>
      <c r="L16" s="153">
        <f t="shared" si="3"/>
        <v>4</v>
      </c>
      <c r="M16" s="1319">
        <f t="shared" si="4"/>
        <v>83108.28</v>
      </c>
    </row>
    <row r="17" spans="2:13" x14ac:dyDescent="0.25">
      <c r="B17" s="6">
        <v>121007</v>
      </c>
      <c r="C17" s="6" t="s">
        <v>821</v>
      </c>
      <c r="D17" s="7">
        <v>1.38061E-3</v>
      </c>
      <c r="E17" s="32">
        <v>0.11</v>
      </c>
      <c r="F17" s="896">
        <f>VLOOKUP(B17,[2]Hoja1!$C$2:$E$279,3,FALSE)</f>
        <v>16905</v>
      </c>
      <c r="G17" s="8">
        <f t="shared" si="0"/>
        <v>23.33921205</v>
      </c>
      <c r="H17" s="950">
        <v>56748.6</v>
      </c>
      <c r="I17" s="96">
        <v>42.56517272699999</v>
      </c>
      <c r="J17" s="39">
        <f t="shared" si="1"/>
        <v>-70.210718854738261</v>
      </c>
      <c r="K17" s="100">
        <f t="shared" si="2"/>
        <v>1.38061E-3</v>
      </c>
      <c r="L17" s="153">
        <f t="shared" si="3"/>
        <v>2.2000000000000002</v>
      </c>
      <c r="M17" s="1319">
        <f t="shared" si="4"/>
        <v>37191</v>
      </c>
    </row>
    <row r="18" spans="2:13" x14ac:dyDescent="0.25">
      <c r="B18" s="6">
        <v>1220005</v>
      </c>
      <c r="C18" s="6" t="s">
        <v>1135</v>
      </c>
      <c r="D18" s="7">
        <v>7.5305999999999984E-4</v>
      </c>
      <c r="E18" s="32">
        <v>0.06</v>
      </c>
      <c r="F18" s="896">
        <f>VLOOKUP(B18,[2]Hoja1!$C$2:$E$279,3,FALSE)</f>
        <v>17429.990000000002</v>
      </c>
      <c r="G18" s="8">
        <f t="shared" si="0"/>
        <v>13.125828269399998</v>
      </c>
      <c r="H18" s="950">
        <v>12852.58</v>
      </c>
      <c r="I18" s="96">
        <v>8.0953949999999999</v>
      </c>
      <c r="J18" s="39">
        <f t="shared" si="1"/>
        <v>35.614717045138036</v>
      </c>
      <c r="K18" s="100">
        <f t="shared" si="2"/>
        <v>7.5305999999999984E-4</v>
      </c>
      <c r="L18" s="153">
        <f t="shared" si="3"/>
        <v>1.2</v>
      </c>
      <c r="M18" s="1319">
        <f t="shared" si="4"/>
        <v>20915.988000000001</v>
      </c>
    </row>
    <row r="19" spans="2:13" x14ac:dyDescent="0.25">
      <c r="B19" s="6">
        <v>1220007</v>
      </c>
      <c r="C19" s="6" t="s">
        <v>916</v>
      </c>
      <c r="D19" s="7">
        <v>7.5305999999999984E-4</v>
      </c>
      <c r="E19" s="32">
        <v>0.06</v>
      </c>
      <c r="F19" s="896">
        <f>VLOOKUP(B19,[2]Hoja1!$C$2:$E$279,3,FALSE)</f>
        <v>60081.72</v>
      </c>
      <c r="G19" s="8">
        <f t="shared" si="0"/>
        <v>45.24514006319999</v>
      </c>
      <c r="H19" s="25">
        <v>156520.01999999999</v>
      </c>
      <c r="I19" s="96">
        <v>19.644830220399999</v>
      </c>
      <c r="J19" s="39">
        <f t="shared" si="1"/>
        <v>-61.614035060818416</v>
      </c>
      <c r="K19" s="100">
        <f t="shared" si="2"/>
        <v>7.5305999999999984E-4</v>
      </c>
      <c r="L19" s="153">
        <f t="shared" si="3"/>
        <v>1.2</v>
      </c>
      <c r="M19" s="1319">
        <f t="shared" si="4"/>
        <v>72098.063999999998</v>
      </c>
    </row>
    <row r="20" spans="2:13" x14ac:dyDescent="0.25">
      <c r="B20" s="6">
        <v>1210003</v>
      </c>
      <c r="C20" s="6" t="s">
        <v>1143</v>
      </c>
      <c r="D20" s="7">
        <v>6.2754999999999994E-4</v>
      </c>
      <c r="E20" s="32">
        <v>0.05</v>
      </c>
      <c r="F20" s="896">
        <f>VLOOKUP(B20,[2]Hoja1!$C$2:$E$279,3,FALSE)</f>
        <v>16235.45</v>
      </c>
      <c r="G20" s="8">
        <f t="shared" si="0"/>
        <v>10.188556647499999</v>
      </c>
      <c r="H20" s="914">
        <v>71910.02</v>
      </c>
      <c r="I20" s="96">
        <v>18.050850710199995</v>
      </c>
      <c r="J20" s="39">
        <f t="shared" si="1"/>
        <v>-77.422548345835537</v>
      </c>
      <c r="K20" s="100">
        <f t="shared" si="2"/>
        <v>6.2754999999999994E-4</v>
      </c>
      <c r="L20" s="153">
        <f t="shared" si="3"/>
        <v>1</v>
      </c>
      <c r="M20" s="1319">
        <f t="shared" si="4"/>
        <v>16235.45</v>
      </c>
    </row>
    <row r="21" spans="2:13" x14ac:dyDescent="0.25">
      <c r="B21" s="6">
        <v>1250004</v>
      </c>
      <c r="C21" s="6" t="s">
        <v>969</v>
      </c>
      <c r="D21" s="7">
        <v>1.2550999999999998E-4</v>
      </c>
      <c r="E21" s="32">
        <v>0.01</v>
      </c>
      <c r="F21" s="896">
        <f>VLOOKUP(B21,[2]Hoja1!$C$2:$E$279,3,FALSE)</f>
        <v>164481.95000000001</v>
      </c>
      <c r="G21" s="8">
        <f t="shared" si="0"/>
        <v>20.6441295445</v>
      </c>
      <c r="H21" s="914">
        <v>3400.01</v>
      </c>
      <c r="I21" s="96">
        <v>187.13488285799997</v>
      </c>
      <c r="J21" s="39">
        <f t="shared" si="1"/>
        <v>4737.690183264167</v>
      </c>
      <c r="K21" s="100">
        <f t="shared" si="2"/>
        <v>1.2550999999999998E-4</v>
      </c>
      <c r="L21" s="153">
        <f t="shared" si="3"/>
        <v>0.2</v>
      </c>
      <c r="M21" s="1319">
        <f t="shared" si="4"/>
        <v>32896.390000000007</v>
      </c>
    </row>
    <row r="22" spans="2:13" x14ac:dyDescent="0.25">
      <c r="B22" s="6">
        <v>1250009</v>
      </c>
      <c r="C22" s="6" t="s">
        <v>1279</v>
      </c>
      <c r="D22" s="7">
        <v>2.5101999999999996E-4</v>
      </c>
      <c r="E22" s="32">
        <v>0.02</v>
      </c>
      <c r="F22" s="896">
        <f>VLOOKUP(B22,[2]Hoja1!$C$2:$E$279,3,FALSE)</f>
        <v>83551.55</v>
      </c>
      <c r="G22" s="8">
        <f t="shared" si="0"/>
        <v>20.973110080999998</v>
      </c>
      <c r="H22" s="32">
        <v>9381</v>
      </c>
      <c r="I22" s="96">
        <v>94.192845207999994</v>
      </c>
      <c r="J22" s="39">
        <f t="shared" si="1"/>
        <v>790.64651956081434</v>
      </c>
      <c r="K22" s="100">
        <f t="shared" si="2"/>
        <v>2.5101999999999996E-4</v>
      </c>
      <c r="L22" s="153">
        <f t="shared" si="3"/>
        <v>0.4</v>
      </c>
      <c r="M22" s="1319">
        <f t="shared" si="4"/>
        <v>33420.620000000003</v>
      </c>
    </row>
    <row r="23" spans="2:13" x14ac:dyDescent="0.25">
      <c r="B23" s="6">
        <v>1260015</v>
      </c>
      <c r="C23" s="6" t="s">
        <v>785</v>
      </c>
      <c r="D23" s="7">
        <v>5.2714199999999996E-2</v>
      </c>
      <c r="E23" s="32">
        <v>4.2</v>
      </c>
      <c r="F23" s="896">
        <f>VLOOKUP(B23,[2]Hoja1!$C$2:$E$279,3,FALSE)</f>
        <v>3450.01</v>
      </c>
      <c r="G23" s="8">
        <f t="shared" si="0"/>
        <v>181.86451714200001</v>
      </c>
      <c r="H23" s="914">
        <v>11340</v>
      </c>
      <c r="I23" s="96">
        <v>42.698501999999998</v>
      </c>
      <c r="J23" s="39">
        <f t="shared" si="1"/>
        <v>-69.576631393298058</v>
      </c>
      <c r="K23" s="100">
        <f t="shared" si="2"/>
        <v>5.2714199999999996E-2</v>
      </c>
      <c r="L23" s="153">
        <f t="shared" si="3"/>
        <v>84</v>
      </c>
      <c r="M23" s="1319">
        <f t="shared" si="4"/>
        <v>289800.84000000003</v>
      </c>
    </row>
    <row r="24" spans="2:13" x14ac:dyDescent="0.25">
      <c r="B24" s="6">
        <v>1220010</v>
      </c>
      <c r="C24" s="6" t="s">
        <v>1144</v>
      </c>
      <c r="D24" s="7">
        <v>1.0040799999999999E-2</v>
      </c>
      <c r="E24" s="32">
        <v>0.8</v>
      </c>
      <c r="F24" s="896">
        <f>VLOOKUP(B24,[2]Hoja1!$C$2:$E$279,3,FALSE)</f>
        <v>4744.72</v>
      </c>
      <c r="G24" s="8">
        <f t="shared" si="0"/>
        <v>47.640784576000001</v>
      </c>
      <c r="H24" s="880">
        <v>324156.28000000003</v>
      </c>
      <c r="I24" s="96">
        <v>5.0856071516249992</v>
      </c>
      <c r="J24" s="39">
        <f t="shared" si="1"/>
        <v>-98.536286262909982</v>
      </c>
      <c r="K24" s="100">
        <f t="shared" si="2"/>
        <v>1.0040799999999999E-2</v>
      </c>
      <c r="L24" s="153">
        <f t="shared" si="3"/>
        <v>16</v>
      </c>
      <c r="M24" s="1319">
        <f t="shared" si="4"/>
        <v>75915.520000000004</v>
      </c>
    </row>
    <row r="25" spans="2:13" x14ac:dyDescent="0.25">
      <c r="B25" s="6">
        <v>1240007</v>
      </c>
      <c r="C25" s="6" t="s">
        <v>1352</v>
      </c>
      <c r="D25" s="7">
        <v>3.7652999999999996E-3</v>
      </c>
      <c r="E25" s="32">
        <v>0.3</v>
      </c>
      <c r="F25" s="896">
        <f>VLOOKUP(B25,[2]Hoja1!$C$2:$E$279,3,FALSE)</f>
        <v>25921.42</v>
      </c>
      <c r="G25" s="8">
        <f t="shared" si="0"/>
        <v>97.601922725999984</v>
      </c>
      <c r="H25" s="896">
        <v>18900</v>
      </c>
      <c r="I25" s="96">
        <v>415.124325</v>
      </c>
      <c r="J25" s="39">
        <f t="shared" si="1"/>
        <v>37.150370370370354</v>
      </c>
      <c r="K25" s="100">
        <f t="shared" si="2"/>
        <v>3.7652999999999996E-3</v>
      </c>
      <c r="L25" s="153">
        <f t="shared" si="3"/>
        <v>6</v>
      </c>
      <c r="M25" s="1319">
        <f t="shared" si="4"/>
        <v>155528.51999999999</v>
      </c>
    </row>
    <row r="26" spans="2:13" x14ac:dyDescent="0.25">
      <c r="B26" s="6">
        <v>1260024</v>
      </c>
      <c r="C26" s="6" t="s">
        <v>1290</v>
      </c>
      <c r="D26" s="7">
        <v>2.1964250000000001E-2</v>
      </c>
      <c r="E26" s="922">
        <v>1.75</v>
      </c>
      <c r="F26" s="896">
        <f>VLOOKUP(B26,[2]Hoja1!$C$2:$E$279,3,FALSE)</f>
        <v>12625.84</v>
      </c>
      <c r="G26" s="8">
        <f t="shared" si="0"/>
        <v>277.31710622000003</v>
      </c>
      <c r="H26" s="95">
        <v>53849.37</v>
      </c>
      <c r="I26" s="96">
        <v>27.531075356399999</v>
      </c>
      <c r="J26" s="39">
        <f t="shared" si="1"/>
        <v>-76.553411859785911</v>
      </c>
      <c r="K26" s="100">
        <f t="shared" si="2"/>
        <v>2.1964250000000001E-2</v>
      </c>
      <c r="L26" s="153">
        <f t="shared" si="3"/>
        <v>35</v>
      </c>
      <c r="M26" s="1319">
        <f t="shared" si="4"/>
        <v>441904.4</v>
      </c>
    </row>
    <row r="27" spans="2:13" x14ac:dyDescent="0.25">
      <c r="B27" s="6">
        <v>1260005</v>
      </c>
      <c r="C27" s="6" t="s">
        <v>811</v>
      </c>
      <c r="D27" s="7">
        <v>1.2551E-2</v>
      </c>
      <c r="E27" s="922">
        <v>1</v>
      </c>
      <c r="F27" s="896">
        <f>VLOOKUP(B27,[2]Hoja1!$C$2:$E$279,3,FALSE)</f>
        <v>26429</v>
      </c>
      <c r="G27" s="8">
        <f t="shared" si="0"/>
        <v>331.71037899999999</v>
      </c>
      <c r="H27" s="95"/>
      <c r="I27" s="96"/>
      <c r="J27" s="39"/>
      <c r="K27" s="100">
        <f t="shared" si="2"/>
        <v>1.2551E-2</v>
      </c>
      <c r="L27" s="153"/>
      <c r="M27" s="1319"/>
    </row>
    <row r="28" spans="2:13" x14ac:dyDescent="0.25">
      <c r="B28" s="6">
        <v>1270004</v>
      </c>
      <c r="C28" s="6" t="s">
        <v>1032</v>
      </c>
      <c r="D28" s="7">
        <v>5.0203999999999993E-4</v>
      </c>
      <c r="E28" s="922">
        <v>0.04</v>
      </c>
      <c r="F28" s="896">
        <f>VLOOKUP(B28,[2]Hoja1!$C$2:$E$279,3,FALSE)</f>
        <v>50662</v>
      </c>
      <c r="G28" s="8">
        <f t="shared" si="0"/>
        <v>25.434350479999996</v>
      </c>
      <c r="H28" s="95"/>
      <c r="I28" s="96"/>
      <c r="J28" s="39"/>
      <c r="K28" s="100">
        <f t="shared" si="2"/>
        <v>5.0203999999999993E-4</v>
      </c>
      <c r="L28" s="153"/>
      <c r="M28" s="1319"/>
    </row>
    <row r="29" spans="2:13" s="38" customFormat="1" x14ac:dyDescent="0.25">
      <c r="B29" s="1763" t="s">
        <v>37</v>
      </c>
      <c r="C29" s="1763"/>
      <c r="D29" s="1273">
        <f>SUM(D5:D26)</f>
        <v>1.2422979799999998</v>
      </c>
      <c r="E29" s="1511">
        <f>SUM(E5:E28)</f>
        <v>100.02000000000002</v>
      </c>
      <c r="F29" s="1274"/>
      <c r="G29" s="1316">
        <f>SUM(G5:G28)</f>
        <v>7160.7181266390007</v>
      </c>
      <c r="H29" s="1316"/>
      <c r="I29" s="1316">
        <f>SUM(I5:I26)</f>
        <v>8236.1190005806257</v>
      </c>
      <c r="J29" s="1317">
        <f>((G29/I29)*100)-100</f>
        <v>-13.057131324423693</v>
      </c>
      <c r="K29" s="1250"/>
      <c r="M29" s="107">
        <f>SUM(M5:M26)</f>
        <v>10841484.179999998</v>
      </c>
    </row>
    <row r="31" spans="2:13" ht="25.5" x14ac:dyDescent="0.35">
      <c r="B31" s="1760" t="s">
        <v>50</v>
      </c>
      <c r="C31" s="1754"/>
      <c r="D31" s="38">
        <f>+C34+(C34*C40%)</f>
        <v>1255.0999999999999</v>
      </c>
      <c r="E31" s="97"/>
      <c r="F31" s="97"/>
      <c r="G31" s="97"/>
      <c r="H31" s="105"/>
      <c r="I31" s="97"/>
      <c r="J31" s="101"/>
    </row>
    <row r="32" spans="2:13" x14ac:dyDescent="0.25">
      <c r="B32" s="1264" t="s">
        <v>38</v>
      </c>
      <c r="C32" s="93" t="s">
        <v>167</v>
      </c>
    </row>
    <row r="33" spans="2:12" x14ac:dyDescent="0.25">
      <c r="B33" s="1265" t="s">
        <v>39</v>
      </c>
      <c r="C33" s="21" t="s">
        <v>310</v>
      </c>
      <c r="H33" s="100"/>
    </row>
    <row r="34" spans="2:12" x14ac:dyDescent="0.25">
      <c r="B34" s="1265" t="s">
        <v>40</v>
      </c>
      <c r="C34" s="21">
        <v>1100</v>
      </c>
    </row>
    <row r="35" spans="2:12" x14ac:dyDescent="0.25">
      <c r="B35" s="1265" t="s">
        <v>41</v>
      </c>
      <c r="C35" s="21">
        <v>0</v>
      </c>
    </row>
    <row r="36" spans="2:12" x14ac:dyDescent="0.25">
      <c r="B36" s="1265" t="s">
        <v>42</v>
      </c>
      <c r="C36" s="21">
        <v>9</v>
      </c>
    </row>
    <row r="37" spans="2:12" x14ac:dyDescent="0.25">
      <c r="B37" s="1265" t="s">
        <v>43</v>
      </c>
      <c r="C37" s="21">
        <v>2</v>
      </c>
    </row>
    <row r="38" spans="2:12" x14ac:dyDescent="0.25">
      <c r="B38" s="1265" t="s">
        <v>44</v>
      </c>
      <c r="C38" s="21">
        <v>1</v>
      </c>
      <c r="J38" s="38" t="s">
        <v>85</v>
      </c>
    </row>
    <row r="39" spans="2:12" x14ac:dyDescent="0.25">
      <c r="B39" s="1265" t="s">
        <v>45</v>
      </c>
      <c r="C39" s="21">
        <v>2.1</v>
      </c>
    </row>
    <row r="40" spans="2:12" x14ac:dyDescent="0.25">
      <c r="B40" s="1265" t="s">
        <v>46</v>
      </c>
      <c r="C40" s="21">
        <f>C39+C38+C37+C36</f>
        <v>14.1</v>
      </c>
    </row>
    <row r="41" spans="2:12" x14ac:dyDescent="0.25">
      <c r="E41" s="1">
        <v>0.19</v>
      </c>
      <c r="F41" s="1">
        <v>20</v>
      </c>
      <c r="G41" s="1">
        <f>E41*F41</f>
        <v>3.8</v>
      </c>
      <c r="H41" s="105"/>
      <c r="I41" s="97"/>
      <c r="L41" s="1" t="s">
        <v>85</v>
      </c>
    </row>
    <row r="42" spans="2:12" ht="25.5" x14ac:dyDescent="0.35">
      <c r="B42" s="1773" t="s">
        <v>47</v>
      </c>
      <c r="C42" s="1774"/>
      <c r="D42" s="1774"/>
      <c r="E42" s="1774"/>
      <c r="F42" s="1774"/>
      <c r="G42" s="1774"/>
      <c r="H42" s="1774"/>
      <c r="I42" s="1774"/>
    </row>
    <row r="43" spans="2:12" s="120" customFormat="1" ht="25.5" x14ac:dyDescent="0.25">
      <c r="B43" s="1255" t="s">
        <v>0</v>
      </c>
      <c r="C43" s="1255" t="s">
        <v>1</v>
      </c>
      <c r="D43" s="1275" t="s">
        <v>2</v>
      </c>
      <c r="E43" s="1243" t="str">
        <f>+'CIF Y PV'!$F$4</f>
        <v xml:space="preserve">JUN-COP/UMB </v>
      </c>
      <c r="F43" s="1243" t="str">
        <f>+'CIF Y PV'!$G$4</f>
        <v>JUN-COP/APP</v>
      </c>
      <c r="G43" s="1243" t="str">
        <f>+'CIF Y PV'!$H$4</f>
        <v xml:space="preserve">MAY-COP/UMB </v>
      </c>
      <c r="H43" s="1243" t="str">
        <f>+'CIF Y PV'!$I$4</f>
        <v>MAY-COP/APP</v>
      </c>
      <c r="I43" s="1244" t="s">
        <v>3</v>
      </c>
      <c r="J43" s="146"/>
    </row>
    <row r="44" spans="2:12" x14ac:dyDescent="0.25">
      <c r="B44" s="4">
        <v>1370007</v>
      </c>
      <c r="C44" s="4" t="s">
        <v>1038</v>
      </c>
      <c r="D44" s="103">
        <f>E41*F41</f>
        <v>3.8</v>
      </c>
      <c r="E44" s="24">
        <f>VLOOKUP(B44,[2]Hoja1!$C$2:$E$279,3,FALSE)</f>
        <v>181.76</v>
      </c>
      <c r="F44" s="24">
        <f>E44*D44</f>
        <v>690.68799999999999</v>
      </c>
      <c r="G44" s="24">
        <v>195.56</v>
      </c>
      <c r="H44" s="24">
        <v>254.20749999999998</v>
      </c>
      <c r="I44" s="643">
        <f>((F44/H44)*100)-100</f>
        <v>171.70244780346763</v>
      </c>
    </row>
    <row r="45" spans="2:12" x14ac:dyDescent="0.25">
      <c r="B45" s="4">
        <v>1330022</v>
      </c>
      <c r="C45" s="4" t="s">
        <v>943</v>
      </c>
      <c r="D45" s="103">
        <v>0.1</v>
      </c>
      <c r="E45" s="24">
        <f>VLOOKUP(B45,[2]Hoja1!$C$2:$E$279,3,FALSE)</f>
        <v>40.869999999999997</v>
      </c>
      <c r="F45" s="24">
        <f>E45*D45</f>
        <v>4.0869999999999997</v>
      </c>
      <c r="G45" s="115">
        <v>40.200000000000003</v>
      </c>
      <c r="H45" s="24">
        <v>91.539000000000001</v>
      </c>
      <c r="I45" s="643">
        <f>((F45/H45)*100)-100</f>
        <v>-95.535236347349212</v>
      </c>
    </row>
    <row r="46" spans="2:12" x14ac:dyDescent="0.25">
      <c r="B46" s="4">
        <v>1310018</v>
      </c>
      <c r="C46" s="4" t="s">
        <v>890</v>
      </c>
      <c r="D46" s="103">
        <v>7.4999999999999997E-2</v>
      </c>
      <c r="E46" s="24">
        <f>VLOOKUP(B46,[2]Hoja1!$C$2:$E$279,3,FALSE)</f>
        <v>478.26</v>
      </c>
      <c r="F46" s="24">
        <f>E46*D46</f>
        <v>35.869499999999995</v>
      </c>
      <c r="G46" s="871">
        <v>503.51</v>
      </c>
      <c r="H46" s="24">
        <v>66.75</v>
      </c>
      <c r="I46" s="643">
        <f>((F46/H46)*100)-100</f>
        <v>-46.262921348314613</v>
      </c>
    </row>
    <row r="47" spans="2:12" ht="15" x14ac:dyDescent="0.25">
      <c r="B47" s="4">
        <v>1320004</v>
      </c>
      <c r="C47" s="1142" t="s">
        <v>1141</v>
      </c>
      <c r="D47" s="103">
        <v>7.4999999999999997E-2</v>
      </c>
      <c r="E47" s="24">
        <f>VLOOKUP(B47,[2]Hoja1!$C$2:$E$279,3,FALSE)</f>
        <v>1481.51</v>
      </c>
      <c r="F47" s="24">
        <f>E47*D47</f>
        <v>111.11324999999999</v>
      </c>
      <c r="G47" s="24">
        <v>1575.9</v>
      </c>
      <c r="H47" s="24">
        <v>126.441</v>
      </c>
      <c r="I47" s="643">
        <f>((F47/H47)*100)-100</f>
        <v>-12.122452369089146</v>
      </c>
    </row>
    <row r="48" spans="2:12" x14ac:dyDescent="0.25">
      <c r="B48" s="1256"/>
      <c r="C48" s="1256" t="s">
        <v>37</v>
      </c>
      <c r="D48" s="1318"/>
      <c r="E48" s="1257"/>
      <c r="F48" s="1257">
        <f>SUM(F44:F47)</f>
        <v>841.75774999999999</v>
      </c>
      <c r="G48" s="1257"/>
      <c r="H48" s="1257">
        <f>SUM(H44:H47)</f>
        <v>538.9375</v>
      </c>
      <c r="I48" s="1268">
        <f>((F48/H48)*100)-100</f>
        <v>56.188379914183002</v>
      </c>
    </row>
    <row r="49" spans="2:11" x14ac:dyDescent="0.25">
      <c r="H49" s="1" t="str">
        <f>+'CIF Y PV'!$G$1</f>
        <v>MAYO</v>
      </c>
      <c r="J49" s="107"/>
    </row>
    <row r="50" spans="2:11" x14ac:dyDescent="0.25">
      <c r="B50" s="1750" t="s">
        <v>816</v>
      </c>
      <c r="C50" s="1750"/>
      <c r="E50" s="881"/>
      <c r="F50" s="881"/>
      <c r="G50" s="881"/>
      <c r="H50" s="1269">
        <f>+F48+G29</f>
        <v>8002.4758766390005</v>
      </c>
      <c r="I50" s="28"/>
      <c r="J50" s="881"/>
      <c r="K50" s="28"/>
    </row>
    <row r="51" spans="2:11" x14ac:dyDescent="0.25">
      <c r="B51" s="1758" t="s">
        <v>48</v>
      </c>
      <c r="C51" s="1759"/>
      <c r="E51" s="881"/>
      <c r="F51" s="881"/>
      <c r="G51" s="881"/>
      <c r="H51" s="1269">
        <f>+('CIF Y PV'!C3/1000)*1100</f>
        <v>2079</v>
      </c>
      <c r="J51" s="881"/>
    </row>
    <row r="52" spans="2:11" x14ac:dyDescent="0.25">
      <c r="B52" s="1758" t="s">
        <v>197</v>
      </c>
      <c r="C52" s="1759"/>
      <c r="E52" s="881"/>
      <c r="F52" s="881"/>
      <c r="G52" s="881"/>
      <c r="H52" s="1269">
        <f>+H51+H50</f>
        <v>10081.475876639</v>
      </c>
      <c r="I52" s="140"/>
      <c r="J52" s="881"/>
      <c r="K52" s="140"/>
    </row>
    <row r="53" spans="2:11" x14ac:dyDescent="0.25">
      <c r="B53" s="1750" t="s">
        <v>49</v>
      </c>
      <c r="C53" s="1750"/>
      <c r="E53" s="881"/>
      <c r="F53" s="881"/>
      <c r="G53" s="881"/>
      <c r="H53" s="1320">
        <f>'CIF Y PV'!C74</f>
        <v>16464.144800000002</v>
      </c>
      <c r="J53" s="931"/>
      <c r="K53" s="339"/>
    </row>
    <row r="54" spans="2:11" ht="14.45" customHeight="1" x14ac:dyDescent="0.25">
      <c r="B54" s="1750" t="s">
        <v>805</v>
      </c>
      <c r="C54" s="1750"/>
      <c r="E54" s="881"/>
      <c r="F54" s="881"/>
      <c r="G54" s="881"/>
      <c r="H54" s="1229">
        <f>(H53-H52)/H53</f>
        <v>0.38767084479000696</v>
      </c>
      <c r="I54" s="932"/>
      <c r="J54" s="384"/>
      <c r="K54" s="932"/>
    </row>
    <row r="55" spans="2:11" x14ac:dyDescent="0.25">
      <c r="H55" s="384"/>
      <c r="I55" s="188"/>
      <c r="J55" s="933"/>
      <c r="K55" s="188"/>
    </row>
  </sheetData>
  <mergeCells count="9">
    <mergeCell ref="B52:C52"/>
    <mergeCell ref="B53:C53"/>
    <mergeCell ref="B54:C54"/>
    <mergeCell ref="B2:J2"/>
    <mergeCell ref="B29:C29"/>
    <mergeCell ref="B31:C31"/>
    <mergeCell ref="B42:I42"/>
    <mergeCell ref="B50:C50"/>
    <mergeCell ref="B51:C51"/>
  </mergeCells>
  <pageMargins left="0.7" right="0.7" top="0.75" bottom="0.75" header="0.3" footer="0.3"/>
  <pageSetup scale="43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E5B7-B05C-45FE-B673-6743103AA5FA}">
  <sheetPr codeName="Hoja124"/>
  <dimension ref="B2:M55"/>
  <sheetViews>
    <sheetView view="pageBreakPreview" topLeftCell="A4" zoomScale="80" zoomScaleNormal="100" zoomScaleSheetLayoutView="80" workbookViewId="0">
      <selection activeCell="E7" sqref="E7"/>
    </sheetView>
  </sheetViews>
  <sheetFormatPr baseColWidth="10" defaultColWidth="11.5703125" defaultRowHeight="16.5" x14ac:dyDescent="0.3"/>
  <cols>
    <col min="1" max="1" width="5" style="527" customWidth="1"/>
    <col min="2" max="2" width="11.5703125" style="527"/>
    <col min="3" max="3" width="67.42578125" style="527" bestFit="1" customWidth="1"/>
    <col min="4" max="4" width="16.85546875" style="525" bestFit="1" customWidth="1"/>
    <col min="5" max="5" width="11.5703125" style="527"/>
    <col min="6" max="6" width="15" style="527" customWidth="1"/>
    <col min="7" max="7" width="11.5703125" style="527"/>
    <col min="8" max="8" width="12.5703125" style="1076" bestFit="1" customWidth="1"/>
    <col min="9" max="9" width="14.42578125" style="527" bestFit="1" customWidth="1"/>
    <col min="10" max="10" width="14" style="693" customWidth="1"/>
    <col min="11" max="12" width="11.5703125" style="527"/>
    <col min="13" max="13" width="19.42578125" style="527" customWidth="1"/>
    <col min="14" max="16384" width="11.5703125" style="527"/>
  </cols>
  <sheetData>
    <row r="2" spans="2:13" x14ac:dyDescent="0.3">
      <c r="B2" s="1894" t="s">
        <v>920</v>
      </c>
      <c r="C2" s="1894"/>
      <c r="D2" s="1894"/>
      <c r="E2" s="1894"/>
      <c r="F2" s="1894"/>
      <c r="G2" s="1894"/>
      <c r="H2" s="1894"/>
      <c r="I2" s="1894"/>
      <c r="J2" s="1894"/>
    </row>
    <row r="4" spans="2:13" s="42" customFormat="1" ht="28.5" x14ac:dyDescent="0.25">
      <c r="B4" s="516" t="s">
        <v>0</v>
      </c>
      <c r="C4" s="516" t="s">
        <v>1</v>
      </c>
      <c r="D4" s="517" t="s">
        <v>2</v>
      </c>
      <c r="E4" s="516" t="s">
        <v>3</v>
      </c>
      <c r="F4" s="962" t="str">
        <f>+'CIF Y PV'!$F$2</f>
        <v xml:space="preserve">JUN-COP/Kg </v>
      </c>
      <c r="G4" s="962" t="str">
        <f>+'CIF Y PV'!$G$2</f>
        <v>JUN-COP/APP</v>
      </c>
      <c r="H4" s="962" t="str">
        <f>+'CIF Y PV'!$H$2</f>
        <v xml:space="preserve">MAY-COP/Kg </v>
      </c>
      <c r="I4" s="962" t="str">
        <f>+'CIF Y PV'!$I$2</f>
        <v>MAY-COP/APP</v>
      </c>
      <c r="J4" s="1104" t="s">
        <v>3</v>
      </c>
      <c r="K4" s="42">
        <f>+D31/1000</f>
        <v>0.24975</v>
      </c>
      <c r="L4" s="1201">
        <v>2000</v>
      </c>
    </row>
    <row r="5" spans="2:13" x14ac:dyDescent="0.3">
      <c r="B5" s="74">
        <v>1122006</v>
      </c>
      <c r="C5" s="74" t="s">
        <v>972</v>
      </c>
      <c r="D5" s="532">
        <v>6.118875E-2</v>
      </c>
      <c r="E5" s="561">
        <v>24.5</v>
      </c>
      <c r="F5" s="982">
        <f>VLOOKUP(B5,[2]Hoja1!$C$2:$E$279,3,FALSE)</f>
        <v>12955.53</v>
      </c>
      <c r="G5" s="1105">
        <f>F5*D5</f>
        <v>792.73268628750009</v>
      </c>
      <c r="H5" s="982">
        <v>14266.27</v>
      </c>
      <c r="I5" s="73">
        <f>H5*D5</f>
        <v>872.93522846250005</v>
      </c>
      <c r="J5" s="562">
        <f>((F5/H5)*100)-100</f>
        <v>-9.1876853585415148</v>
      </c>
      <c r="K5" s="525">
        <f>$K$4*E5%</f>
        <v>6.118875E-2</v>
      </c>
      <c r="L5" s="1173">
        <f>$L$4*E5%</f>
        <v>490</v>
      </c>
      <c r="M5" s="1175">
        <f>L5*F5</f>
        <v>6348209.7000000002</v>
      </c>
    </row>
    <row r="6" spans="2:13" x14ac:dyDescent="0.3">
      <c r="B6" s="74">
        <v>1131002</v>
      </c>
      <c r="C6" s="74" t="s">
        <v>663</v>
      </c>
      <c r="D6" s="532">
        <v>6.8656274999999989E-2</v>
      </c>
      <c r="E6" s="561">
        <v>27.49</v>
      </c>
      <c r="F6" s="982">
        <f>VLOOKUP(B6,[2]Hoja1!$C$2:$E$279,3,FALSE)</f>
        <v>0</v>
      </c>
      <c r="G6" s="1105">
        <f t="shared" ref="G6:G28" si="0">F6*D6</f>
        <v>0</v>
      </c>
      <c r="H6" s="982">
        <v>0</v>
      </c>
      <c r="I6" s="73">
        <f t="shared" ref="I6:I28" si="1">H6*D6</f>
        <v>0</v>
      </c>
      <c r="J6" s="562" t="e">
        <f t="shared" ref="J6:J28" si="2">((F6/H6)*100)-100</f>
        <v>#DIV/0!</v>
      </c>
      <c r="K6" s="525">
        <f t="shared" ref="K6:K28" si="3">$K$4*E6%</f>
        <v>6.8656274999999989E-2</v>
      </c>
      <c r="L6" s="1173">
        <f t="shared" ref="L6:L28" si="4">$L$4*E6%</f>
        <v>549.79999999999995</v>
      </c>
      <c r="M6" s="1175">
        <f t="shared" ref="M6:M28" si="5">L6*F6</f>
        <v>0</v>
      </c>
    </row>
    <row r="7" spans="2:13" x14ac:dyDescent="0.3">
      <c r="B7" s="74">
        <v>1141001</v>
      </c>
      <c r="C7" s="74" t="s">
        <v>908</v>
      </c>
      <c r="D7" s="532">
        <v>8.3166750000000008E-3</v>
      </c>
      <c r="E7" s="561">
        <v>3.33</v>
      </c>
      <c r="F7" s="982">
        <f>VLOOKUP(B7,[2]Hoja1!$C$2:$E$279,3,FALSE)</f>
        <v>15597.29</v>
      </c>
      <c r="G7" s="1105">
        <f t="shared" si="0"/>
        <v>129.71759181075001</v>
      </c>
      <c r="H7" s="983">
        <v>15999.99</v>
      </c>
      <c r="I7" s="73">
        <f t="shared" si="1"/>
        <v>133.06671683325001</v>
      </c>
      <c r="J7" s="562">
        <f t="shared" si="2"/>
        <v>-2.5168765730478526</v>
      </c>
      <c r="K7" s="525">
        <f t="shared" si="3"/>
        <v>8.3166750000000008E-3</v>
      </c>
      <c r="L7" s="1173">
        <f t="shared" si="4"/>
        <v>66.600000000000009</v>
      </c>
      <c r="M7" s="1175">
        <f t="shared" si="5"/>
        <v>1038779.5140000002</v>
      </c>
    </row>
    <row r="8" spans="2:13" x14ac:dyDescent="0.3">
      <c r="B8" s="74">
        <v>1122007</v>
      </c>
      <c r="C8" s="74" t="s">
        <v>1067</v>
      </c>
      <c r="D8" s="532">
        <v>7.0304624999999996E-2</v>
      </c>
      <c r="E8" s="561">
        <v>28.15</v>
      </c>
      <c r="F8" s="982">
        <f>VLOOKUP(B8,[2]Hoja1!$C$2:$E$279,3,FALSE)</f>
        <v>11229.33</v>
      </c>
      <c r="G8" s="1105">
        <f t="shared" si="0"/>
        <v>789.47383465124994</v>
      </c>
      <c r="H8" s="1092">
        <v>12278.37</v>
      </c>
      <c r="I8" s="73">
        <f t="shared" si="1"/>
        <v>863.22619846124996</v>
      </c>
      <c r="J8" s="562">
        <f>((F8/H8)*100)-100</f>
        <v>-8.5438050816191549</v>
      </c>
      <c r="K8" s="525">
        <f>$K$4*E8%</f>
        <v>7.0304624999999996E-2</v>
      </c>
      <c r="L8" s="1173">
        <f t="shared" si="4"/>
        <v>563</v>
      </c>
      <c r="M8" s="1175">
        <f t="shared" si="5"/>
        <v>6322112.79</v>
      </c>
    </row>
    <row r="9" spans="2:13" x14ac:dyDescent="0.3">
      <c r="B9" s="74">
        <v>1210005</v>
      </c>
      <c r="C9" s="74" t="s">
        <v>1155</v>
      </c>
      <c r="D9" s="532">
        <v>2.0479499999999998E-3</v>
      </c>
      <c r="E9" s="561">
        <v>0.82</v>
      </c>
      <c r="F9" s="982">
        <f>VLOOKUP(B9,[2]Hoja1!$C$2:$E$279,3,FALSE)</f>
        <v>1356</v>
      </c>
      <c r="G9" s="1105">
        <f t="shared" si="0"/>
        <v>2.7770201999999995</v>
      </c>
      <c r="H9" s="1092"/>
      <c r="I9" s="73"/>
      <c r="J9" s="562"/>
      <c r="K9" s="525">
        <f>$K$4*E9%</f>
        <v>2.0479499999999998E-3</v>
      </c>
      <c r="L9" s="1173">
        <f t="shared" si="4"/>
        <v>16.399999999999999</v>
      </c>
      <c r="M9" s="1175"/>
    </row>
    <row r="10" spans="2:13" x14ac:dyDescent="0.3">
      <c r="B10" s="74">
        <v>1210010</v>
      </c>
      <c r="C10" s="74" t="s">
        <v>1351</v>
      </c>
      <c r="D10" s="532">
        <v>1.3736250000000001E-3</v>
      </c>
      <c r="E10" s="561">
        <v>0.55000000000000004</v>
      </c>
      <c r="F10" s="982">
        <f>VLOOKUP(B10,[2]Hoja1!$C$2:$E$279,3,FALSE)</f>
        <v>11600</v>
      </c>
      <c r="G10" s="1105">
        <f t="shared" si="0"/>
        <v>15.934050000000001</v>
      </c>
      <c r="H10" s="70">
        <v>8910.1</v>
      </c>
      <c r="I10" s="73">
        <f t="shared" si="1"/>
        <v>12.239136112500001</v>
      </c>
      <c r="J10" s="562">
        <f t="shared" si="2"/>
        <v>30.189335697691376</v>
      </c>
      <c r="K10" s="525">
        <f t="shared" si="3"/>
        <v>1.3736250000000001E-3</v>
      </c>
      <c r="L10" s="1173">
        <f t="shared" si="4"/>
        <v>11.000000000000002</v>
      </c>
      <c r="M10" s="1175">
        <f t="shared" si="5"/>
        <v>127600.00000000001</v>
      </c>
    </row>
    <row r="11" spans="2:13" x14ac:dyDescent="0.3">
      <c r="B11" s="74">
        <v>1121009</v>
      </c>
      <c r="C11" s="74" t="s">
        <v>1071</v>
      </c>
      <c r="D11" s="532">
        <v>2.4975000000000001E-2</v>
      </c>
      <c r="E11" s="561">
        <v>10</v>
      </c>
      <c r="F11" s="982">
        <f>VLOOKUP(B11,[2]Hoja1!$C$2:$E$279,3,FALSE)</f>
        <v>8741.6200000000008</v>
      </c>
      <c r="G11" s="1105">
        <f t="shared" si="0"/>
        <v>218.32195950000002</v>
      </c>
      <c r="H11" s="965">
        <v>8324.2000000000007</v>
      </c>
      <c r="I11" s="73">
        <f t="shared" si="1"/>
        <v>207.89689500000003</v>
      </c>
      <c r="J11" s="562">
        <f t="shared" si="2"/>
        <v>5.0145359313807916</v>
      </c>
      <c r="K11" s="525">
        <f t="shared" si="3"/>
        <v>2.4975000000000001E-2</v>
      </c>
      <c r="L11" s="1173">
        <f t="shared" si="4"/>
        <v>200</v>
      </c>
      <c r="M11" s="1175">
        <f t="shared" si="5"/>
        <v>1748324.0000000002</v>
      </c>
    </row>
    <row r="12" spans="2:13" x14ac:dyDescent="0.3">
      <c r="B12" s="74">
        <v>1260024</v>
      </c>
      <c r="C12" s="74" t="s">
        <v>1290</v>
      </c>
      <c r="D12" s="532">
        <v>2.8721250000000001E-3</v>
      </c>
      <c r="E12" s="561">
        <v>1.1499999999999999</v>
      </c>
      <c r="F12" s="982">
        <f>VLOOKUP(B12,[2]Hoja1!$C$2:$E$279,3,FALSE)</f>
        <v>12625.84</v>
      </c>
      <c r="G12" s="1105">
        <f t="shared" si="0"/>
        <v>36.262990710000004</v>
      </c>
      <c r="H12" s="965">
        <v>18900</v>
      </c>
      <c r="I12" s="73">
        <f t="shared" si="1"/>
        <v>54.283162500000003</v>
      </c>
      <c r="J12" s="562">
        <f t="shared" si="2"/>
        <v>-33.196613756613758</v>
      </c>
      <c r="K12" s="525">
        <f t="shared" si="3"/>
        <v>2.8721250000000001E-3</v>
      </c>
      <c r="L12" s="1173">
        <f t="shared" si="4"/>
        <v>23</v>
      </c>
      <c r="M12" s="1175">
        <f t="shared" si="5"/>
        <v>290394.32</v>
      </c>
    </row>
    <row r="13" spans="2:13" x14ac:dyDescent="0.3">
      <c r="B13" s="74">
        <v>1220014</v>
      </c>
      <c r="C13" s="74" t="s">
        <v>822</v>
      </c>
      <c r="D13" s="532">
        <v>2.9970000000000001E-3</v>
      </c>
      <c r="E13" s="561">
        <v>1.2</v>
      </c>
      <c r="F13" s="982">
        <f>VLOOKUP(B13,[2]Hoja1!$C$2:$E$279,3,FALSE)</f>
        <v>14060</v>
      </c>
      <c r="G13" s="1105">
        <f t="shared" si="0"/>
        <v>42.137819999999998</v>
      </c>
      <c r="H13" s="964">
        <v>13300.01</v>
      </c>
      <c r="I13" s="73">
        <f t="shared" si="1"/>
        <v>39.860129970000003</v>
      </c>
      <c r="J13" s="562">
        <f t="shared" si="2"/>
        <v>5.7142062299201086</v>
      </c>
      <c r="K13" s="525">
        <f t="shared" si="3"/>
        <v>2.9970000000000001E-3</v>
      </c>
      <c r="L13" s="1173">
        <f t="shared" si="4"/>
        <v>24</v>
      </c>
      <c r="M13" s="1175">
        <f t="shared" si="5"/>
        <v>337440</v>
      </c>
    </row>
    <row r="14" spans="2:13" x14ac:dyDescent="0.3">
      <c r="B14" s="74">
        <v>1230018</v>
      </c>
      <c r="C14" s="74" t="s">
        <v>1070</v>
      </c>
      <c r="D14" s="532">
        <v>4.9950000000000005E-4</v>
      </c>
      <c r="E14" s="561">
        <v>0.2</v>
      </c>
      <c r="F14" s="982">
        <f>VLOOKUP(B14,[2]Hoja1!$C$2:$E$279,3,FALSE)</f>
        <v>76427.960000000006</v>
      </c>
      <c r="G14" s="1105">
        <f t="shared" si="0"/>
        <v>38.175766020000005</v>
      </c>
      <c r="H14" s="965">
        <v>74111.179999999993</v>
      </c>
      <c r="I14" s="73">
        <f t="shared" si="1"/>
        <v>37.018534410000001</v>
      </c>
      <c r="J14" s="562">
        <f t="shared" si="2"/>
        <v>3.1260870492144619</v>
      </c>
      <c r="K14" s="525">
        <f t="shared" si="3"/>
        <v>4.9950000000000005E-4</v>
      </c>
      <c r="L14" s="1173">
        <f t="shared" si="4"/>
        <v>4</v>
      </c>
      <c r="M14" s="1175">
        <f t="shared" si="5"/>
        <v>305711.84000000003</v>
      </c>
    </row>
    <row r="15" spans="2:13" x14ac:dyDescent="0.3">
      <c r="B15" s="74">
        <v>121007</v>
      </c>
      <c r="C15" s="74" t="s">
        <v>821</v>
      </c>
      <c r="D15" s="532">
        <v>9.990000000000001E-4</v>
      </c>
      <c r="E15" s="561">
        <v>0.4</v>
      </c>
      <c r="F15" s="982">
        <f>VLOOKUP(B15,[2]Hoja1!$C$2:$E$279,3,FALSE)</f>
        <v>16905</v>
      </c>
      <c r="G15" s="1105">
        <f t="shared" si="0"/>
        <v>16.888095000000003</v>
      </c>
      <c r="H15" s="1106">
        <v>16100</v>
      </c>
      <c r="I15" s="73">
        <f t="shared" si="1"/>
        <v>16.083900000000003</v>
      </c>
      <c r="J15" s="562">
        <f t="shared" si="2"/>
        <v>5</v>
      </c>
      <c r="K15" s="525">
        <f t="shared" si="3"/>
        <v>9.990000000000001E-4</v>
      </c>
      <c r="L15" s="1173">
        <f t="shared" si="4"/>
        <v>8</v>
      </c>
      <c r="M15" s="1175">
        <f t="shared" si="5"/>
        <v>135240</v>
      </c>
    </row>
    <row r="16" spans="2:13" x14ac:dyDescent="0.3">
      <c r="B16" s="74">
        <v>1240007</v>
      </c>
      <c r="C16" s="74" t="s">
        <v>1352</v>
      </c>
      <c r="D16" s="532">
        <v>1.2487500000000001E-3</v>
      </c>
      <c r="E16" s="561">
        <v>0.5</v>
      </c>
      <c r="F16" s="982">
        <f>VLOOKUP(B16,[2]Hoja1!$C$2:$E$279,3,FALSE)</f>
        <v>25921.42</v>
      </c>
      <c r="G16" s="1105">
        <f t="shared" si="0"/>
        <v>32.369373224999997</v>
      </c>
      <c r="H16" s="1106">
        <v>11340</v>
      </c>
      <c r="I16" s="73">
        <f t="shared" si="1"/>
        <v>14.160825000000001</v>
      </c>
      <c r="J16" s="562">
        <f t="shared" si="2"/>
        <v>128.58395061728393</v>
      </c>
      <c r="K16" s="525">
        <f t="shared" si="3"/>
        <v>1.2487500000000001E-3</v>
      </c>
      <c r="L16" s="1173">
        <f t="shared" si="4"/>
        <v>10</v>
      </c>
      <c r="M16" s="1175">
        <f t="shared" si="5"/>
        <v>259214.19999999998</v>
      </c>
    </row>
    <row r="17" spans="2:13" x14ac:dyDescent="0.3">
      <c r="B17" s="74">
        <v>1250002</v>
      </c>
      <c r="C17" s="74" t="s">
        <v>910</v>
      </c>
      <c r="D17" s="532">
        <v>4.2457500000000001E-4</v>
      </c>
      <c r="E17" s="561">
        <v>0.17</v>
      </c>
      <c r="F17" s="982">
        <f>VLOOKUP(B17,[2]Hoja1!$C$2:$E$279,3,FALSE)</f>
        <v>44120.54</v>
      </c>
      <c r="G17" s="1105">
        <f t="shared" si="0"/>
        <v>18.7324782705</v>
      </c>
      <c r="H17" s="1106">
        <v>43034</v>
      </c>
      <c r="I17" s="73">
        <f t="shared" si="1"/>
        <v>18.271160550000001</v>
      </c>
      <c r="J17" s="562">
        <f t="shared" si="2"/>
        <v>2.5248408235348734</v>
      </c>
      <c r="K17" s="525">
        <f t="shared" si="3"/>
        <v>4.2457500000000001E-4</v>
      </c>
      <c r="L17" s="1173">
        <f t="shared" si="4"/>
        <v>3.4000000000000004</v>
      </c>
      <c r="M17" s="1175">
        <f t="shared" si="5"/>
        <v>150009.83600000001</v>
      </c>
    </row>
    <row r="18" spans="2:13" x14ac:dyDescent="0.3">
      <c r="B18" s="74">
        <v>1250005</v>
      </c>
      <c r="C18" s="74" t="s">
        <v>911</v>
      </c>
      <c r="D18" s="532">
        <v>3.2467499999999996E-4</v>
      </c>
      <c r="E18" s="561">
        <v>0.13</v>
      </c>
      <c r="F18" s="982">
        <f>VLOOKUP(B18,[2]Hoja1!$C$2:$E$279,3,FALSE)</f>
        <v>66921.05</v>
      </c>
      <c r="G18" s="1105">
        <f t="shared" si="0"/>
        <v>21.72759190875</v>
      </c>
      <c r="H18" s="1106">
        <v>62991.09</v>
      </c>
      <c r="I18" s="73">
        <f t="shared" si="1"/>
        <v>20.451632145749997</v>
      </c>
      <c r="J18" s="562">
        <f t="shared" si="2"/>
        <v>6.2389141067411344</v>
      </c>
      <c r="K18" s="525">
        <f t="shared" si="3"/>
        <v>3.2467499999999996E-4</v>
      </c>
      <c r="L18" s="1173">
        <f t="shared" si="4"/>
        <v>2.6</v>
      </c>
      <c r="M18" s="1175">
        <f t="shared" si="5"/>
        <v>173994.73</v>
      </c>
    </row>
    <row r="19" spans="2:13" x14ac:dyDescent="0.3">
      <c r="B19" s="74">
        <v>1210004</v>
      </c>
      <c r="C19" s="74" t="s">
        <v>913</v>
      </c>
      <c r="D19" s="532">
        <v>2.122875E-4</v>
      </c>
      <c r="E19" s="561">
        <v>8.5000000000000006E-2</v>
      </c>
      <c r="F19" s="982">
        <f>VLOOKUP(B19,[2]Hoja1!$C$2:$E$279,3,FALSE)</f>
        <v>3841</v>
      </c>
      <c r="G19" s="1105">
        <f t="shared" si="0"/>
        <v>0.81539628750000004</v>
      </c>
      <c r="H19" s="533">
        <v>3508.01</v>
      </c>
      <c r="I19" s="73">
        <f t="shared" si="1"/>
        <v>0.74470667287500003</v>
      </c>
      <c r="J19" s="562">
        <f t="shared" si="2"/>
        <v>9.4922762477871885</v>
      </c>
      <c r="K19" s="525">
        <f t="shared" si="3"/>
        <v>2.122875E-4</v>
      </c>
      <c r="L19" s="1173">
        <f t="shared" si="4"/>
        <v>1.7000000000000002</v>
      </c>
      <c r="M19" s="1175">
        <f t="shared" si="5"/>
        <v>6529.7000000000007</v>
      </c>
    </row>
    <row r="20" spans="2:13" x14ac:dyDescent="0.3">
      <c r="B20" s="74">
        <v>1220001</v>
      </c>
      <c r="C20" s="74" t="s">
        <v>912</v>
      </c>
      <c r="D20" s="532">
        <v>2.4975000000000003E-4</v>
      </c>
      <c r="E20" s="561">
        <v>0.1</v>
      </c>
      <c r="F20" s="982">
        <f>VLOOKUP(B20,[2]Hoja1!$C$2:$E$279,3,FALSE)</f>
        <v>85579.98</v>
      </c>
      <c r="G20" s="1105">
        <f t="shared" si="0"/>
        <v>21.373600005</v>
      </c>
      <c r="H20" s="965">
        <v>81899.73</v>
      </c>
      <c r="I20" s="73">
        <f t="shared" si="1"/>
        <v>20.4544575675</v>
      </c>
      <c r="J20" s="562">
        <f t="shared" si="2"/>
        <v>4.4936045576706931</v>
      </c>
      <c r="K20" s="525">
        <f t="shared" si="3"/>
        <v>2.4975000000000003E-4</v>
      </c>
      <c r="L20" s="1173">
        <f t="shared" si="4"/>
        <v>2</v>
      </c>
      <c r="M20" s="1175">
        <f t="shared" si="5"/>
        <v>171159.96</v>
      </c>
    </row>
    <row r="21" spans="2:13" x14ac:dyDescent="0.3">
      <c r="B21" s="74">
        <v>1250003</v>
      </c>
      <c r="C21" s="74" t="s">
        <v>914</v>
      </c>
      <c r="D21" s="532">
        <v>1.7482500000000003E-4</v>
      </c>
      <c r="E21" s="561">
        <v>7.0000000000000007E-2</v>
      </c>
      <c r="F21" s="982">
        <f>VLOOKUP(B21,[2]Hoja1!$C$2:$E$279,3,FALSE)</f>
        <v>50952.79</v>
      </c>
      <c r="G21" s="1105">
        <f t="shared" si="0"/>
        <v>8.9078215117500026</v>
      </c>
      <c r="H21" s="965">
        <v>47385.41</v>
      </c>
      <c r="I21" s="73">
        <f t="shared" si="1"/>
        <v>8.284154303250002</v>
      </c>
      <c r="J21" s="562">
        <f t="shared" si="2"/>
        <v>7.5284354403602123</v>
      </c>
      <c r="K21" s="525">
        <f t="shared" si="3"/>
        <v>1.7482500000000003E-4</v>
      </c>
      <c r="L21" s="1173">
        <f t="shared" si="4"/>
        <v>1.4000000000000001</v>
      </c>
      <c r="M21" s="1175">
        <f t="shared" si="5"/>
        <v>71333.906000000003</v>
      </c>
    </row>
    <row r="22" spans="2:13" x14ac:dyDescent="0.3">
      <c r="B22" s="74">
        <v>1220008</v>
      </c>
      <c r="C22" s="74" t="s">
        <v>915</v>
      </c>
      <c r="D22" s="532">
        <v>1.4984999999999998E-4</v>
      </c>
      <c r="E22" s="561">
        <v>0.06</v>
      </c>
      <c r="F22" s="982">
        <f>VLOOKUP(B22,[2]Hoja1!$C$2:$E$279,3,FALSE)</f>
        <v>50476.2</v>
      </c>
      <c r="G22" s="1105">
        <f t="shared" si="0"/>
        <v>7.5638585699999989</v>
      </c>
      <c r="H22" s="561">
        <v>48608.39</v>
      </c>
      <c r="I22" s="73">
        <f t="shared" si="1"/>
        <v>7.2839672414999992</v>
      </c>
      <c r="J22" s="562">
        <f t="shared" si="2"/>
        <v>3.8425670959272509</v>
      </c>
      <c r="K22" s="525">
        <f t="shared" si="3"/>
        <v>1.4984999999999998E-4</v>
      </c>
      <c r="L22" s="1173">
        <f t="shared" si="4"/>
        <v>1.2</v>
      </c>
      <c r="M22" s="1175">
        <f t="shared" si="5"/>
        <v>60571.439999999995</v>
      </c>
    </row>
    <row r="23" spans="2:13" x14ac:dyDescent="0.3">
      <c r="B23" s="74">
        <v>1260005</v>
      </c>
      <c r="C23" s="74" t="s">
        <v>811</v>
      </c>
      <c r="D23" s="532">
        <v>1.873125E-3</v>
      </c>
      <c r="E23" s="561">
        <v>0.75</v>
      </c>
      <c r="F23" s="982">
        <f>VLOOKUP(B23,[2]Hoja1!$C$2:$E$279,3,FALSE)</f>
        <v>26429</v>
      </c>
      <c r="G23" s="1105">
        <f t="shared" si="0"/>
        <v>49.504820625000001</v>
      </c>
      <c r="H23" s="965">
        <v>25850</v>
      </c>
      <c r="I23" s="73">
        <f t="shared" si="1"/>
        <v>48.420281250000002</v>
      </c>
      <c r="J23" s="562">
        <f t="shared" si="2"/>
        <v>2.2398452611218715</v>
      </c>
      <c r="K23" s="525">
        <f t="shared" si="3"/>
        <v>1.873125E-3</v>
      </c>
      <c r="L23" s="1173">
        <f t="shared" si="4"/>
        <v>15</v>
      </c>
      <c r="M23" s="1175">
        <f t="shared" si="5"/>
        <v>396435</v>
      </c>
    </row>
    <row r="24" spans="2:13" x14ac:dyDescent="0.3">
      <c r="B24" s="74">
        <v>1220007</v>
      </c>
      <c r="C24" s="74" t="s">
        <v>916</v>
      </c>
      <c r="D24" s="532">
        <v>1.4984999999999998E-4</v>
      </c>
      <c r="E24" s="561">
        <v>0.06</v>
      </c>
      <c r="F24" s="982">
        <f>VLOOKUP(B24,[2]Hoja1!$C$2:$E$279,3,FALSE)</f>
        <v>60081.72</v>
      </c>
      <c r="G24" s="1105">
        <f t="shared" si="0"/>
        <v>9.0032457419999989</v>
      </c>
      <c r="H24" s="964">
        <v>56748.6</v>
      </c>
      <c r="I24" s="73">
        <f t="shared" si="1"/>
        <v>8.5037777099999996</v>
      </c>
      <c r="J24" s="562">
        <f t="shared" si="2"/>
        <v>5.8734841035726078</v>
      </c>
      <c r="K24" s="525">
        <f t="shared" si="3"/>
        <v>1.4984999999999998E-4</v>
      </c>
      <c r="L24" s="1173">
        <f t="shared" si="4"/>
        <v>1.2</v>
      </c>
      <c r="M24" s="1175">
        <f t="shared" si="5"/>
        <v>72098.063999999998</v>
      </c>
    </row>
    <row r="25" spans="2:13" x14ac:dyDescent="0.3">
      <c r="B25" s="74">
        <v>1220009</v>
      </c>
      <c r="C25" s="74" t="s">
        <v>917</v>
      </c>
      <c r="D25" s="532">
        <v>1.998E-4</v>
      </c>
      <c r="E25" s="561">
        <v>0.08</v>
      </c>
      <c r="F25" s="982">
        <f>VLOOKUP(B25,[2]Hoja1!$C$2:$E$279,3,FALSE)</f>
        <v>21312.16</v>
      </c>
      <c r="G25" s="1105">
        <f t="shared" si="0"/>
        <v>4.2581695680000005</v>
      </c>
      <c r="H25" s="982">
        <v>20299</v>
      </c>
      <c r="I25" s="73">
        <f t="shared" si="1"/>
        <v>4.0557401999999998</v>
      </c>
      <c r="J25" s="562">
        <f t="shared" si="2"/>
        <v>4.9911818316173253</v>
      </c>
      <c r="K25" s="525">
        <f t="shared" si="3"/>
        <v>1.998E-4</v>
      </c>
      <c r="L25" s="1173">
        <f t="shared" si="4"/>
        <v>1.6</v>
      </c>
      <c r="M25" s="1175">
        <f t="shared" si="5"/>
        <v>34099.455999999998</v>
      </c>
    </row>
    <row r="26" spans="2:13" x14ac:dyDescent="0.3">
      <c r="B26" s="74">
        <v>1220005</v>
      </c>
      <c r="C26" s="74" t="s">
        <v>918</v>
      </c>
      <c r="D26" s="532">
        <v>1.4984999999999998E-4</v>
      </c>
      <c r="E26" s="561">
        <v>0.06</v>
      </c>
      <c r="F26" s="982">
        <f>VLOOKUP(B26,[2]Hoja1!$C$2:$E$279,3,FALSE)</f>
        <v>17429.990000000002</v>
      </c>
      <c r="G26" s="1105">
        <f t="shared" si="0"/>
        <v>2.6118840015</v>
      </c>
      <c r="H26" s="70">
        <v>17430</v>
      </c>
      <c r="I26" s="73">
        <f t="shared" si="1"/>
        <v>2.6118854999999996</v>
      </c>
      <c r="J26" s="562">
        <f t="shared" si="2"/>
        <v>-5.7372346518036466E-5</v>
      </c>
      <c r="K26" s="525">
        <f t="shared" si="3"/>
        <v>1.4984999999999998E-4</v>
      </c>
      <c r="L26" s="1173">
        <f t="shared" si="4"/>
        <v>1.2</v>
      </c>
      <c r="M26" s="1175">
        <f t="shared" si="5"/>
        <v>20915.988000000001</v>
      </c>
    </row>
    <row r="27" spans="2:13" x14ac:dyDescent="0.3">
      <c r="B27" s="74">
        <v>1210003</v>
      </c>
      <c r="C27" s="74" t="s">
        <v>741</v>
      </c>
      <c r="D27" s="532">
        <v>9.9900000000000002E-5</v>
      </c>
      <c r="E27" s="1107">
        <v>0.04</v>
      </c>
      <c r="F27" s="982">
        <f>VLOOKUP(B27,[2]Hoja1!$C$2:$E$279,3,FALSE)</f>
        <v>16235.45</v>
      </c>
      <c r="G27" s="1105">
        <f t="shared" si="0"/>
        <v>1.6219214550000001</v>
      </c>
      <c r="H27" s="88">
        <v>12852.58</v>
      </c>
      <c r="I27" s="73">
        <f t="shared" si="1"/>
        <v>1.283972742</v>
      </c>
      <c r="J27" s="562">
        <f t="shared" si="2"/>
        <v>26.320551982559152</v>
      </c>
      <c r="K27" s="525">
        <f t="shared" si="3"/>
        <v>9.9900000000000002E-5</v>
      </c>
      <c r="L27" s="1173">
        <f t="shared" si="4"/>
        <v>0.8</v>
      </c>
      <c r="M27" s="1175">
        <f t="shared" si="5"/>
        <v>12988.36</v>
      </c>
    </row>
    <row r="28" spans="2:13" x14ac:dyDescent="0.3">
      <c r="B28" s="74">
        <v>1270004</v>
      </c>
      <c r="C28" s="553" t="s">
        <v>1032</v>
      </c>
      <c r="D28" s="532">
        <v>9.9900000000000002E-5</v>
      </c>
      <c r="E28" s="1107">
        <v>0.04</v>
      </c>
      <c r="F28" s="982">
        <f>VLOOKUP(B28,[2]Hoja1!$C$2:$E$279,3,FALSE)</f>
        <v>50662</v>
      </c>
      <c r="G28" s="1105">
        <f t="shared" si="0"/>
        <v>5.0611338000000003</v>
      </c>
      <c r="H28" s="88">
        <v>53849.37</v>
      </c>
      <c r="I28" s="73">
        <f t="shared" si="1"/>
        <v>5.3795520630000002</v>
      </c>
      <c r="J28" s="562">
        <f t="shared" si="2"/>
        <v>-5.9190478922966179</v>
      </c>
      <c r="K28" s="525">
        <f t="shared" si="3"/>
        <v>9.9900000000000002E-5</v>
      </c>
      <c r="L28" s="1173">
        <f t="shared" si="4"/>
        <v>0.8</v>
      </c>
      <c r="M28" s="1175">
        <f t="shared" si="5"/>
        <v>40529.600000000006</v>
      </c>
    </row>
    <row r="29" spans="2:13" s="693" customFormat="1" x14ac:dyDescent="0.3">
      <c r="B29" s="1895" t="s">
        <v>37</v>
      </c>
      <c r="C29" s="1895"/>
      <c r="D29" s="1108">
        <f>SUM(D5:D28)</f>
        <v>0.24958766250000003</v>
      </c>
      <c r="E29" s="1109">
        <f>SUM(E5:E28)</f>
        <v>99.935000000000002</v>
      </c>
      <c r="F29" s="1109"/>
      <c r="G29" s="1110">
        <f>SUM(G5:G28)</f>
        <v>2265.9731091495</v>
      </c>
      <c r="H29" s="1110"/>
      <c r="I29" s="1110">
        <f>SUM(I5:I28)</f>
        <v>2396.5160146953745</v>
      </c>
      <c r="J29" s="1111">
        <f>((G29/I29)*100)-100</f>
        <v>-5.4471952094368987</v>
      </c>
      <c r="M29" s="693">
        <f>SUM(M5:M28)</f>
        <v>18123692.404000003</v>
      </c>
    </row>
    <row r="31" spans="2:13" x14ac:dyDescent="0.3">
      <c r="B31" s="1896" t="s">
        <v>50</v>
      </c>
      <c r="C31" s="1897"/>
      <c r="D31" s="693">
        <f>+C34+(C34*C40%)</f>
        <v>249.75</v>
      </c>
      <c r="E31" s="995"/>
      <c r="F31" s="995"/>
      <c r="G31" s="995"/>
      <c r="H31" s="1112"/>
      <c r="I31" s="995"/>
      <c r="J31" s="1113"/>
    </row>
    <row r="32" spans="2:13" x14ac:dyDescent="0.3">
      <c r="B32" s="1114" t="s">
        <v>38</v>
      </c>
      <c r="C32" s="1115" t="s">
        <v>921</v>
      </c>
      <c r="D32" s="1076">
        <v>7764</v>
      </c>
    </row>
    <row r="33" spans="2:12" x14ac:dyDescent="0.3">
      <c r="B33" s="996" t="s">
        <v>39</v>
      </c>
      <c r="C33" s="997" t="s">
        <v>922</v>
      </c>
      <c r="H33" s="525"/>
    </row>
    <row r="34" spans="2:12" x14ac:dyDescent="0.3">
      <c r="B34" s="996" t="s">
        <v>40</v>
      </c>
      <c r="C34" s="997">
        <v>225</v>
      </c>
    </row>
    <row r="35" spans="2:12" x14ac:dyDescent="0.3">
      <c r="B35" s="996" t="s">
        <v>41</v>
      </c>
      <c r="C35" s="997">
        <v>0</v>
      </c>
    </row>
    <row r="36" spans="2:12" x14ac:dyDescent="0.3">
      <c r="B36" s="996" t="s">
        <v>42</v>
      </c>
      <c r="C36" s="997">
        <v>6</v>
      </c>
    </row>
    <row r="37" spans="2:12" x14ac:dyDescent="0.3">
      <c r="B37" s="996" t="s">
        <v>43</v>
      </c>
      <c r="C37" s="997">
        <v>2</v>
      </c>
    </row>
    <row r="38" spans="2:12" x14ac:dyDescent="0.3">
      <c r="B38" s="996" t="s">
        <v>44</v>
      </c>
      <c r="C38" s="997">
        <v>1</v>
      </c>
      <c r="J38" s="693" t="s">
        <v>85</v>
      </c>
    </row>
    <row r="39" spans="2:12" x14ac:dyDescent="0.3">
      <c r="B39" s="996" t="s">
        <v>45</v>
      </c>
      <c r="C39" s="997">
        <v>2</v>
      </c>
    </row>
    <row r="40" spans="2:12" x14ac:dyDescent="0.3">
      <c r="B40" s="996" t="s">
        <v>46</v>
      </c>
      <c r="C40" s="997">
        <f>C39+C38+C37+C36</f>
        <v>11</v>
      </c>
    </row>
    <row r="41" spans="2:12" x14ac:dyDescent="0.3">
      <c r="E41" s="1175"/>
      <c r="F41" s="1175"/>
      <c r="H41" s="1112"/>
      <c r="I41" s="995"/>
      <c r="L41" s="527" t="s">
        <v>85</v>
      </c>
    </row>
    <row r="42" spans="2:12" x14ac:dyDescent="0.3">
      <c r="B42" s="1898" t="s">
        <v>47</v>
      </c>
      <c r="C42" s="1899"/>
      <c r="D42" s="1899"/>
      <c r="E42" s="1899"/>
      <c r="F42" s="1899"/>
      <c r="G42" s="1899"/>
      <c r="H42" s="1899"/>
      <c r="I42" s="1899"/>
    </row>
    <row r="43" spans="2:12" s="42" customFormat="1" ht="28.5" x14ac:dyDescent="0.25">
      <c r="B43" s="1050" t="s">
        <v>0</v>
      </c>
      <c r="C43" s="1050" t="s">
        <v>1</v>
      </c>
      <c r="D43" s="961" t="s">
        <v>2</v>
      </c>
      <c r="E43" s="962" t="str">
        <f>+'CIF Y PV'!$F$4</f>
        <v xml:space="preserve">JUN-COP/UMB </v>
      </c>
      <c r="F43" s="962" t="str">
        <f>+'CIF Y PV'!$G$4</f>
        <v>JUN-COP/APP</v>
      </c>
      <c r="G43" s="962" t="str">
        <f>+'CIF Y PV'!$H$4</f>
        <v xml:space="preserve">MAY-COP/UMB </v>
      </c>
      <c r="H43" s="962" t="str">
        <f>+'CIF Y PV'!$I$4</f>
        <v>MAY-COP/APP</v>
      </c>
      <c r="I43" s="969" t="s">
        <v>3</v>
      </c>
      <c r="J43" s="345"/>
    </row>
    <row r="44" spans="2:12" x14ac:dyDescent="0.3">
      <c r="B44" s="563">
        <v>1370008</v>
      </c>
      <c r="C44" s="563" t="s">
        <v>1041</v>
      </c>
      <c r="D44" s="1001">
        <v>0.75600000000000001</v>
      </c>
      <c r="E44" s="582">
        <f>VLOOKUP(B44,[2]Hoja1!$C$2:$E$279,3,FALSE)</f>
        <v>362.7</v>
      </c>
      <c r="F44" s="582">
        <f>E44*D44</f>
        <v>274.20119999999997</v>
      </c>
      <c r="G44" s="582">
        <v>421.65</v>
      </c>
      <c r="H44" s="582">
        <f>G44*D44</f>
        <v>318.76740000000001</v>
      </c>
      <c r="I44" s="571">
        <f>((F44/H44)*100)-100</f>
        <v>-13.980789754535763</v>
      </c>
    </row>
    <row r="45" spans="2:12" x14ac:dyDescent="0.3">
      <c r="B45" s="563">
        <v>1310034</v>
      </c>
      <c r="C45" s="563" t="s">
        <v>924</v>
      </c>
      <c r="D45" s="1001">
        <v>4.7E-2</v>
      </c>
      <c r="E45" s="582">
        <f>VLOOKUP(B45,[2]Hoja1!$C$2:$E$279,3,FALSE)</f>
        <v>771.04</v>
      </c>
      <c r="F45" s="582">
        <f>E45*D45</f>
        <v>36.238880000000002</v>
      </c>
      <c r="G45" s="691">
        <v>748.78</v>
      </c>
      <c r="H45" s="582">
        <f>G45*D45</f>
        <v>35.192659999999997</v>
      </c>
      <c r="I45" s="571">
        <f>((F45/H45)*100)-100</f>
        <v>2.9728358129223551</v>
      </c>
    </row>
    <row r="46" spans="2:12" x14ac:dyDescent="0.3">
      <c r="B46" s="563">
        <v>1320003</v>
      </c>
      <c r="C46" s="563" t="s">
        <v>919</v>
      </c>
      <c r="D46" s="1001">
        <v>4.7E-2</v>
      </c>
      <c r="E46" s="582">
        <f>VLOOKUP(B46,[2]Hoja1!$C$2:$E$279,3,FALSE)</f>
        <v>701.94</v>
      </c>
      <c r="F46" s="582">
        <f>E46*D46</f>
        <v>32.99118</v>
      </c>
      <c r="G46" s="970">
        <v>700.44</v>
      </c>
      <c r="H46" s="582">
        <f>G46*D46</f>
        <v>32.920680000000004</v>
      </c>
      <c r="I46" s="571">
        <f>((F46/H46)*100)-100</f>
        <v>0.21415110501968115</v>
      </c>
    </row>
    <row r="47" spans="2:12" x14ac:dyDescent="0.3">
      <c r="B47" s="563">
        <v>1350013</v>
      </c>
      <c r="C47" s="563" t="s">
        <v>923</v>
      </c>
      <c r="D47" s="1001">
        <v>0.1</v>
      </c>
      <c r="E47" s="582">
        <f>VLOOKUP(B47,[2]Hoja1!$C$2:$E$279,3,FALSE)</f>
        <v>1102</v>
      </c>
      <c r="F47" s="582">
        <f>E47*D47</f>
        <v>110.2</v>
      </c>
      <c r="G47" s="582">
        <v>976</v>
      </c>
      <c r="H47" s="582">
        <f>G47*D47</f>
        <v>97.600000000000009</v>
      </c>
      <c r="I47" s="571">
        <f>((F47/H47)*100)-100</f>
        <v>12.909836065573771</v>
      </c>
    </row>
    <row r="48" spans="2:12" x14ac:dyDescent="0.3">
      <c r="B48" s="999"/>
      <c r="C48" s="999" t="s">
        <v>37</v>
      </c>
      <c r="D48" s="1061"/>
      <c r="E48" s="1000"/>
      <c r="F48" s="1002">
        <f>SUM(F44:F47)</f>
        <v>453.63125999999994</v>
      </c>
      <c r="G48" s="1000"/>
      <c r="H48" s="1000">
        <f>SUM(H44:H47)</f>
        <v>484.48074000000003</v>
      </c>
      <c r="I48" s="1003">
        <f>((F48/H48)*100)-100</f>
        <v>-6.3675348580420632</v>
      </c>
    </row>
    <row r="49" spans="2:11" x14ac:dyDescent="0.3">
      <c r="H49" s="527" t="str">
        <f>+'CIF Y PV'!$G$1</f>
        <v>MAYO</v>
      </c>
      <c r="J49" s="1076"/>
    </row>
    <row r="50" spans="2:11" x14ac:dyDescent="0.3">
      <c r="B50" s="1860" t="s">
        <v>304</v>
      </c>
      <c r="C50" s="1860"/>
      <c r="E50" s="1005"/>
      <c r="F50" s="1005"/>
      <c r="G50" s="1005"/>
      <c r="H50" s="1005">
        <f>+F48+G29</f>
        <v>2719.6043691495001</v>
      </c>
      <c r="I50" s="180"/>
      <c r="J50" s="1005"/>
      <c r="K50" s="180"/>
    </row>
    <row r="51" spans="2:11" x14ac:dyDescent="0.3">
      <c r="B51" s="1892" t="s">
        <v>48</v>
      </c>
      <c r="C51" s="1893"/>
      <c r="E51" s="1005"/>
      <c r="F51" s="1005"/>
      <c r="G51" s="1005"/>
      <c r="H51" s="1005">
        <f>+('CIF Y PV'!C3/1000)*225</f>
        <v>425.25</v>
      </c>
      <c r="J51" s="1005"/>
    </row>
    <row r="52" spans="2:11" x14ac:dyDescent="0.3">
      <c r="B52" s="1892" t="s">
        <v>197</v>
      </c>
      <c r="C52" s="1893"/>
      <c r="E52" s="1005"/>
      <c r="F52" s="1005"/>
      <c r="G52" s="1005"/>
      <c r="H52" s="1005">
        <f>+H51+H50</f>
        <v>3144.8543691495001</v>
      </c>
      <c r="I52" s="1116"/>
      <c r="J52" s="1005"/>
      <c r="K52" s="1116"/>
    </row>
    <row r="53" spans="2:11" x14ac:dyDescent="0.3">
      <c r="B53" s="1860" t="s">
        <v>49</v>
      </c>
      <c r="C53" s="1860"/>
      <c r="E53" s="1005"/>
      <c r="F53" s="1005"/>
      <c r="G53" s="1005"/>
      <c r="H53" s="1117">
        <f>'CIF Y PV'!C8</f>
        <v>4633</v>
      </c>
      <c r="J53" s="1118"/>
      <c r="K53" s="1119"/>
    </row>
    <row r="54" spans="2:11" ht="14.45" customHeight="1" x14ac:dyDescent="0.3">
      <c r="B54" s="1860" t="s">
        <v>805</v>
      </c>
      <c r="C54" s="1860"/>
      <c r="E54" s="1005"/>
      <c r="F54" s="1005"/>
      <c r="G54" s="1005"/>
      <c r="H54" s="1119">
        <f>+(H53-H52)/H53</f>
        <v>0.32120561857338653</v>
      </c>
      <c r="I54" s="1120"/>
      <c r="J54" s="1121"/>
      <c r="K54" s="1120"/>
    </row>
    <row r="55" spans="2:11" x14ac:dyDescent="0.3">
      <c r="H55" s="1121"/>
      <c r="I55" s="1007"/>
      <c r="J55" s="1122"/>
      <c r="K55" s="1007"/>
    </row>
  </sheetData>
  <mergeCells count="9">
    <mergeCell ref="B52:C52"/>
    <mergeCell ref="B53:C53"/>
    <mergeCell ref="B54:C54"/>
    <mergeCell ref="B2:J2"/>
    <mergeCell ref="B29:C29"/>
    <mergeCell ref="B31:C31"/>
    <mergeCell ref="B42:I42"/>
    <mergeCell ref="B50:C50"/>
    <mergeCell ref="B51:C51"/>
  </mergeCells>
  <pageMargins left="0.7" right="0.7" top="0.75" bottom="0.75" header="0.3" footer="0.3"/>
  <pageSetup scale="40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7106-AEE4-47FF-8E03-41EE891E3D2A}">
  <sheetPr codeName="Hoja125"/>
  <dimension ref="B2:M48"/>
  <sheetViews>
    <sheetView view="pageBreakPreview" topLeftCell="A3" zoomScale="90" zoomScaleNormal="100" zoomScaleSheetLayoutView="90" workbookViewId="0">
      <selection activeCell="F21" sqref="F21"/>
    </sheetView>
  </sheetViews>
  <sheetFormatPr baseColWidth="10" defaultColWidth="11.5703125" defaultRowHeight="16.5" x14ac:dyDescent="0.3"/>
  <cols>
    <col min="1" max="1" width="5" style="527" customWidth="1"/>
    <col min="2" max="2" width="12.42578125" style="527" customWidth="1"/>
    <col min="3" max="3" width="67.42578125" style="527" bestFit="1" customWidth="1"/>
    <col min="4" max="4" width="11.5703125" style="525"/>
    <col min="5" max="5" width="11.5703125" style="527"/>
    <col min="6" max="6" width="16.28515625" style="527" customWidth="1"/>
    <col min="7" max="7" width="11.5703125" style="527"/>
    <col min="8" max="8" width="15.28515625" style="1076" customWidth="1"/>
    <col min="9" max="9" width="14.42578125" style="527" bestFit="1" customWidth="1"/>
    <col min="10" max="10" width="14" style="693" customWidth="1"/>
    <col min="11" max="12" width="11.5703125" style="527"/>
    <col min="13" max="13" width="21.7109375" style="527" customWidth="1"/>
    <col min="14" max="16384" width="11.5703125" style="527"/>
  </cols>
  <sheetData>
    <row r="2" spans="2:13" ht="20.25" x14ac:dyDescent="0.3">
      <c r="B2" s="1900" t="s">
        <v>1259</v>
      </c>
      <c r="C2" s="1900"/>
      <c r="D2" s="1900"/>
      <c r="E2" s="1900"/>
      <c r="F2" s="1900"/>
      <c r="G2" s="1900"/>
      <c r="H2" s="1900"/>
      <c r="I2" s="1900"/>
      <c r="J2" s="1900"/>
    </row>
    <row r="4" spans="2:13" s="42" customFormat="1" ht="28.5" x14ac:dyDescent="0.25">
      <c r="B4" s="516" t="s">
        <v>0</v>
      </c>
      <c r="C4" s="516" t="s">
        <v>1</v>
      </c>
      <c r="D4" s="517" t="s">
        <v>2</v>
      </c>
      <c r="E4" s="516" t="s">
        <v>3</v>
      </c>
      <c r="F4" s="962" t="str">
        <f>+'CIF Y PV'!$F$2</f>
        <v xml:space="preserve">JUN-COP/Kg </v>
      </c>
      <c r="G4" s="962" t="str">
        <f>+'CIF Y PV'!$G$2</f>
        <v>JUN-COP/APP</v>
      </c>
      <c r="H4" s="962" t="str">
        <f>+'CIF Y PV'!$H$2</f>
        <v xml:space="preserve">MAY-COP/Kg </v>
      </c>
      <c r="I4" s="962" t="str">
        <f>+'CIF Y PV'!$I$2</f>
        <v>MAY-COP/APP</v>
      </c>
      <c r="J4" s="1104" t="s">
        <v>3</v>
      </c>
      <c r="K4" s="42">
        <f>+D24/1000</f>
        <v>0.24975</v>
      </c>
      <c r="L4" s="42">
        <v>2000</v>
      </c>
    </row>
    <row r="5" spans="2:13" ht="17.25" x14ac:dyDescent="0.3">
      <c r="B5" s="1179">
        <v>1122001</v>
      </c>
      <c r="C5" s="1180" t="s">
        <v>1030</v>
      </c>
      <c r="D5" s="532">
        <v>9.6778125000000007E-2</v>
      </c>
      <c r="E5" s="561">
        <v>38.75</v>
      </c>
      <c r="F5" s="982">
        <f>VLOOKUP(B5,[2]Hoja1!$C$2:$E$279,3,FALSE)</f>
        <v>11506.13</v>
      </c>
      <c r="G5" s="1105">
        <f>F5*D5</f>
        <v>1113.54168740625</v>
      </c>
      <c r="H5" s="982"/>
      <c r="I5" s="73">
        <f>H5*D5</f>
        <v>0</v>
      </c>
      <c r="J5" s="562" t="e">
        <f>((F5/H5)*100)-100</f>
        <v>#DIV/0!</v>
      </c>
      <c r="K5" s="525">
        <f>$K$4*E5%</f>
        <v>9.6778125000000007E-2</v>
      </c>
      <c r="L5" s="1174">
        <f>$L$4*E5%</f>
        <v>775</v>
      </c>
      <c r="M5" s="526">
        <f>L5*F5</f>
        <v>8917250.75</v>
      </c>
    </row>
    <row r="6" spans="2:13" ht="17.25" x14ac:dyDescent="0.3">
      <c r="B6" s="1179">
        <v>1122008</v>
      </c>
      <c r="C6" s="1180" t="s">
        <v>1028</v>
      </c>
      <c r="D6" s="532">
        <v>2.1728249999999998E-2</v>
      </c>
      <c r="E6" s="561">
        <v>8.6999999999999993</v>
      </c>
      <c r="F6" s="982">
        <f>VLOOKUP(B6,[2]Hoja1!$C$2:$E$279,3,FALSE)</f>
        <v>12059.2</v>
      </c>
      <c r="G6" s="1105">
        <f t="shared" ref="G6:G21" si="0">F6*D6</f>
        <v>262.02531239999996</v>
      </c>
      <c r="H6" s="982"/>
      <c r="I6" s="73">
        <f t="shared" ref="I6:I21" si="1">H6*D6</f>
        <v>0</v>
      </c>
      <c r="J6" s="562" t="e">
        <f t="shared" ref="J6:J21" si="2">((F6/H6)*100)-100</f>
        <v>#DIV/0!</v>
      </c>
      <c r="K6" s="525">
        <f t="shared" ref="K6:K21" si="3">$K$4*E6%</f>
        <v>2.1728249999999998E-2</v>
      </c>
      <c r="L6" s="1174">
        <f t="shared" ref="L6:L21" si="4">$L$4*E6%</f>
        <v>174</v>
      </c>
      <c r="M6" s="526">
        <f t="shared" ref="M6:M10" si="5">L6*F6</f>
        <v>2098300.8000000003</v>
      </c>
    </row>
    <row r="7" spans="2:13" ht="17.25" x14ac:dyDescent="0.3">
      <c r="B7" s="1179">
        <v>1131002</v>
      </c>
      <c r="C7" s="1180" t="s">
        <v>663</v>
      </c>
      <c r="D7" s="532">
        <v>7.6573349999999998E-2</v>
      </c>
      <c r="E7" s="561">
        <v>30.66</v>
      </c>
      <c r="F7" s="982">
        <f>VLOOKUP(B7,[2]Hoja1!$C$2:$E$279,3,FALSE)</f>
        <v>0</v>
      </c>
      <c r="G7" s="1105">
        <f t="shared" si="0"/>
        <v>0</v>
      </c>
      <c r="H7" s="983"/>
      <c r="I7" s="73">
        <f t="shared" si="1"/>
        <v>0</v>
      </c>
      <c r="J7" s="562" t="e">
        <f t="shared" si="2"/>
        <v>#DIV/0!</v>
      </c>
      <c r="K7" s="525">
        <f t="shared" si="3"/>
        <v>7.6573349999999998E-2</v>
      </c>
      <c r="L7" s="1174">
        <f t="shared" si="4"/>
        <v>613.19999999999993</v>
      </c>
      <c r="M7" s="526">
        <f t="shared" si="5"/>
        <v>0</v>
      </c>
    </row>
    <row r="8" spans="2:13" ht="17.25" x14ac:dyDescent="0.3">
      <c r="B8" s="1179">
        <v>1230024</v>
      </c>
      <c r="C8" s="1181" t="s">
        <v>1286</v>
      </c>
      <c r="D8" s="532">
        <v>1.2487500000000001E-3</v>
      </c>
      <c r="E8" s="561">
        <v>0.5</v>
      </c>
      <c r="F8" s="982">
        <f>VLOOKUP(B8,[2]Hoja1!$C$2:$E$279,3,FALSE)</f>
        <v>68600</v>
      </c>
      <c r="G8" s="1105">
        <f t="shared" si="0"/>
        <v>85.66425000000001</v>
      </c>
      <c r="H8" s="1092"/>
      <c r="I8" s="73">
        <f t="shared" si="1"/>
        <v>0</v>
      </c>
      <c r="J8" s="562" t="e">
        <f>((F8/H8)*100)-100</f>
        <v>#DIV/0!</v>
      </c>
      <c r="K8" s="525">
        <f>$K$4*E8%</f>
        <v>1.2487500000000001E-3</v>
      </c>
      <c r="L8" s="1174">
        <f t="shared" si="4"/>
        <v>10</v>
      </c>
      <c r="M8" s="526">
        <f t="shared" si="5"/>
        <v>686000</v>
      </c>
    </row>
    <row r="9" spans="2:13" ht="17.25" x14ac:dyDescent="0.3">
      <c r="B9" s="1179">
        <v>1210005</v>
      </c>
      <c r="C9" s="1711" t="s">
        <v>1155</v>
      </c>
      <c r="D9" s="532">
        <v>1.723275E-3</v>
      </c>
      <c r="E9" s="561">
        <v>0.69</v>
      </c>
      <c r="F9" s="982">
        <f>VLOOKUP(B9,[2]Hoja1!$C$2:$E$279,3,FALSE)</f>
        <v>1356</v>
      </c>
      <c r="G9" s="1105"/>
      <c r="H9" s="1092"/>
      <c r="I9" s="73"/>
      <c r="J9" s="562"/>
      <c r="K9" s="525">
        <f>$K$4*E9%</f>
        <v>1.723275E-3</v>
      </c>
      <c r="L9" s="1174">
        <f t="shared" si="4"/>
        <v>13.799999999999999</v>
      </c>
      <c r="M9" s="526"/>
    </row>
    <row r="10" spans="2:13" ht="17.25" x14ac:dyDescent="0.3">
      <c r="B10" s="1179">
        <v>1210010</v>
      </c>
      <c r="C10" s="1180" t="s">
        <v>1351</v>
      </c>
      <c r="D10" s="532">
        <v>1.143855E-3</v>
      </c>
      <c r="E10" s="561">
        <v>0.45800000000000002</v>
      </c>
      <c r="F10" s="982">
        <f>VLOOKUP(B10,[2]Hoja1!$C$2:$E$279,3,FALSE)</f>
        <v>11600</v>
      </c>
      <c r="G10" s="1105">
        <f t="shared" si="0"/>
        <v>13.268718</v>
      </c>
      <c r="H10" s="70"/>
      <c r="I10" s="73">
        <f t="shared" si="1"/>
        <v>0</v>
      </c>
      <c r="J10" s="562" t="e">
        <f t="shared" si="2"/>
        <v>#DIV/0!</v>
      </c>
      <c r="K10" s="525">
        <f t="shared" si="3"/>
        <v>1.143855E-3</v>
      </c>
      <c r="L10" s="1174">
        <f t="shared" si="4"/>
        <v>9.16</v>
      </c>
      <c r="M10" s="526">
        <f t="shared" si="5"/>
        <v>106256</v>
      </c>
    </row>
    <row r="11" spans="2:13" ht="17.25" x14ac:dyDescent="0.3">
      <c r="B11" s="1179">
        <v>1210004</v>
      </c>
      <c r="C11" s="1180" t="s">
        <v>1131</v>
      </c>
      <c r="D11" s="532">
        <v>3.9960000000000001E-4</v>
      </c>
      <c r="E11" s="561">
        <v>0.16</v>
      </c>
      <c r="F11" s="982">
        <f>VLOOKUP(B11,[2]Hoja1!$C$2:$E$279,3,FALSE)</f>
        <v>3841</v>
      </c>
      <c r="G11" s="1105">
        <f t="shared" si="0"/>
        <v>1.5348636</v>
      </c>
      <c r="H11" s="1091"/>
      <c r="I11" s="73"/>
      <c r="J11" s="562"/>
      <c r="K11" s="525">
        <f t="shared" si="3"/>
        <v>3.9960000000000001E-4</v>
      </c>
      <c r="L11" s="1174">
        <f t="shared" si="4"/>
        <v>3.2</v>
      </c>
      <c r="M11" s="526">
        <f>L11*F11</f>
        <v>12291.2</v>
      </c>
    </row>
    <row r="12" spans="2:13" ht="17.25" x14ac:dyDescent="0.3">
      <c r="B12" s="1179">
        <v>1141001</v>
      </c>
      <c r="C12" s="1180" t="s">
        <v>908</v>
      </c>
      <c r="D12" s="532">
        <v>8.941049999999999E-3</v>
      </c>
      <c r="E12" s="561">
        <v>3.58</v>
      </c>
      <c r="F12" s="982">
        <f>VLOOKUP(B12,[2]Hoja1!$C$2:$E$279,3,FALSE)</f>
        <v>15597.29</v>
      </c>
      <c r="G12" s="1105">
        <f t="shared" si="0"/>
        <v>139.45614975449999</v>
      </c>
      <c r="H12" s="965"/>
      <c r="I12" s="73">
        <f t="shared" si="1"/>
        <v>0</v>
      </c>
      <c r="J12" s="562" t="e">
        <f t="shared" si="2"/>
        <v>#DIV/0!</v>
      </c>
      <c r="K12" s="525">
        <f t="shared" si="3"/>
        <v>8.941049999999999E-3</v>
      </c>
      <c r="L12" s="1174">
        <f t="shared" si="4"/>
        <v>71.599999999999994</v>
      </c>
      <c r="M12" s="526">
        <f t="shared" ref="M12:M21" si="6">L12*F12</f>
        <v>1116765.9639999999</v>
      </c>
    </row>
    <row r="13" spans="2:13" ht="17.25" x14ac:dyDescent="0.3">
      <c r="B13" s="1179">
        <v>1230012</v>
      </c>
      <c r="C13" s="1180" t="s">
        <v>798</v>
      </c>
      <c r="D13" s="532">
        <v>1.2487500000000001E-3</v>
      </c>
      <c r="E13" s="561">
        <v>0.5</v>
      </c>
      <c r="F13" s="982">
        <f>VLOOKUP(B13,[2]Hoja1!$C$2:$E$279,3,FALSE)</f>
        <v>31314.19</v>
      </c>
      <c r="G13" s="1105">
        <f t="shared" si="0"/>
        <v>39.103594762500002</v>
      </c>
      <c r="H13" s="965"/>
      <c r="I13" s="73">
        <f t="shared" si="1"/>
        <v>0</v>
      </c>
      <c r="J13" s="562" t="e">
        <f t="shared" si="2"/>
        <v>#DIV/0!</v>
      </c>
      <c r="K13" s="525">
        <f t="shared" si="3"/>
        <v>1.2487500000000001E-3</v>
      </c>
      <c r="L13" s="1174">
        <f t="shared" si="4"/>
        <v>10</v>
      </c>
      <c r="M13" s="526">
        <f t="shared" si="6"/>
        <v>313141.89999999997</v>
      </c>
    </row>
    <row r="14" spans="2:13" ht="17.25" x14ac:dyDescent="0.3">
      <c r="B14" s="1179">
        <v>1270009</v>
      </c>
      <c r="C14" s="1180" t="s">
        <v>1225</v>
      </c>
      <c r="D14" s="532">
        <v>1.2487500000000001E-4</v>
      </c>
      <c r="E14" s="561">
        <v>0.05</v>
      </c>
      <c r="F14" s="982">
        <f>VLOOKUP(B14,[2]Hoja1!$C$2:$E$279,3,FALSE)</f>
        <v>57046.53</v>
      </c>
      <c r="G14" s="1105">
        <f t="shared" si="0"/>
        <v>7.1236854337500004</v>
      </c>
      <c r="H14" s="964"/>
      <c r="I14" s="73">
        <f t="shared" si="1"/>
        <v>0</v>
      </c>
      <c r="J14" s="562" t="e">
        <f t="shared" si="2"/>
        <v>#DIV/0!</v>
      </c>
      <c r="K14" s="525">
        <f t="shared" si="3"/>
        <v>1.2487500000000001E-4</v>
      </c>
      <c r="L14" s="1174">
        <f t="shared" si="4"/>
        <v>1</v>
      </c>
      <c r="M14" s="526">
        <f t="shared" si="6"/>
        <v>57046.53</v>
      </c>
    </row>
    <row r="15" spans="2:13" ht="17.25" x14ac:dyDescent="0.3">
      <c r="B15" s="1179">
        <v>1220014</v>
      </c>
      <c r="C15" s="1180" t="s">
        <v>1146</v>
      </c>
      <c r="D15" s="532">
        <v>2.9970000000000001E-3</v>
      </c>
      <c r="E15" s="561">
        <v>1.2</v>
      </c>
      <c r="F15" s="982">
        <f>VLOOKUP(B15,[2]Hoja1!$C$2:$E$279,3,FALSE)</f>
        <v>14060</v>
      </c>
      <c r="G15" s="1105">
        <f t="shared" si="0"/>
        <v>42.137819999999998</v>
      </c>
      <c r="H15" s="965"/>
      <c r="I15" s="73">
        <f t="shared" si="1"/>
        <v>0</v>
      </c>
      <c r="J15" s="562" t="e">
        <f t="shared" si="2"/>
        <v>#DIV/0!</v>
      </c>
      <c r="K15" s="525">
        <f t="shared" si="3"/>
        <v>2.9970000000000001E-3</v>
      </c>
      <c r="L15" s="1174">
        <f t="shared" si="4"/>
        <v>24</v>
      </c>
      <c r="M15" s="526">
        <f t="shared" si="6"/>
        <v>337440</v>
      </c>
    </row>
    <row r="16" spans="2:13" ht="17.25" x14ac:dyDescent="0.3">
      <c r="B16" s="1179">
        <v>1210002</v>
      </c>
      <c r="C16" s="1180" t="s">
        <v>1033</v>
      </c>
      <c r="D16" s="532">
        <v>9.990000000000001E-4</v>
      </c>
      <c r="E16" s="561">
        <v>0.4</v>
      </c>
      <c r="F16" s="982">
        <f>VLOOKUP(B16,[2]Hoja1!$C$2:$E$279,3,FALSE)</f>
        <v>12886</v>
      </c>
      <c r="G16" s="1105">
        <f t="shared" si="0"/>
        <v>12.873114000000001</v>
      </c>
      <c r="H16" s="1106"/>
      <c r="I16" s="73">
        <f t="shared" si="1"/>
        <v>0</v>
      </c>
      <c r="J16" s="562" t="e">
        <f t="shared" si="2"/>
        <v>#DIV/0!</v>
      </c>
      <c r="K16" s="525">
        <f t="shared" si="3"/>
        <v>9.990000000000001E-4</v>
      </c>
      <c r="L16" s="1174">
        <f t="shared" si="4"/>
        <v>8</v>
      </c>
      <c r="M16" s="526">
        <f t="shared" si="6"/>
        <v>103088</v>
      </c>
    </row>
    <row r="17" spans="2:13" ht="17.25" x14ac:dyDescent="0.3">
      <c r="B17" s="1179">
        <v>1260010</v>
      </c>
      <c r="C17" s="1180" t="s">
        <v>1043</v>
      </c>
      <c r="D17" s="532">
        <v>2.4975000000000002E-3</v>
      </c>
      <c r="E17" s="561">
        <v>1</v>
      </c>
      <c r="F17" s="982">
        <f>VLOOKUP(B17,[2]Hoja1!$C$2:$E$279,3,FALSE)</f>
        <v>6959.71</v>
      </c>
      <c r="G17" s="1105">
        <f t="shared" si="0"/>
        <v>17.381875725</v>
      </c>
      <c r="H17" s="1106"/>
      <c r="I17" s="73">
        <f t="shared" si="1"/>
        <v>0</v>
      </c>
      <c r="J17" s="562" t="e">
        <f t="shared" si="2"/>
        <v>#DIV/0!</v>
      </c>
      <c r="K17" s="525">
        <f t="shared" si="3"/>
        <v>2.4975000000000002E-3</v>
      </c>
      <c r="L17" s="1174">
        <f t="shared" si="4"/>
        <v>20</v>
      </c>
      <c r="M17" s="526">
        <f t="shared" si="6"/>
        <v>139194.20000000001</v>
      </c>
    </row>
    <row r="18" spans="2:13" ht="17.25" x14ac:dyDescent="0.3">
      <c r="B18" s="1179">
        <v>1121009</v>
      </c>
      <c r="C18" s="1180" t="s">
        <v>1071</v>
      </c>
      <c r="D18" s="532">
        <v>2.997E-2</v>
      </c>
      <c r="E18" s="561">
        <v>12</v>
      </c>
      <c r="F18" s="982">
        <f>VLOOKUP(B18,[2]Hoja1!$C$2:$E$279,3,FALSE)</f>
        <v>8741.6200000000008</v>
      </c>
      <c r="G18" s="1105">
        <f t="shared" si="0"/>
        <v>261.98635140000005</v>
      </c>
      <c r="H18" s="1106"/>
      <c r="I18" s="73">
        <f t="shared" si="1"/>
        <v>0</v>
      </c>
      <c r="J18" s="562" t="e">
        <f t="shared" si="2"/>
        <v>#DIV/0!</v>
      </c>
      <c r="K18" s="525">
        <f t="shared" si="3"/>
        <v>2.997E-2</v>
      </c>
      <c r="L18" s="1174">
        <f t="shared" si="4"/>
        <v>240</v>
      </c>
      <c r="M18" s="526">
        <f t="shared" si="6"/>
        <v>2097988.8000000003</v>
      </c>
    </row>
    <row r="19" spans="2:13" ht="17.25" x14ac:dyDescent="0.3">
      <c r="B19" s="1179">
        <v>1210003</v>
      </c>
      <c r="C19" s="1180" t="s">
        <v>1143</v>
      </c>
      <c r="D19" s="532">
        <v>1.2487500000000001E-4</v>
      </c>
      <c r="E19" s="561">
        <v>0.05</v>
      </c>
      <c r="F19" s="982">
        <f>VLOOKUP(B19,[2]Hoja1!$C$2:$E$279,3,FALSE)</f>
        <v>16235.45</v>
      </c>
      <c r="G19" s="1105">
        <f t="shared" si="0"/>
        <v>2.0274018187500005</v>
      </c>
      <c r="H19" s="1106"/>
      <c r="I19" s="73">
        <f t="shared" si="1"/>
        <v>0</v>
      </c>
      <c r="J19" s="562" t="e">
        <f t="shared" si="2"/>
        <v>#DIV/0!</v>
      </c>
      <c r="K19" s="525">
        <f t="shared" si="3"/>
        <v>1.2487500000000001E-4</v>
      </c>
      <c r="L19" s="1174">
        <f t="shared" si="4"/>
        <v>1</v>
      </c>
      <c r="M19" s="526">
        <f t="shared" si="6"/>
        <v>16235.45</v>
      </c>
    </row>
    <row r="20" spans="2:13" ht="17.25" x14ac:dyDescent="0.3">
      <c r="B20" s="1179">
        <v>1240007</v>
      </c>
      <c r="C20" s="1180" t="s">
        <v>1352</v>
      </c>
      <c r="D20" s="532">
        <v>1.2487500000000001E-3</v>
      </c>
      <c r="E20" s="561">
        <v>0.5</v>
      </c>
      <c r="F20" s="982">
        <f>VLOOKUP(B20,[2]Hoja1!$C$2:$E$279,3,FALSE)</f>
        <v>25921.42</v>
      </c>
      <c r="G20" s="1105">
        <f t="shared" si="0"/>
        <v>32.369373224999997</v>
      </c>
      <c r="H20" s="533"/>
      <c r="I20" s="73">
        <f t="shared" si="1"/>
        <v>0</v>
      </c>
      <c r="J20" s="562" t="e">
        <f t="shared" si="2"/>
        <v>#DIV/0!</v>
      </c>
      <c r="K20" s="525">
        <f t="shared" si="3"/>
        <v>1.2487500000000001E-3</v>
      </c>
      <c r="L20" s="1174">
        <f t="shared" si="4"/>
        <v>10</v>
      </c>
      <c r="M20" s="526">
        <f t="shared" si="6"/>
        <v>259214.19999999998</v>
      </c>
    </row>
    <row r="21" spans="2:13" ht="17.25" x14ac:dyDescent="0.3">
      <c r="B21" s="1179">
        <v>1260005</v>
      </c>
      <c r="C21" s="1180" t="s">
        <v>811</v>
      </c>
      <c r="D21" s="532">
        <v>2.4975000000000002E-3</v>
      </c>
      <c r="E21" s="561">
        <v>1</v>
      </c>
      <c r="F21" s="982">
        <f>VLOOKUP(B21,[2]Hoja1!$C$2:$E$279,3,FALSE)</f>
        <v>26429</v>
      </c>
      <c r="G21" s="1105">
        <f t="shared" si="0"/>
        <v>66.006427500000001</v>
      </c>
      <c r="H21" s="965"/>
      <c r="I21" s="73">
        <f t="shared" si="1"/>
        <v>0</v>
      </c>
      <c r="J21" s="562" t="e">
        <f t="shared" si="2"/>
        <v>#DIV/0!</v>
      </c>
      <c r="K21" s="525">
        <f t="shared" si="3"/>
        <v>2.4975000000000002E-3</v>
      </c>
      <c r="L21" s="1174">
        <f t="shared" si="4"/>
        <v>20</v>
      </c>
      <c r="M21" s="526">
        <f t="shared" si="6"/>
        <v>528580</v>
      </c>
    </row>
    <row r="22" spans="2:13" s="693" customFormat="1" x14ac:dyDescent="0.3">
      <c r="B22" s="1895" t="s">
        <v>37</v>
      </c>
      <c r="C22" s="1895"/>
      <c r="D22" s="1108">
        <f>SUM(D5:D21)</f>
        <v>0.25024450499999995</v>
      </c>
      <c r="E22" s="1600">
        <f>SUM(E5:E21)</f>
        <v>100.19799999999999</v>
      </c>
      <c r="F22" s="1109"/>
      <c r="G22" s="1110">
        <f>SUM(G5:G21)</f>
        <v>2096.5006250257502</v>
      </c>
      <c r="H22" s="1110"/>
      <c r="I22" s="1110">
        <f>SUM(I5:I21)</f>
        <v>0</v>
      </c>
      <c r="J22" s="1111" t="e">
        <f>((G22/I22)*100)-100</f>
        <v>#DIV/0!</v>
      </c>
      <c r="M22" s="693">
        <f>SUM(M5:M21)</f>
        <v>16788793.794</v>
      </c>
    </row>
    <row r="24" spans="2:13" x14ac:dyDescent="0.3">
      <c r="B24" s="1896" t="s">
        <v>50</v>
      </c>
      <c r="C24" s="1897"/>
      <c r="D24" s="693">
        <f>+C27+(C27*C33%)</f>
        <v>249.75</v>
      </c>
      <c r="E24" s="995"/>
      <c r="F24" s="995"/>
      <c r="G24" s="995"/>
      <c r="H24" s="1112"/>
      <c r="I24" s="995"/>
      <c r="J24" s="1113"/>
    </row>
    <row r="25" spans="2:13" x14ac:dyDescent="0.3">
      <c r="B25" s="1114" t="s">
        <v>38</v>
      </c>
      <c r="C25" s="1115" t="s">
        <v>921</v>
      </c>
    </row>
    <row r="26" spans="2:13" x14ac:dyDescent="0.3">
      <c r="B26" s="996" t="s">
        <v>39</v>
      </c>
      <c r="C26" s="997" t="s">
        <v>970</v>
      </c>
      <c r="H26" s="525"/>
    </row>
    <row r="27" spans="2:13" x14ac:dyDescent="0.3">
      <c r="B27" s="996" t="s">
        <v>40</v>
      </c>
      <c r="C27" s="997">
        <v>225</v>
      </c>
    </row>
    <row r="28" spans="2:13" x14ac:dyDescent="0.3">
      <c r="B28" s="996" t="s">
        <v>41</v>
      </c>
      <c r="C28" s="997">
        <v>0</v>
      </c>
    </row>
    <row r="29" spans="2:13" x14ac:dyDescent="0.3">
      <c r="B29" s="996" t="s">
        <v>42</v>
      </c>
      <c r="C29" s="997">
        <v>6</v>
      </c>
    </row>
    <row r="30" spans="2:13" x14ac:dyDescent="0.3">
      <c r="B30" s="996" t="s">
        <v>43</v>
      </c>
      <c r="C30" s="997">
        <v>2</v>
      </c>
    </row>
    <row r="31" spans="2:13" x14ac:dyDescent="0.3">
      <c r="B31" s="996" t="s">
        <v>44</v>
      </c>
      <c r="C31" s="997">
        <v>1</v>
      </c>
      <c r="J31" s="693" t="s">
        <v>85</v>
      </c>
    </row>
    <row r="32" spans="2:13" x14ac:dyDescent="0.3">
      <c r="B32" s="996" t="s">
        <v>45</v>
      </c>
      <c r="C32" s="997">
        <v>2</v>
      </c>
    </row>
    <row r="33" spans="2:12" x14ac:dyDescent="0.3">
      <c r="B33" s="996" t="s">
        <v>46</v>
      </c>
      <c r="C33" s="997">
        <f>C32+C31+C30+C29</f>
        <v>11</v>
      </c>
    </row>
    <row r="34" spans="2:12" x14ac:dyDescent="0.3">
      <c r="E34" s="1219">
        <v>0.15129999999999999</v>
      </c>
      <c r="F34" s="527">
        <f>E34*5</f>
        <v>0.75649999999999995</v>
      </c>
      <c r="H34" s="1112"/>
      <c r="I34" s="995"/>
      <c r="L34" s="527" t="s">
        <v>85</v>
      </c>
    </row>
    <row r="35" spans="2:12" x14ac:dyDescent="0.3">
      <c r="B35" s="1898" t="s">
        <v>47</v>
      </c>
      <c r="C35" s="1899"/>
      <c r="D35" s="1899"/>
      <c r="E35" s="1899"/>
      <c r="F35" s="1899"/>
      <c r="G35" s="1899"/>
      <c r="H35" s="1899"/>
      <c r="I35" s="1899"/>
    </row>
    <row r="36" spans="2:12" s="42" customFormat="1" ht="28.5" x14ac:dyDescent="0.25">
      <c r="B36" s="1050" t="s">
        <v>0</v>
      </c>
      <c r="C36" s="1050" t="s">
        <v>1</v>
      </c>
      <c r="D36" s="961" t="s">
        <v>2</v>
      </c>
      <c r="E36" s="962" t="str">
        <f>+'CIF Y PV'!$F$4</f>
        <v xml:space="preserve">JUN-COP/UMB </v>
      </c>
      <c r="F36" s="962" t="str">
        <f>+'CIF Y PV'!$G$4</f>
        <v>JUN-COP/APP</v>
      </c>
      <c r="G36" s="962" t="str">
        <f>+'CIF Y PV'!$H$4</f>
        <v xml:space="preserve">MAY-COP/UMB </v>
      </c>
      <c r="H36" s="962" t="str">
        <f>+'CIF Y PV'!$I$4</f>
        <v>MAY-COP/APP</v>
      </c>
      <c r="I36" s="969" t="s">
        <v>3</v>
      </c>
      <c r="J36" s="345"/>
    </row>
    <row r="37" spans="2:12" x14ac:dyDescent="0.3">
      <c r="B37" s="563">
        <v>1370008</v>
      </c>
      <c r="C37" s="563" t="s">
        <v>1041</v>
      </c>
      <c r="D37" s="1001">
        <v>0.75600000000000001</v>
      </c>
      <c r="E37" s="582">
        <f>VLOOKUP(B37,[2]Hoja1!$C$2:$E$279,3,FALSE)</f>
        <v>362.7</v>
      </c>
      <c r="F37" s="582">
        <f>E37*D37</f>
        <v>274.20119999999997</v>
      </c>
      <c r="G37" s="582">
        <v>421.65</v>
      </c>
      <c r="H37" s="582">
        <f>G37*D37</f>
        <v>318.76740000000001</v>
      </c>
      <c r="I37" s="571">
        <f>((F37/H37)*100)-100</f>
        <v>-13.980789754535763</v>
      </c>
    </row>
    <row r="38" spans="2:12" x14ac:dyDescent="0.3">
      <c r="B38" s="563">
        <v>1310049</v>
      </c>
      <c r="C38" s="1591" t="s">
        <v>1045</v>
      </c>
      <c r="D38" s="1001">
        <v>4.7E-2</v>
      </c>
      <c r="E38" s="582">
        <f>VLOOKUP(B38,[2]Hoja1!$C$2:$E$279,3,FALSE)</f>
        <v>889</v>
      </c>
      <c r="F38" s="582">
        <f>E38*D38</f>
        <v>41.783000000000001</v>
      </c>
      <c r="G38" s="691">
        <v>748.01</v>
      </c>
      <c r="H38" s="582">
        <f>G38*D38</f>
        <v>35.156469999999999</v>
      </c>
      <c r="I38" s="571">
        <f>((F38/H38)*100)-100</f>
        <v>18.848678493603032</v>
      </c>
    </row>
    <row r="39" spans="2:12" x14ac:dyDescent="0.3">
      <c r="B39" s="563">
        <v>1320003</v>
      </c>
      <c r="C39" s="563" t="s">
        <v>919</v>
      </c>
      <c r="D39" s="1001">
        <v>4.7E-2</v>
      </c>
      <c r="E39" s="582">
        <f>VLOOKUP(B39,[2]Hoja1!$C$2:$E$279,3,FALSE)</f>
        <v>701.94</v>
      </c>
      <c r="F39" s="582">
        <f>E39*D39</f>
        <v>32.99118</v>
      </c>
      <c r="G39" s="970">
        <v>700.44</v>
      </c>
      <c r="H39" s="582">
        <f>G39*D39</f>
        <v>32.920680000000004</v>
      </c>
      <c r="I39" s="571">
        <f>((F39/H39)*100)-100</f>
        <v>0.21415110501968115</v>
      </c>
    </row>
    <row r="40" spans="2:12" x14ac:dyDescent="0.3">
      <c r="B40" s="563">
        <v>1350020</v>
      </c>
      <c r="C40" s="1592" t="s">
        <v>1366</v>
      </c>
      <c r="D40" s="1001">
        <v>0.1</v>
      </c>
      <c r="E40" s="582">
        <f>VLOOKUP(B40,[2]Hoja1!$C$2:$E$279,3,FALSE)</f>
        <v>1652</v>
      </c>
      <c r="F40" s="582">
        <f>E40*D40</f>
        <v>165.20000000000002</v>
      </c>
      <c r="G40" s="582">
        <v>976</v>
      </c>
      <c r="H40" s="582">
        <f>G40*D40</f>
        <v>97.600000000000009</v>
      </c>
      <c r="I40" s="571">
        <f>((F40/H40)*100)-100</f>
        <v>69.26229508196721</v>
      </c>
    </row>
    <row r="41" spans="2:12" x14ac:dyDescent="0.3">
      <c r="B41" s="999"/>
      <c r="C41" s="999" t="s">
        <v>37</v>
      </c>
      <c r="D41" s="1061"/>
      <c r="E41" s="1000"/>
      <c r="F41" s="1002">
        <f>SUM(F37:F40)</f>
        <v>514.17538000000002</v>
      </c>
      <c r="G41" s="1000"/>
      <c r="H41" s="1000">
        <f>SUM(H37:H40)</f>
        <v>484.44455000000005</v>
      </c>
      <c r="I41" s="1003">
        <f>((F41/H41)*100)-100</f>
        <v>6.1370965985684052</v>
      </c>
    </row>
    <row r="42" spans="2:12" x14ac:dyDescent="0.3">
      <c r="H42" s="527" t="str">
        <f>+'CIF Y PV'!$G$1</f>
        <v>MAYO</v>
      </c>
      <c r="J42" s="1076"/>
    </row>
    <row r="43" spans="2:12" x14ac:dyDescent="0.3">
      <c r="B43" s="1860" t="s">
        <v>304</v>
      </c>
      <c r="C43" s="1860"/>
      <c r="E43" s="1005"/>
      <c r="F43" s="1005"/>
      <c r="G43" s="1005"/>
      <c r="H43" s="1176">
        <f>G22+F41</f>
        <v>2610.6760050257503</v>
      </c>
      <c r="I43" s="180"/>
      <c r="J43" s="1005"/>
      <c r="K43" s="180"/>
    </row>
    <row r="44" spans="2:12" x14ac:dyDescent="0.3">
      <c r="B44" s="1892" t="s">
        <v>48</v>
      </c>
      <c r="C44" s="1893"/>
      <c r="E44" s="1005"/>
      <c r="F44" s="1005"/>
      <c r="G44" s="1005"/>
      <c r="H44" s="1176">
        <f>+('CIF Y PV'!C3/1000)*225</f>
        <v>425.25</v>
      </c>
      <c r="J44" s="1005"/>
    </row>
    <row r="45" spans="2:12" x14ac:dyDescent="0.3">
      <c r="B45" s="1892" t="s">
        <v>197</v>
      </c>
      <c r="C45" s="1893"/>
      <c r="E45" s="1005"/>
      <c r="F45" s="1005"/>
      <c r="G45" s="1005"/>
      <c r="H45" s="1176">
        <f>H43+H44</f>
        <v>3035.9260050257503</v>
      </c>
      <c r="I45" s="1116"/>
      <c r="J45" s="1005"/>
      <c r="K45" s="1116"/>
    </row>
    <row r="46" spans="2:12" x14ac:dyDescent="0.3">
      <c r="B46" s="1860" t="s">
        <v>49</v>
      </c>
      <c r="C46" s="1860"/>
      <c r="E46" s="1005"/>
      <c r="F46" s="1005"/>
      <c r="G46" s="1005"/>
      <c r="H46" s="1177">
        <f>'CIF Y PV'!C87</f>
        <v>4400</v>
      </c>
      <c r="J46" s="1118"/>
      <c r="K46" s="1119"/>
    </row>
    <row r="47" spans="2:12" ht="14.45" customHeight="1" x14ac:dyDescent="0.3">
      <c r="B47" s="1860" t="s">
        <v>805</v>
      </c>
      <c r="C47" s="1860"/>
      <c r="E47" s="1005"/>
      <c r="F47" s="1005"/>
      <c r="G47" s="1005"/>
      <c r="H47" s="1594">
        <f>(H46-H45)/H46</f>
        <v>0.31001681703960221</v>
      </c>
      <c r="I47" s="1120"/>
      <c r="J47" s="1121"/>
      <c r="K47" s="1120"/>
    </row>
    <row r="48" spans="2:12" x14ac:dyDescent="0.3">
      <c r="H48" s="1121"/>
      <c r="I48" s="1007"/>
      <c r="J48" s="1122"/>
      <c r="K48" s="1007"/>
    </row>
  </sheetData>
  <mergeCells count="9">
    <mergeCell ref="B45:C45"/>
    <mergeCell ref="B46:C46"/>
    <mergeCell ref="B47:C47"/>
    <mergeCell ref="B2:J2"/>
    <mergeCell ref="B22:C22"/>
    <mergeCell ref="B24:C24"/>
    <mergeCell ref="B35:I35"/>
    <mergeCell ref="B43:C43"/>
    <mergeCell ref="B44:C44"/>
  </mergeCells>
  <pageMargins left="0.7" right="0.7" top="0.75" bottom="0.75" header="0.3" footer="0.3"/>
  <pageSetup scale="38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8D90-A4D6-4D88-B8C8-5BF04B808117}">
  <sheetPr codeName="Hoja126"/>
  <dimension ref="B2:M53"/>
  <sheetViews>
    <sheetView view="pageBreakPreview" topLeftCell="A9" zoomScale="90" zoomScaleNormal="100" zoomScaleSheetLayoutView="90" workbookViewId="0">
      <selection activeCell="E18" activeCellId="1" sqref="E12 E18"/>
    </sheetView>
  </sheetViews>
  <sheetFormatPr baseColWidth="10" defaultColWidth="11.5703125" defaultRowHeight="16.5" x14ac:dyDescent="0.3"/>
  <cols>
    <col min="1" max="1" width="5" style="527" customWidth="1"/>
    <col min="2" max="2" width="11.5703125" style="527"/>
    <col min="3" max="3" width="67.42578125" style="527" bestFit="1" customWidth="1"/>
    <col min="4" max="4" width="11.5703125" style="525"/>
    <col min="5" max="5" width="11.5703125" style="527"/>
    <col min="6" max="6" width="16.28515625" style="527" customWidth="1"/>
    <col min="7" max="7" width="11.5703125" style="527"/>
    <col min="8" max="8" width="15.28515625" style="1076" customWidth="1"/>
    <col min="9" max="9" width="14.42578125" style="527" bestFit="1" customWidth="1"/>
    <col min="10" max="10" width="14" style="693" customWidth="1"/>
    <col min="11" max="12" width="11.5703125" style="527"/>
    <col min="13" max="13" width="21.7109375" style="527" customWidth="1"/>
    <col min="14" max="16384" width="11.5703125" style="527"/>
  </cols>
  <sheetData>
    <row r="2" spans="2:13" x14ac:dyDescent="0.3">
      <c r="B2" s="1901" t="s">
        <v>968</v>
      </c>
      <c r="C2" s="1901"/>
      <c r="D2" s="1901"/>
      <c r="E2" s="1901"/>
      <c r="F2" s="1901"/>
      <c r="G2" s="1901"/>
      <c r="H2" s="1901"/>
      <c r="I2" s="1901"/>
      <c r="J2" s="1901"/>
    </row>
    <row r="4" spans="2:13" s="42" customFormat="1" ht="28.5" x14ac:dyDescent="0.25">
      <c r="B4" s="516" t="s">
        <v>0</v>
      </c>
      <c r="C4" s="516" t="s">
        <v>1</v>
      </c>
      <c r="D4" s="517" t="s">
        <v>2</v>
      </c>
      <c r="E4" s="516" t="s">
        <v>3</v>
      </c>
      <c r="F4" s="962" t="str">
        <f>+'CIF Y PV'!$F$2</f>
        <v xml:space="preserve">JUN-COP/Kg </v>
      </c>
      <c r="G4" s="962" t="str">
        <f>+'CIF Y PV'!$G$2</f>
        <v>JUN-COP/APP</v>
      </c>
      <c r="H4" s="962" t="str">
        <f>+'CIF Y PV'!$H$2</f>
        <v xml:space="preserve">MAY-COP/Kg </v>
      </c>
      <c r="I4" s="962" t="str">
        <f>+'CIF Y PV'!$I$2</f>
        <v>MAY-COP/APP</v>
      </c>
      <c r="J4" s="1104" t="s">
        <v>3</v>
      </c>
      <c r="K4" s="42">
        <f>+D29/1000</f>
        <v>0.24975</v>
      </c>
      <c r="L4" s="42">
        <v>2000</v>
      </c>
    </row>
    <row r="5" spans="2:13" ht="17.25" x14ac:dyDescent="0.3">
      <c r="B5" s="1179">
        <v>1122001</v>
      </c>
      <c r="C5" s="1180" t="s">
        <v>1030</v>
      </c>
      <c r="D5" s="532">
        <v>9.7532369999999993E-2</v>
      </c>
      <c r="E5" s="561">
        <v>39.052</v>
      </c>
      <c r="F5" s="982">
        <f>VLOOKUP(B5,[2]Hoja1!$C$2:$E$279,3,FALSE)</f>
        <v>11506.13</v>
      </c>
      <c r="G5" s="1105">
        <f>F5*D5</f>
        <v>1122.2201284280998</v>
      </c>
      <c r="H5" s="982">
        <v>14266.27</v>
      </c>
      <c r="I5" s="73">
        <f>H5*D5</f>
        <v>1391.4231241599</v>
      </c>
      <c r="J5" s="562">
        <f>((F5/H5)*100)-100</f>
        <v>-19.347313628579869</v>
      </c>
      <c r="K5" s="525">
        <f>$K$4*E5%</f>
        <v>9.7532369999999993E-2</v>
      </c>
      <c r="L5" s="1174">
        <f>$L$4*E5%</f>
        <v>781.04</v>
      </c>
      <c r="M5" s="526">
        <f>L5*F5</f>
        <v>8986747.7751999982</v>
      </c>
    </row>
    <row r="6" spans="2:13" ht="17.25" x14ac:dyDescent="0.3">
      <c r="B6" s="1179">
        <v>1121009</v>
      </c>
      <c r="C6" s="1180" t="s">
        <v>1071</v>
      </c>
      <c r="D6" s="532">
        <v>4.2457500000000002E-2</v>
      </c>
      <c r="E6" s="561">
        <v>17</v>
      </c>
      <c r="F6" s="982">
        <f>VLOOKUP(B6,[2]Hoja1!$C$2:$E$279,3,FALSE)</f>
        <v>8741.6200000000008</v>
      </c>
      <c r="G6" s="1105">
        <f t="shared" ref="G6:G26" si="0">F6*D6</f>
        <v>371.14733115000007</v>
      </c>
      <c r="H6" s="982">
        <v>8324.2000000000007</v>
      </c>
      <c r="I6" s="73">
        <f t="shared" ref="I6:I26" si="1">H6*D6</f>
        <v>353.42472150000003</v>
      </c>
      <c r="J6" s="562">
        <f t="shared" ref="J6:J26" si="2">((F6/H6)*100)-100</f>
        <v>5.0145359313807916</v>
      </c>
      <c r="K6" s="525">
        <f t="shared" ref="K6:K26" si="3">$K$4*E6%</f>
        <v>4.2457500000000002E-2</v>
      </c>
      <c r="L6" s="1174">
        <f t="shared" ref="L6:L26" si="4">$L$4*E6%</f>
        <v>340</v>
      </c>
      <c r="M6" s="526">
        <f t="shared" ref="M6:M10" si="5">L6*F6</f>
        <v>2972150.8000000003</v>
      </c>
    </row>
    <row r="7" spans="2:13" ht="17.25" x14ac:dyDescent="0.3">
      <c r="B7" s="1179">
        <v>1131002</v>
      </c>
      <c r="C7" s="1180" t="s">
        <v>663</v>
      </c>
      <c r="D7" s="532">
        <v>7.2926999999999992E-2</v>
      </c>
      <c r="E7" s="561">
        <v>29.2</v>
      </c>
      <c r="F7" s="982">
        <f>VLOOKUP(B7,[2]Hoja1!$C$2:$E$279,3,FALSE)</f>
        <v>0</v>
      </c>
      <c r="G7" s="1105">
        <f t="shared" si="0"/>
        <v>0</v>
      </c>
      <c r="H7" s="983">
        <v>0</v>
      </c>
      <c r="I7" s="73">
        <f t="shared" si="1"/>
        <v>0</v>
      </c>
      <c r="J7" s="562" t="e">
        <f t="shared" si="2"/>
        <v>#DIV/0!</v>
      </c>
      <c r="K7" s="525">
        <f t="shared" si="3"/>
        <v>7.2926999999999992E-2</v>
      </c>
      <c r="L7" s="1174">
        <f t="shared" si="4"/>
        <v>584</v>
      </c>
      <c r="M7" s="526">
        <f t="shared" si="5"/>
        <v>0</v>
      </c>
    </row>
    <row r="8" spans="2:13" ht="17.25" x14ac:dyDescent="0.3">
      <c r="B8" s="1179">
        <v>1122007</v>
      </c>
      <c r="C8" s="1181" t="s">
        <v>1067</v>
      </c>
      <c r="D8" s="532">
        <v>1.9555424999999998E-2</v>
      </c>
      <c r="E8" s="561">
        <v>7.83</v>
      </c>
      <c r="F8" s="982">
        <f>VLOOKUP(B8,[2]Hoja1!$C$2:$E$279,3,FALSE)</f>
        <v>11229.33</v>
      </c>
      <c r="G8" s="1105">
        <f t="shared" si="0"/>
        <v>219.59432061524998</v>
      </c>
      <c r="H8" s="1092">
        <v>12278.37</v>
      </c>
      <c r="I8" s="73">
        <f t="shared" si="1"/>
        <v>240.10874365724999</v>
      </c>
      <c r="J8" s="562">
        <f>((F8/H8)*100)-100</f>
        <v>-8.5438050816191549</v>
      </c>
      <c r="K8" s="525">
        <f>$K$4*E8%</f>
        <v>1.9555424999999998E-2</v>
      </c>
      <c r="L8" s="1174">
        <f t="shared" si="4"/>
        <v>156.6</v>
      </c>
      <c r="M8" s="526">
        <f t="shared" si="5"/>
        <v>1758513.078</v>
      </c>
    </row>
    <row r="9" spans="2:13" ht="17.25" x14ac:dyDescent="0.3">
      <c r="B9" s="1179">
        <v>1210005</v>
      </c>
      <c r="C9" s="1711" t="s">
        <v>1155</v>
      </c>
      <c r="D9" s="532">
        <v>1.9980000000000002E-3</v>
      </c>
      <c r="E9" s="561">
        <v>0.8</v>
      </c>
      <c r="F9" s="982">
        <f>VLOOKUP(B9,[2]Hoja1!$C$2:$E$279,3,FALSE)</f>
        <v>1356</v>
      </c>
      <c r="G9" s="1105">
        <f t="shared" si="0"/>
        <v>2.7092880000000004</v>
      </c>
      <c r="H9" s="1092"/>
      <c r="I9" s="73"/>
      <c r="J9" s="562"/>
      <c r="K9" s="525">
        <f>$K$4*E9%</f>
        <v>1.9980000000000002E-3</v>
      </c>
      <c r="L9" s="1174">
        <f t="shared" si="4"/>
        <v>16</v>
      </c>
      <c r="M9" s="526"/>
    </row>
    <row r="10" spans="2:13" ht="17.25" x14ac:dyDescent="0.3">
      <c r="B10" s="1179">
        <v>1210010</v>
      </c>
      <c r="C10" s="1180" t="s">
        <v>1351</v>
      </c>
      <c r="D10" s="532">
        <v>1.3236750000000001E-3</v>
      </c>
      <c r="E10" s="561">
        <v>0.53</v>
      </c>
      <c r="F10" s="982">
        <f>VLOOKUP(B10,[2]Hoja1!$C$2:$E$279,3,FALSE)</f>
        <v>11600</v>
      </c>
      <c r="G10" s="1105">
        <f t="shared" si="0"/>
        <v>15.35463</v>
      </c>
      <c r="H10" s="70">
        <v>8910.1</v>
      </c>
      <c r="I10" s="73">
        <f t="shared" si="1"/>
        <v>11.794076617500002</v>
      </c>
      <c r="J10" s="562">
        <f t="shared" si="2"/>
        <v>30.189335697691376</v>
      </c>
      <c r="K10" s="525">
        <f t="shared" si="3"/>
        <v>1.3236750000000001E-3</v>
      </c>
      <c r="L10" s="1174">
        <f t="shared" si="4"/>
        <v>10.6</v>
      </c>
      <c r="M10" s="526">
        <f t="shared" si="5"/>
        <v>122960</v>
      </c>
    </row>
    <row r="11" spans="2:13" ht="17.25" x14ac:dyDescent="0.3">
      <c r="B11" s="1179">
        <v>1260024</v>
      </c>
      <c r="C11" s="1180" t="s">
        <v>1290</v>
      </c>
      <c r="D11" s="532">
        <v>2.6223750000000001E-3</v>
      </c>
      <c r="E11" s="561">
        <v>1.05</v>
      </c>
      <c r="F11" s="982">
        <f>VLOOKUP(B11,[2]Hoja1!$C$2:$E$279,3,FALSE)</f>
        <v>12625.84</v>
      </c>
      <c r="G11" s="1105">
        <f t="shared" si="0"/>
        <v>33.109687170000001</v>
      </c>
      <c r="H11" s="1091">
        <v>18900</v>
      </c>
      <c r="I11" s="73"/>
      <c r="J11" s="562"/>
      <c r="K11" s="525">
        <f t="shared" si="3"/>
        <v>2.6223750000000001E-3</v>
      </c>
      <c r="L11" s="1174">
        <f t="shared" si="4"/>
        <v>21</v>
      </c>
      <c r="M11" s="526">
        <f>L11*F11</f>
        <v>265142.64</v>
      </c>
    </row>
    <row r="12" spans="2:13" ht="17.25" x14ac:dyDescent="0.3">
      <c r="B12" s="1179">
        <v>1220014</v>
      </c>
      <c r="C12" s="1180" t="s">
        <v>1146</v>
      </c>
      <c r="D12" s="532">
        <v>2.4975000000000002E-3</v>
      </c>
      <c r="E12" s="1734">
        <v>1</v>
      </c>
      <c r="F12" s="982">
        <f>VLOOKUP(B12,[2]Hoja1!$C$2:$E$279,3,FALSE)</f>
        <v>14060</v>
      </c>
      <c r="G12" s="1105">
        <f t="shared" si="0"/>
        <v>35.114850000000004</v>
      </c>
      <c r="H12" s="965">
        <v>13300.01</v>
      </c>
      <c r="I12" s="73">
        <f t="shared" si="1"/>
        <v>33.216774975</v>
      </c>
      <c r="J12" s="562">
        <f t="shared" si="2"/>
        <v>5.7142062299201086</v>
      </c>
      <c r="K12" s="525">
        <f t="shared" si="3"/>
        <v>2.4975000000000002E-3</v>
      </c>
      <c r="L12" s="1174">
        <f t="shared" si="4"/>
        <v>20</v>
      </c>
      <c r="M12" s="526">
        <f t="shared" ref="M12:M26" si="6">L12*F12</f>
        <v>281200</v>
      </c>
    </row>
    <row r="13" spans="2:13" ht="17.25" x14ac:dyDescent="0.3">
      <c r="B13" s="1179">
        <v>1230019</v>
      </c>
      <c r="C13" s="1180" t="s">
        <v>1026</v>
      </c>
      <c r="D13" s="532">
        <v>1.9980000000000002E-3</v>
      </c>
      <c r="E13" s="561">
        <v>0.8</v>
      </c>
      <c r="F13" s="982">
        <f>VLOOKUP(B13,[2]Hoja1!$C$2:$E$279,3,FALSE)</f>
        <v>50920.75</v>
      </c>
      <c r="G13" s="1105">
        <f t="shared" si="0"/>
        <v>101.7396585</v>
      </c>
      <c r="H13" s="965">
        <v>48590.86</v>
      </c>
      <c r="I13" s="73">
        <f t="shared" si="1"/>
        <v>97.084538280000018</v>
      </c>
      <c r="J13" s="562">
        <f t="shared" si="2"/>
        <v>4.7949141052453115</v>
      </c>
      <c r="K13" s="525">
        <f t="shared" si="3"/>
        <v>1.9980000000000002E-3</v>
      </c>
      <c r="L13" s="1174">
        <f t="shared" si="4"/>
        <v>16</v>
      </c>
      <c r="M13" s="526">
        <f t="shared" si="6"/>
        <v>814732</v>
      </c>
    </row>
    <row r="14" spans="2:13" ht="17.25" x14ac:dyDescent="0.3">
      <c r="B14" s="1179">
        <v>1240007</v>
      </c>
      <c r="C14" s="1180" t="s">
        <v>1352</v>
      </c>
      <c r="D14" s="532">
        <v>1.2487500000000001E-3</v>
      </c>
      <c r="E14" s="561">
        <v>0.5</v>
      </c>
      <c r="F14" s="982">
        <f>VLOOKUP(B14,[2]Hoja1!$C$2:$E$279,3,FALSE)</f>
        <v>25921.42</v>
      </c>
      <c r="G14" s="1105">
        <f t="shared" si="0"/>
        <v>32.369373224999997</v>
      </c>
      <c r="H14" s="964">
        <v>11340</v>
      </c>
      <c r="I14" s="73">
        <f t="shared" si="1"/>
        <v>14.160825000000001</v>
      </c>
      <c r="J14" s="562">
        <f t="shared" si="2"/>
        <v>128.58395061728393</v>
      </c>
      <c r="K14" s="525">
        <f t="shared" si="3"/>
        <v>1.2487500000000001E-3</v>
      </c>
      <c r="L14" s="1174">
        <f t="shared" si="4"/>
        <v>10</v>
      </c>
      <c r="M14" s="526">
        <f t="shared" si="6"/>
        <v>259214.19999999998</v>
      </c>
    </row>
    <row r="15" spans="2:13" ht="17.25" x14ac:dyDescent="0.3">
      <c r="B15" s="1179">
        <v>121007</v>
      </c>
      <c r="C15" s="1180" t="s">
        <v>821</v>
      </c>
      <c r="D15" s="532">
        <v>9.990000000000001E-4</v>
      </c>
      <c r="E15" s="561">
        <v>0.4</v>
      </c>
      <c r="F15" s="982">
        <f>VLOOKUP(B15,[2]Hoja1!$C$2:$E$279,3,FALSE)</f>
        <v>16905</v>
      </c>
      <c r="G15" s="1105">
        <f t="shared" si="0"/>
        <v>16.888095000000003</v>
      </c>
      <c r="H15" s="965">
        <v>16100</v>
      </c>
      <c r="I15" s="73">
        <f t="shared" si="1"/>
        <v>16.083900000000003</v>
      </c>
      <c r="J15" s="562">
        <f t="shared" si="2"/>
        <v>5</v>
      </c>
      <c r="K15" s="525">
        <f t="shared" si="3"/>
        <v>9.990000000000001E-4</v>
      </c>
      <c r="L15" s="1174">
        <f t="shared" si="4"/>
        <v>8</v>
      </c>
      <c r="M15" s="526">
        <f t="shared" si="6"/>
        <v>135240</v>
      </c>
    </row>
    <row r="16" spans="2:13" ht="17.25" x14ac:dyDescent="0.3">
      <c r="B16" s="1179">
        <v>1230020</v>
      </c>
      <c r="C16" s="1180" t="s">
        <v>1025</v>
      </c>
      <c r="D16" s="532">
        <v>9.4905E-4</v>
      </c>
      <c r="E16" s="561">
        <v>0.38</v>
      </c>
      <c r="F16" s="982">
        <f>VLOOKUP(B16,[2]Hoja1!$C$2:$E$279,3,FALSE)</f>
        <v>42000</v>
      </c>
      <c r="G16" s="1105">
        <f t="shared" si="0"/>
        <v>39.860100000000003</v>
      </c>
      <c r="H16" s="1106">
        <v>40765.589999999997</v>
      </c>
      <c r="I16" s="73">
        <f t="shared" si="1"/>
        <v>38.688583189499994</v>
      </c>
      <c r="J16" s="562">
        <f t="shared" si="2"/>
        <v>3.0280685254402187</v>
      </c>
      <c r="K16" s="525">
        <f t="shared" si="3"/>
        <v>9.4905E-4</v>
      </c>
      <c r="L16" s="1174">
        <f t="shared" si="4"/>
        <v>7.6</v>
      </c>
      <c r="M16" s="526">
        <f t="shared" si="6"/>
        <v>319200</v>
      </c>
    </row>
    <row r="17" spans="2:13" ht="17.25" x14ac:dyDescent="0.3">
      <c r="B17" s="1179">
        <v>1210004</v>
      </c>
      <c r="C17" s="1180" t="s">
        <v>1131</v>
      </c>
      <c r="D17" s="532">
        <v>2.122875E-4</v>
      </c>
      <c r="E17" s="561">
        <v>8.5000000000000006E-2</v>
      </c>
      <c r="F17" s="982">
        <f>VLOOKUP(B17,[2]Hoja1!$C$2:$E$279,3,FALSE)</f>
        <v>3841</v>
      </c>
      <c r="G17" s="1105">
        <f t="shared" si="0"/>
        <v>0.81539628750000004</v>
      </c>
      <c r="H17" s="1106">
        <v>3508.01</v>
      </c>
      <c r="I17" s="73">
        <f t="shared" si="1"/>
        <v>0.74470667287500003</v>
      </c>
      <c r="J17" s="562">
        <f t="shared" si="2"/>
        <v>9.4922762477871885</v>
      </c>
      <c r="K17" s="525">
        <f t="shared" si="3"/>
        <v>2.122875E-4</v>
      </c>
      <c r="L17" s="1174">
        <f t="shared" si="4"/>
        <v>1.7000000000000002</v>
      </c>
      <c r="M17" s="526">
        <f t="shared" si="6"/>
        <v>6529.7000000000007</v>
      </c>
    </row>
    <row r="18" spans="2:13" ht="17.25" x14ac:dyDescent="0.3">
      <c r="B18" s="1179">
        <v>1220001</v>
      </c>
      <c r="C18" s="1180" t="s">
        <v>1156</v>
      </c>
      <c r="D18" s="532">
        <v>3.7462500000000001E-4</v>
      </c>
      <c r="E18" s="1734">
        <v>0.1</v>
      </c>
      <c r="F18" s="982">
        <f>VLOOKUP(B18,[2]Hoja1!$C$2:$E$279,3,FALSE)</f>
        <v>85579.98</v>
      </c>
      <c r="G18" s="1105">
        <f t="shared" si="0"/>
        <v>32.0604000075</v>
      </c>
      <c r="H18" s="1106">
        <v>81899.73</v>
      </c>
      <c r="I18" s="73">
        <f t="shared" si="1"/>
        <v>30.681686351250001</v>
      </c>
      <c r="J18" s="562">
        <f t="shared" si="2"/>
        <v>4.4936045576706931</v>
      </c>
      <c r="K18" s="525">
        <f t="shared" si="3"/>
        <v>2.4975000000000003E-4</v>
      </c>
      <c r="L18" s="1174">
        <f t="shared" si="4"/>
        <v>2</v>
      </c>
      <c r="M18" s="526">
        <f t="shared" si="6"/>
        <v>171159.96</v>
      </c>
    </row>
    <row r="19" spans="2:13" ht="17.25" x14ac:dyDescent="0.3">
      <c r="B19" s="1179">
        <v>1230013</v>
      </c>
      <c r="C19" s="1180" t="s">
        <v>754</v>
      </c>
      <c r="D19" s="532">
        <v>2.4975000000000003E-4</v>
      </c>
      <c r="E19" s="561">
        <v>0.1</v>
      </c>
      <c r="F19" s="982">
        <f>VLOOKUP(B19,[2]Hoja1!$C$2:$E$279,3,FALSE)</f>
        <v>20777.07</v>
      </c>
      <c r="G19" s="1105">
        <f t="shared" si="0"/>
        <v>5.1890732325000002</v>
      </c>
      <c r="H19" s="1106">
        <v>19794.98</v>
      </c>
      <c r="I19" s="73">
        <f t="shared" si="1"/>
        <v>4.9437962550000005</v>
      </c>
      <c r="J19" s="562">
        <f t="shared" si="2"/>
        <v>4.9613083721226303</v>
      </c>
      <c r="K19" s="525">
        <f t="shared" si="3"/>
        <v>2.4975000000000003E-4</v>
      </c>
      <c r="L19" s="1174">
        <f t="shared" si="4"/>
        <v>2</v>
      </c>
      <c r="M19" s="526">
        <f t="shared" si="6"/>
        <v>41554.14</v>
      </c>
    </row>
    <row r="20" spans="2:13" ht="17.25" x14ac:dyDescent="0.3">
      <c r="B20" s="1179">
        <v>1220007</v>
      </c>
      <c r="C20" s="1180" t="s">
        <v>916</v>
      </c>
      <c r="D20" s="532">
        <v>1.4984999999999998E-4</v>
      </c>
      <c r="E20" s="561">
        <v>0.06</v>
      </c>
      <c r="F20" s="982">
        <f>VLOOKUP(B20,[2]Hoja1!$C$2:$E$279,3,FALSE)</f>
        <v>60081.72</v>
      </c>
      <c r="G20" s="1105">
        <f t="shared" si="0"/>
        <v>9.0032457419999989</v>
      </c>
      <c r="H20" s="533">
        <v>56748.6</v>
      </c>
      <c r="I20" s="73">
        <f t="shared" si="1"/>
        <v>8.5037777099999996</v>
      </c>
      <c r="J20" s="562">
        <f t="shared" si="2"/>
        <v>5.8734841035726078</v>
      </c>
      <c r="K20" s="525">
        <f t="shared" si="3"/>
        <v>1.4984999999999998E-4</v>
      </c>
      <c r="L20" s="1174">
        <f t="shared" si="4"/>
        <v>1.2</v>
      </c>
      <c r="M20" s="526">
        <f t="shared" si="6"/>
        <v>72098.063999999998</v>
      </c>
    </row>
    <row r="21" spans="2:13" ht="17.25" x14ac:dyDescent="0.3">
      <c r="B21" s="1179">
        <v>1220008</v>
      </c>
      <c r="C21" s="1180" t="s">
        <v>1157</v>
      </c>
      <c r="D21" s="532">
        <v>1.4984999999999998E-4</v>
      </c>
      <c r="E21" s="561">
        <v>0.06</v>
      </c>
      <c r="F21" s="982">
        <f>VLOOKUP(B21,[2]Hoja1!$C$2:$E$279,3,FALSE)</f>
        <v>50476.2</v>
      </c>
      <c r="G21" s="1105">
        <f t="shared" si="0"/>
        <v>7.5638585699999989</v>
      </c>
      <c r="H21" s="965">
        <v>48608.39</v>
      </c>
      <c r="I21" s="73">
        <f t="shared" si="1"/>
        <v>7.2839672414999992</v>
      </c>
      <c r="J21" s="562">
        <f t="shared" si="2"/>
        <v>3.8425670959272509</v>
      </c>
      <c r="K21" s="525">
        <f t="shared" si="3"/>
        <v>1.4984999999999998E-4</v>
      </c>
      <c r="L21" s="1174">
        <f t="shared" si="4"/>
        <v>1.2</v>
      </c>
      <c r="M21" s="526">
        <f t="shared" si="6"/>
        <v>60571.439999999995</v>
      </c>
    </row>
    <row r="22" spans="2:13" ht="17.25" x14ac:dyDescent="0.3">
      <c r="B22" s="1179">
        <v>1260005</v>
      </c>
      <c r="C22" s="1180" t="s">
        <v>811</v>
      </c>
      <c r="D22" s="532">
        <v>2.4975000000000002E-3</v>
      </c>
      <c r="E22" s="561">
        <v>1</v>
      </c>
      <c r="F22" s="982">
        <f>VLOOKUP(B22,[2]Hoja1!$C$2:$E$279,3,FALSE)</f>
        <v>26429</v>
      </c>
      <c r="G22" s="1105">
        <f t="shared" si="0"/>
        <v>66.006427500000001</v>
      </c>
      <c r="H22" s="965">
        <v>25850</v>
      </c>
      <c r="I22" s="73">
        <f t="shared" si="1"/>
        <v>64.560375000000008</v>
      </c>
      <c r="J22" s="562">
        <f t="shared" si="2"/>
        <v>2.2398452611218715</v>
      </c>
      <c r="K22" s="525">
        <f t="shared" si="3"/>
        <v>2.4975000000000002E-3</v>
      </c>
      <c r="L22" s="1174">
        <f t="shared" si="4"/>
        <v>20</v>
      </c>
      <c r="M22" s="526">
        <f t="shared" si="6"/>
        <v>528580</v>
      </c>
    </row>
    <row r="23" spans="2:13" ht="17.25" x14ac:dyDescent="0.3">
      <c r="B23" s="1179">
        <v>1210003</v>
      </c>
      <c r="C23" s="1180" t="s">
        <v>1143</v>
      </c>
      <c r="D23" s="532">
        <v>1.2487500000000001E-4</v>
      </c>
      <c r="E23" s="561">
        <v>0.05</v>
      </c>
      <c r="F23" s="982">
        <f>VLOOKUP(B23,[2]Hoja1!$C$2:$E$279,3,FALSE)</f>
        <v>16235.45</v>
      </c>
      <c r="G23" s="1105">
        <f t="shared" si="0"/>
        <v>2.0274018187500005</v>
      </c>
      <c r="H23" s="561">
        <v>12852.58</v>
      </c>
      <c r="I23" s="73">
        <f t="shared" si="1"/>
        <v>1.6049659275000001</v>
      </c>
      <c r="J23" s="562">
        <f t="shared" si="2"/>
        <v>26.320551982559152</v>
      </c>
      <c r="K23" s="525">
        <f t="shared" si="3"/>
        <v>1.2487500000000001E-4</v>
      </c>
      <c r="L23" s="1174">
        <f t="shared" si="4"/>
        <v>1</v>
      </c>
      <c r="M23" s="526">
        <f t="shared" si="6"/>
        <v>16235.45</v>
      </c>
    </row>
    <row r="24" spans="2:13" ht="17.25" x14ac:dyDescent="0.3">
      <c r="B24" s="1179">
        <v>1270004</v>
      </c>
      <c r="C24" s="1180" t="s">
        <v>1032</v>
      </c>
      <c r="D24" s="532">
        <v>9.9900000000000002E-5</v>
      </c>
      <c r="E24" s="561">
        <v>0.04</v>
      </c>
      <c r="F24" s="982">
        <f>VLOOKUP(B24,[2]Hoja1!$C$2:$E$279,3,FALSE)</f>
        <v>50662</v>
      </c>
      <c r="G24" s="1105">
        <f t="shared" si="0"/>
        <v>5.0611338000000003</v>
      </c>
      <c r="H24" s="965">
        <v>53849.37</v>
      </c>
      <c r="I24" s="73">
        <f t="shared" si="1"/>
        <v>5.3795520630000002</v>
      </c>
      <c r="J24" s="562">
        <f t="shared" si="2"/>
        <v>-5.9190478922966179</v>
      </c>
      <c r="K24" s="525">
        <f t="shared" si="3"/>
        <v>9.9900000000000002E-5</v>
      </c>
      <c r="L24" s="1174">
        <f t="shared" si="4"/>
        <v>0.8</v>
      </c>
      <c r="M24" s="526">
        <f t="shared" si="6"/>
        <v>40529.600000000006</v>
      </c>
    </row>
    <row r="25" spans="2:13" ht="17.25" x14ac:dyDescent="0.3">
      <c r="B25" s="1179">
        <v>1250004</v>
      </c>
      <c r="C25" s="1180" t="s">
        <v>969</v>
      </c>
      <c r="D25" s="532">
        <v>1.24875E-5</v>
      </c>
      <c r="E25" s="1540">
        <v>5.0000000000000001E-3</v>
      </c>
      <c r="F25" s="982">
        <f>VLOOKUP(B25,[2]Hoja1!$C$2:$E$279,3,FALSE)</f>
        <v>164481.95000000001</v>
      </c>
      <c r="G25" s="1105">
        <f t="shared" si="0"/>
        <v>2.0539683506250004</v>
      </c>
      <c r="H25" s="964">
        <v>156520.01999999999</v>
      </c>
      <c r="I25" s="73">
        <f t="shared" si="1"/>
        <v>1.95454374975</v>
      </c>
      <c r="J25" s="562">
        <f t="shared" si="2"/>
        <v>5.0868444816196927</v>
      </c>
      <c r="K25" s="525">
        <f t="shared" si="3"/>
        <v>1.24875E-5</v>
      </c>
      <c r="L25" s="1174">
        <f t="shared" si="4"/>
        <v>0.1</v>
      </c>
      <c r="M25" s="526">
        <f t="shared" si="6"/>
        <v>16448.195000000003</v>
      </c>
    </row>
    <row r="26" spans="2:13" ht="17.25" x14ac:dyDescent="0.3">
      <c r="B26" s="1179">
        <v>1250009</v>
      </c>
      <c r="C26" s="1627" t="s">
        <v>1279</v>
      </c>
      <c r="D26" s="532">
        <v>1.9980000000000002E-5</v>
      </c>
      <c r="E26" s="1540">
        <v>8.0000000000000002E-3</v>
      </c>
      <c r="F26" s="982">
        <f>VLOOKUP(B26,[2]Hoja1!$C$2:$E$279,3,FALSE)</f>
        <v>83551.55</v>
      </c>
      <c r="G26" s="1105">
        <f t="shared" si="0"/>
        <v>1.6693599690000003</v>
      </c>
      <c r="H26" s="982">
        <v>71910.02</v>
      </c>
      <c r="I26" s="73">
        <f t="shared" si="1"/>
        <v>1.4367621996000002</v>
      </c>
      <c r="J26" s="562">
        <f t="shared" si="2"/>
        <v>16.18902344902699</v>
      </c>
      <c r="K26" s="525">
        <f t="shared" si="3"/>
        <v>1.9980000000000002E-5</v>
      </c>
      <c r="L26" s="1174">
        <f t="shared" si="4"/>
        <v>0.16</v>
      </c>
      <c r="M26" s="526">
        <f t="shared" si="6"/>
        <v>13368.248000000001</v>
      </c>
    </row>
    <row r="27" spans="2:13" s="693" customFormat="1" x14ac:dyDescent="0.3">
      <c r="B27" s="1895" t="s">
        <v>37</v>
      </c>
      <c r="C27" s="1895"/>
      <c r="D27" s="1108">
        <f>SUM(D5:D26)</f>
        <v>0.24999974999999999</v>
      </c>
      <c r="E27" s="1109">
        <f>SUM(E5:E26)</f>
        <v>100.04999999999997</v>
      </c>
      <c r="F27" s="1109"/>
      <c r="G27" s="1110">
        <f>SUM(G5:G26)</f>
        <v>2121.5577273662252</v>
      </c>
      <c r="H27" s="1110"/>
      <c r="I27" s="1110">
        <f>SUM(I5:I26)</f>
        <v>2323.079420549625</v>
      </c>
      <c r="J27" s="1111">
        <f>((G27/I27)*100)-100</f>
        <v>-8.6747655461439734</v>
      </c>
      <c r="M27" s="693">
        <f>SUM(M5:M26)</f>
        <v>16882175.290199999</v>
      </c>
    </row>
    <row r="29" spans="2:13" x14ac:dyDescent="0.3">
      <c r="B29" s="1896" t="s">
        <v>50</v>
      </c>
      <c r="C29" s="1897"/>
      <c r="D29" s="693">
        <f>+C32+(C32*C38%)</f>
        <v>249.75</v>
      </c>
      <c r="E29" s="995"/>
      <c r="F29" s="995"/>
      <c r="G29" s="995"/>
      <c r="H29" s="1112"/>
      <c r="I29" s="995"/>
      <c r="J29" s="1113"/>
    </row>
    <row r="30" spans="2:13" x14ac:dyDescent="0.3">
      <c r="B30" s="1114" t="s">
        <v>38</v>
      </c>
      <c r="C30" s="1115" t="s">
        <v>921</v>
      </c>
    </row>
    <row r="31" spans="2:13" x14ac:dyDescent="0.3">
      <c r="B31" s="996" t="s">
        <v>39</v>
      </c>
      <c r="C31" s="997" t="s">
        <v>970</v>
      </c>
      <c r="H31" s="525"/>
    </row>
    <row r="32" spans="2:13" x14ac:dyDescent="0.3">
      <c r="B32" s="996" t="s">
        <v>40</v>
      </c>
      <c r="C32" s="997">
        <v>225</v>
      </c>
    </row>
    <row r="33" spans="2:12" x14ac:dyDescent="0.3">
      <c r="B33" s="996" t="s">
        <v>41</v>
      </c>
      <c r="C33" s="997">
        <v>0</v>
      </c>
    </row>
    <row r="34" spans="2:12" x14ac:dyDescent="0.3">
      <c r="B34" s="996" t="s">
        <v>42</v>
      </c>
      <c r="C34" s="997">
        <v>6</v>
      </c>
    </row>
    <row r="35" spans="2:12" x14ac:dyDescent="0.3">
      <c r="B35" s="996" t="s">
        <v>43</v>
      </c>
      <c r="C35" s="997">
        <v>2</v>
      </c>
    </row>
    <row r="36" spans="2:12" x14ac:dyDescent="0.3">
      <c r="B36" s="996" t="s">
        <v>44</v>
      </c>
      <c r="C36" s="997">
        <v>1</v>
      </c>
      <c r="J36" s="693" t="s">
        <v>85</v>
      </c>
    </row>
    <row r="37" spans="2:12" x14ac:dyDescent="0.3">
      <c r="B37" s="996" t="s">
        <v>45</v>
      </c>
      <c r="C37" s="997">
        <v>2</v>
      </c>
    </row>
    <row r="38" spans="2:12" x14ac:dyDescent="0.3">
      <c r="B38" s="996" t="s">
        <v>46</v>
      </c>
      <c r="C38" s="997">
        <f>C37+C36+C35+C34</f>
        <v>11</v>
      </c>
    </row>
    <row r="39" spans="2:12" x14ac:dyDescent="0.3">
      <c r="E39" s="1219">
        <v>0.15129999999999999</v>
      </c>
      <c r="F39" s="527">
        <f>E39*5</f>
        <v>0.75649999999999995</v>
      </c>
      <c r="H39" s="1112"/>
      <c r="I39" s="995"/>
      <c r="L39" s="527" t="s">
        <v>85</v>
      </c>
    </row>
    <row r="40" spans="2:12" x14ac:dyDescent="0.3">
      <c r="B40" s="1898" t="s">
        <v>47</v>
      </c>
      <c r="C40" s="1899"/>
      <c r="D40" s="1899"/>
      <c r="E40" s="1899"/>
      <c r="F40" s="1899"/>
      <c r="G40" s="1899"/>
      <c r="H40" s="1899"/>
      <c r="I40" s="1899"/>
    </row>
    <row r="41" spans="2:12" s="42" customFormat="1" ht="28.5" x14ac:dyDescent="0.25">
      <c r="B41" s="1050" t="s">
        <v>0</v>
      </c>
      <c r="C41" s="1050" t="s">
        <v>1</v>
      </c>
      <c r="D41" s="961" t="s">
        <v>2</v>
      </c>
      <c r="E41" s="962" t="str">
        <f>+'CIF Y PV'!$F$4</f>
        <v xml:space="preserve">JUN-COP/UMB </v>
      </c>
      <c r="F41" s="962" t="str">
        <f>+'CIF Y PV'!$G$4</f>
        <v>JUN-COP/APP</v>
      </c>
      <c r="G41" s="962" t="str">
        <f>+'CIF Y PV'!$H$4</f>
        <v xml:space="preserve">MAY-COP/UMB </v>
      </c>
      <c r="H41" s="962" t="str">
        <f>+'CIF Y PV'!$I$4</f>
        <v>MAY-COP/APP</v>
      </c>
      <c r="I41" s="969" t="s">
        <v>3</v>
      </c>
      <c r="J41" s="345"/>
    </row>
    <row r="42" spans="2:12" x14ac:dyDescent="0.3">
      <c r="B42" s="563">
        <v>1370008</v>
      </c>
      <c r="C42" s="563" t="s">
        <v>1041</v>
      </c>
      <c r="D42" s="1001">
        <v>0.75600000000000001</v>
      </c>
      <c r="E42" s="582">
        <f>VLOOKUP(B42,[2]Hoja1!$C$2:$E$279,3,FALSE)</f>
        <v>362.7</v>
      </c>
      <c r="F42" s="582">
        <f>E42*D42</f>
        <v>274.20119999999997</v>
      </c>
      <c r="G42" s="582">
        <v>421.65</v>
      </c>
      <c r="H42" s="582">
        <f>G42*D42</f>
        <v>318.76740000000001</v>
      </c>
      <c r="I42" s="571">
        <f>((F42/H42)*100)-100</f>
        <v>-13.980789754535763</v>
      </c>
    </row>
    <row r="43" spans="2:12" x14ac:dyDescent="0.3">
      <c r="B43" s="563">
        <v>1310035</v>
      </c>
      <c r="C43" s="563" t="s">
        <v>971</v>
      </c>
      <c r="D43" s="1001">
        <v>4.7E-2</v>
      </c>
      <c r="E43" s="582">
        <f>VLOOKUP(B43,[2]Hoja1!$C$2:$E$279,3,FALSE)</f>
        <v>787.73</v>
      </c>
      <c r="F43" s="582">
        <f>E43*D43</f>
        <v>37.023310000000002</v>
      </c>
      <c r="G43" s="691">
        <v>748.01</v>
      </c>
      <c r="H43" s="582">
        <f>G43*D43</f>
        <v>35.156469999999999</v>
      </c>
      <c r="I43" s="571">
        <f>((F43/H43)*100)-100</f>
        <v>5.3100894373069991</v>
      </c>
    </row>
    <row r="44" spans="2:12" x14ac:dyDescent="0.3">
      <c r="B44" s="563">
        <v>1320003</v>
      </c>
      <c r="C44" s="563" t="s">
        <v>919</v>
      </c>
      <c r="D44" s="1001">
        <v>4.7E-2</v>
      </c>
      <c r="E44" s="582">
        <f>VLOOKUP(B44,[2]Hoja1!$C$2:$E$279,3,FALSE)</f>
        <v>701.94</v>
      </c>
      <c r="F44" s="582">
        <f>E44*D44</f>
        <v>32.99118</v>
      </c>
      <c r="G44" s="970">
        <v>700.44</v>
      </c>
      <c r="H44" s="582">
        <f>G44*D44</f>
        <v>32.920680000000004</v>
      </c>
      <c r="I44" s="571">
        <f>((F44/H44)*100)-100</f>
        <v>0.21415110501968115</v>
      </c>
    </row>
    <row r="45" spans="2:12" x14ac:dyDescent="0.3">
      <c r="B45" s="563">
        <v>1310017</v>
      </c>
      <c r="C45" s="1142" t="s">
        <v>1224</v>
      </c>
      <c r="D45" s="1001">
        <v>0.1</v>
      </c>
      <c r="E45" s="582">
        <f>VLOOKUP(B45,[2]Hoja1!$C$2:$E$279,3,FALSE)</f>
        <v>698.26</v>
      </c>
      <c r="F45" s="582">
        <f>E45*D45</f>
        <v>69.826000000000008</v>
      </c>
      <c r="G45" s="582">
        <v>976</v>
      </c>
      <c r="H45" s="582">
        <f>G45*D45</f>
        <v>97.600000000000009</v>
      </c>
      <c r="I45" s="571">
        <f>((F45/H45)*100)-100</f>
        <v>-28.456967213114751</v>
      </c>
    </row>
    <row r="46" spans="2:12" x14ac:dyDescent="0.3">
      <c r="B46" s="999"/>
      <c r="C46" s="999" t="s">
        <v>37</v>
      </c>
      <c r="D46" s="1061"/>
      <c r="E46" s="1000"/>
      <c r="F46" s="1002">
        <f>SUM(F42:F45)</f>
        <v>414.04168999999996</v>
      </c>
      <c r="G46" s="1000"/>
      <c r="H46" s="1000">
        <f>SUM(H42:H45)</f>
        <v>484.44455000000005</v>
      </c>
      <c r="I46" s="1003">
        <f>((F46/H46)*100)-100</f>
        <v>-14.532697292187535</v>
      </c>
    </row>
    <row r="47" spans="2:12" x14ac:dyDescent="0.3">
      <c r="H47" s="527" t="str">
        <f>+'CIF Y PV'!$G$1</f>
        <v>MAYO</v>
      </c>
      <c r="J47" s="1076"/>
    </row>
    <row r="48" spans="2:12" x14ac:dyDescent="0.3">
      <c r="B48" s="1860" t="s">
        <v>304</v>
      </c>
      <c r="C48" s="1860"/>
      <c r="E48" s="1005"/>
      <c r="F48" s="1005"/>
      <c r="G48" s="1005"/>
      <c r="H48" s="1176">
        <f>+F46+G27</f>
        <v>2535.5994173662252</v>
      </c>
      <c r="I48" s="180"/>
      <c r="J48" s="1005"/>
      <c r="K48" s="180"/>
    </row>
    <row r="49" spans="2:11" x14ac:dyDescent="0.3">
      <c r="B49" s="1892" t="s">
        <v>48</v>
      </c>
      <c r="C49" s="1893"/>
      <c r="E49" s="1005"/>
      <c r="F49" s="1005"/>
      <c r="G49" s="1005"/>
      <c r="H49" s="1176">
        <f>+('CIF Y PV'!C3/1000)*225</f>
        <v>425.25</v>
      </c>
      <c r="J49" s="1005"/>
    </row>
    <row r="50" spans="2:11" x14ac:dyDescent="0.3">
      <c r="B50" s="1892" t="s">
        <v>197</v>
      </c>
      <c r="C50" s="1893"/>
      <c r="E50" s="1005"/>
      <c r="F50" s="1005"/>
      <c r="G50" s="1005"/>
      <c r="H50" s="1176">
        <f>+H49+H48</f>
        <v>2960.8494173662252</v>
      </c>
      <c r="I50" s="1116"/>
      <c r="J50" s="1005"/>
      <c r="K50" s="1116"/>
    </row>
    <row r="51" spans="2:11" x14ac:dyDescent="0.3">
      <c r="B51" s="1860" t="s">
        <v>49</v>
      </c>
      <c r="C51" s="1860"/>
      <c r="E51" s="1005"/>
      <c r="F51" s="1005"/>
      <c r="G51" s="1005"/>
      <c r="H51" s="1177">
        <f>'CIF Y PV'!C7</f>
        <v>4568</v>
      </c>
      <c r="J51" s="1118"/>
      <c r="K51" s="1119"/>
    </row>
    <row r="52" spans="2:11" ht="14.45" customHeight="1" x14ac:dyDescent="0.3">
      <c r="B52" s="1860" t="s">
        <v>805</v>
      </c>
      <c r="C52" s="1860"/>
      <c r="E52" s="1005"/>
      <c r="F52" s="1005"/>
      <c r="G52" s="1005"/>
      <c r="H52" s="1178">
        <f>+(H51-H50)/H51</f>
        <v>0.35182806099688591</v>
      </c>
      <c r="I52" s="1120"/>
      <c r="J52" s="1121"/>
      <c r="K52" s="1120"/>
    </row>
    <row r="53" spans="2:11" x14ac:dyDescent="0.3">
      <c r="H53" s="1121"/>
      <c r="I53" s="1007"/>
      <c r="J53" s="1122"/>
      <c r="K53" s="1007"/>
    </row>
  </sheetData>
  <mergeCells count="9">
    <mergeCell ref="B50:C50"/>
    <mergeCell ref="B51:C51"/>
    <mergeCell ref="B52:C52"/>
    <mergeCell ref="B2:J2"/>
    <mergeCell ref="B27:C27"/>
    <mergeCell ref="B29:C29"/>
    <mergeCell ref="B40:I40"/>
    <mergeCell ref="B48:C48"/>
    <mergeCell ref="B49:C49"/>
  </mergeCells>
  <pageMargins left="0.7" right="0.7" top="0.75" bottom="0.75" header="0.3" footer="0.3"/>
  <pageSetup scale="38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4244-6732-4F64-9101-DC1A68EDDA45}">
  <sheetPr codeName="Hoja127">
    <tabColor rgb="FFFF0000"/>
  </sheetPr>
  <dimension ref="B2:L55"/>
  <sheetViews>
    <sheetView view="pageBreakPreview" topLeftCell="A4" zoomScale="90" zoomScaleNormal="100" zoomScaleSheetLayoutView="90" workbookViewId="0">
      <selection activeCell="F24" sqref="F24"/>
    </sheetView>
  </sheetViews>
  <sheetFormatPr baseColWidth="10" defaultColWidth="11.5703125" defaultRowHeight="13.5" x14ac:dyDescent="0.25"/>
  <cols>
    <col min="1" max="1" width="4.7109375" style="120" customWidth="1"/>
    <col min="2" max="2" width="12.7109375" style="120" customWidth="1"/>
    <col min="3" max="3" width="56.5703125" style="120" customWidth="1"/>
    <col min="4" max="4" width="15.140625" style="120" customWidth="1"/>
    <col min="5" max="5" width="13.140625" style="120" bestFit="1" customWidth="1"/>
    <col min="6" max="6" width="13.140625" style="120" customWidth="1"/>
    <col min="7" max="7" width="17.140625" style="120" bestFit="1" customWidth="1"/>
    <col min="8" max="8" width="17.140625" style="120" customWidth="1"/>
    <col min="9" max="9" width="15.28515625" style="120" customWidth="1"/>
    <col min="10" max="10" width="11.5703125" style="120" customWidth="1"/>
    <col min="11" max="11" width="12.7109375" style="170" customWidth="1"/>
    <col min="12" max="16384" width="11.5703125" style="120"/>
  </cols>
  <sheetData>
    <row r="2" spans="2:12" ht="30" customHeight="1" x14ac:dyDescent="0.25">
      <c r="B2" s="1738" t="s">
        <v>1244</v>
      </c>
      <c r="C2" s="1738"/>
      <c r="D2" s="1738"/>
      <c r="E2" s="1738"/>
      <c r="F2" s="1738"/>
      <c r="G2" s="1738"/>
      <c r="H2" s="855"/>
      <c r="I2" s="855"/>
      <c r="J2" s="855"/>
    </row>
    <row r="4" spans="2:12" s="3" customFormat="1" ht="28.5" customHeight="1" x14ac:dyDescent="0.25">
      <c r="B4" s="1244" t="s">
        <v>0</v>
      </c>
      <c r="C4" s="1244" t="s">
        <v>1</v>
      </c>
      <c r="D4" s="1244" t="s">
        <v>2</v>
      </c>
      <c r="E4" s="1244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303">
        <v>0.17100000000000001</v>
      </c>
      <c r="L4" s="1303">
        <v>250</v>
      </c>
    </row>
    <row r="5" spans="2:12" ht="16.5" x14ac:dyDescent="0.3">
      <c r="B5" s="777">
        <v>1122008</v>
      </c>
      <c r="C5" s="74" t="s">
        <v>1028</v>
      </c>
      <c r="D5" s="103">
        <v>8.8184700000000019E-2</v>
      </c>
      <c r="E5" s="248">
        <v>51.57</v>
      </c>
      <c r="F5" s="896">
        <f>VLOOKUP(B5,[2]Hoja1!$C$2:$E$279,3,FALSE)</f>
        <v>12059.2</v>
      </c>
      <c r="G5" s="248">
        <f>F5*D5</f>
        <v>1063.4369342400003</v>
      </c>
      <c r="H5" s="896">
        <v>12498.88</v>
      </c>
      <c r="I5" s="856">
        <f>H5*D5</f>
        <v>1102.2099831360001</v>
      </c>
      <c r="J5" s="32">
        <f t="shared" ref="J5:J23" si="0">((F5/H5)*100)-100</f>
        <v>-3.5177551908650884</v>
      </c>
      <c r="K5" s="776">
        <f t="shared" ref="K5:K24" si="1">$K$4*E5%</f>
        <v>8.8184700000000019E-2</v>
      </c>
      <c r="L5" s="1159">
        <f>$L$4*E5</f>
        <v>12892.5</v>
      </c>
    </row>
    <row r="6" spans="2:12" ht="16.5" x14ac:dyDescent="0.3">
      <c r="B6" s="777">
        <v>1121009</v>
      </c>
      <c r="C6" s="74" t="s">
        <v>1272</v>
      </c>
      <c r="D6" s="7">
        <v>3.4268400000000004E-2</v>
      </c>
      <c r="E6" s="248">
        <v>20.04</v>
      </c>
      <c r="F6" s="896">
        <f>VLOOKUP(B6,[2]Hoja1!$C$2:$E$279,3,FALSE)</f>
        <v>8741.6200000000008</v>
      </c>
      <c r="G6" s="248">
        <f t="shared" ref="G6:G24" si="2">F6*D6</f>
        <v>299.56133080800009</v>
      </c>
      <c r="H6" s="38">
        <v>8754.2800000000007</v>
      </c>
      <c r="I6" s="856">
        <f t="shared" ref="I6:I24" si="3">H6*D6</f>
        <v>299.99516875200004</v>
      </c>
      <c r="J6" s="32">
        <f t="shared" si="0"/>
        <v>-0.14461497690273006</v>
      </c>
      <c r="K6" s="776">
        <f t="shared" si="1"/>
        <v>3.4268400000000004E-2</v>
      </c>
      <c r="L6" s="1158"/>
    </row>
    <row r="7" spans="2:12" ht="16.5" x14ac:dyDescent="0.3">
      <c r="B7" s="777">
        <v>1131002</v>
      </c>
      <c r="C7" s="74" t="s">
        <v>663</v>
      </c>
      <c r="D7" s="7">
        <v>2.7257400000000001E-2</v>
      </c>
      <c r="E7" s="248">
        <v>15.94</v>
      </c>
      <c r="F7" s="896">
        <f>VLOOKUP(B7,[2]Hoja1!$C$2:$E$279,3,FALSE)</f>
        <v>0</v>
      </c>
      <c r="G7" s="248">
        <f t="shared" si="2"/>
        <v>0</v>
      </c>
      <c r="H7" s="896">
        <v>0</v>
      </c>
      <c r="I7" s="856">
        <f t="shared" si="3"/>
        <v>0</v>
      </c>
      <c r="J7" s="32" t="e">
        <f t="shared" si="0"/>
        <v>#DIV/0!</v>
      </c>
      <c r="K7" s="776">
        <f t="shared" si="1"/>
        <v>2.7257400000000001E-2</v>
      </c>
      <c r="L7" s="1158"/>
    </row>
    <row r="8" spans="2:12" ht="16.5" x14ac:dyDescent="0.3">
      <c r="B8" s="777">
        <v>1260017</v>
      </c>
      <c r="C8" s="74" t="s">
        <v>832</v>
      </c>
      <c r="D8" s="7">
        <v>4.3433999999999999E-3</v>
      </c>
      <c r="E8" s="248">
        <v>2.54</v>
      </c>
      <c r="F8" s="896">
        <f>VLOOKUP(B8,[2]Hoja1!$C$2:$E$279,3,FALSE)</f>
        <v>4500</v>
      </c>
      <c r="G8" s="248">
        <f t="shared" si="2"/>
        <v>19.545300000000001</v>
      </c>
      <c r="H8" s="72">
        <v>4500</v>
      </c>
      <c r="I8" s="856">
        <f t="shared" si="3"/>
        <v>19.545300000000001</v>
      </c>
      <c r="J8" s="32">
        <f t="shared" si="0"/>
        <v>0</v>
      </c>
      <c r="K8" s="776">
        <f t="shared" si="1"/>
        <v>4.3433999999999999E-3</v>
      </c>
      <c r="L8" s="1158"/>
    </row>
    <row r="9" spans="2:12" ht="16.5" x14ac:dyDescent="0.3">
      <c r="B9" s="777">
        <v>1260009</v>
      </c>
      <c r="C9" s="74" t="s">
        <v>1027</v>
      </c>
      <c r="D9" s="7">
        <v>4.3433999999999999E-3</v>
      </c>
      <c r="E9" s="248">
        <v>2.54</v>
      </c>
      <c r="F9" s="896">
        <f>VLOOKUP(B9,[2]Hoja1!$C$2:$E$279,3,FALSE)</f>
        <v>7033.69</v>
      </c>
      <c r="G9" s="248">
        <f t="shared" si="2"/>
        <v>30.550129145999996</v>
      </c>
      <c r="H9" s="879">
        <v>9565.2099999999991</v>
      </c>
      <c r="I9" s="856">
        <f t="shared" si="3"/>
        <v>41.545533113999994</v>
      </c>
      <c r="J9" s="32">
        <f t="shared" si="0"/>
        <v>-26.465911360022403</v>
      </c>
      <c r="K9" s="776">
        <f t="shared" si="1"/>
        <v>4.3433999999999999E-3</v>
      </c>
      <c r="L9" s="1158"/>
    </row>
    <row r="10" spans="2:12" ht="16.5" x14ac:dyDescent="0.3">
      <c r="B10" s="777">
        <v>1210005</v>
      </c>
      <c r="C10" s="74" t="s">
        <v>1155</v>
      </c>
      <c r="D10" s="7">
        <v>2.7702000000000004E-3</v>
      </c>
      <c r="E10" s="248">
        <v>1.62</v>
      </c>
      <c r="F10" s="896">
        <f>VLOOKUP(B10,[2]Hoja1!$C$2:$E$279,3,FALSE)</f>
        <v>1356</v>
      </c>
      <c r="G10" s="248">
        <f t="shared" si="2"/>
        <v>3.7563912000000004</v>
      </c>
      <c r="H10" s="914">
        <v>1360</v>
      </c>
      <c r="I10" s="856">
        <f t="shared" si="3"/>
        <v>3.7674720000000006</v>
      </c>
      <c r="J10" s="32">
        <f t="shared" si="0"/>
        <v>-0.29411764705882604</v>
      </c>
      <c r="K10" s="776">
        <f t="shared" si="1"/>
        <v>2.7702000000000004E-3</v>
      </c>
      <c r="L10" s="1158"/>
    </row>
    <row r="11" spans="2:12" ht="16.5" x14ac:dyDescent="0.3">
      <c r="B11" s="777">
        <v>1260005</v>
      </c>
      <c r="C11" s="74" t="s">
        <v>811</v>
      </c>
      <c r="D11" s="7">
        <v>1.7271000000000001E-3</v>
      </c>
      <c r="E11" s="248">
        <v>1.01</v>
      </c>
      <c r="F11" s="896">
        <f>VLOOKUP(B11,[2]Hoja1!$C$2:$E$279,3,FALSE)</f>
        <v>26429</v>
      </c>
      <c r="G11" s="248">
        <f t="shared" si="2"/>
        <v>45.645525900000003</v>
      </c>
      <c r="H11" s="914">
        <v>25850</v>
      </c>
      <c r="I11" s="856">
        <f t="shared" si="3"/>
        <v>44.645535000000002</v>
      </c>
      <c r="J11" s="32">
        <f t="shared" si="0"/>
        <v>2.2398452611218715</v>
      </c>
      <c r="K11" s="776">
        <f t="shared" si="1"/>
        <v>1.7271000000000001E-3</v>
      </c>
      <c r="L11" s="1158"/>
    </row>
    <row r="12" spans="2:12" ht="16.5" x14ac:dyDescent="0.3">
      <c r="B12" s="777">
        <v>1220004</v>
      </c>
      <c r="C12" s="74" t="s">
        <v>1212</v>
      </c>
      <c r="D12" s="7">
        <v>1.5903000000000002E-3</v>
      </c>
      <c r="E12" s="248">
        <v>0.93</v>
      </c>
      <c r="F12" s="896">
        <f>VLOOKUP(B12,[2]Hoja1!$C$2:$E$279,3,FALSE)</f>
        <v>4632</v>
      </c>
      <c r="G12" s="248">
        <f t="shared" si="2"/>
        <v>7.3662696000000008</v>
      </c>
      <c r="H12" s="914">
        <v>4616.7</v>
      </c>
      <c r="I12" s="856">
        <f t="shared" si="3"/>
        <v>7.3419380100000007</v>
      </c>
      <c r="J12" s="32">
        <f t="shared" si="0"/>
        <v>0.33140554941842026</v>
      </c>
      <c r="K12" s="776">
        <f t="shared" si="1"/>
        <v>1.5903000000000002E-3</v>
      </c>
      <c r="L12" s="1158"/>
    </row>
    <row r="13" spans="2:12" ht="16.5" x14ac:dyDescent="0.3">
      <c r="B13" s="777">
        <v>1260023</v>
      </c>
      <c r="C13" s="74" t="s">
        <v>1213</v>
      </c>
      <c r="D13" s="7">
        <v>1.0430999999999999E-3</v>
      </c>
      <c r="E13" s="248">
        <v>0.61</v>
      </c>
      <c r="F13" s="896">
        <f>VLOOKUP(B13,[2]Hoja1!$C$2:$E$279,3,FALSE)</f>
        <v>121308.46</v>
      </c>
      <c r="G13" s="248">
        <f t="shared" si="2"/>
        <v>126.53685462599999</v>
      </c>
      <c r="H13" s="95">
        <v>134302.01999999999</v>
      </c>
      <c r="I13" s="856">
        <f t="shared" si="3"/>
        <v>140.09043706199998</v>
      </c>
      <c r="J13" s="32">
        <f t="shared" si="0"/>
        <v>-9.6748805416329446</v>
      </c>
      <c r="K13" s="776">
        <f t="shared" si="1"/>
        <v>1.0430999999999999E-3</v>
      </c>
      <c r="L13" s="1158"/>
    </row>
    <row r="14" spans="2:12" ht="16.5" x14ac:dyDescent="0.3">
      <c r="B14" s="777">
        <v>1260022</v>
      </c>
      <c r="C14" s="74" t="s">
        <v>974</v>
      </c>
      <c r="D14" s="7">
        <v>1.0430999999999999E-3</v>
      </c>
      <c r="E14" s="248">
        <v>0.61</v>
      </c>
      <c r="F14" s="896">
        <f>VLOOKUP(B14,[2]Hoja1!$C$2:$E$279,3,FALSE)</f>
        <v>22988.01</v>
      </c>
      <c r="G14" s="248">
        <f t="shared" si="2"/>
        <v>23.978793230999997</v>
      </c>
      <c r="H14" s="274">
        <v>27066.49</v>
      </c>
      <c r="I14" s="856">
        <f t="shared" si="3"/>
        <v>28.233055718999999</v>
      </c>
      <c r="J14" s="32">
        <f t="shared" si="0"/>
        <v>-15.068374214757824</v>
      </c>
      <c r="K14" s="776">
        <f t="shared" si="1"/>
        <v>1.0430999999999999E-3</v>
      </c>
      <c r="L14" s="1158"/>
    </row>
    <row r="15" spans="2:12" ht="16.5" x14ac:dyDescent="0.3">
      <c r="B15" s="777">
        <v>1230023</v>
      </c>
      <c r="C15" s="74" t="s">
        <v>1211</v>
      </c>
      <c r="D15" s="7">
        <v>1.0430999999999999E-3</v>
      </c>
      <c r="E15" s="248">
        <v>0.61</v>
      </c>
      <c r="F15" s="896">
        <f>VLOOKUP(B15,[2]Hoja1!$C$2:$E$279,3,FALSE)</f>
        <v>54277.09</v>
      </c>
      <c r="G15" s="248">
        <f t="shared" si="2"/>
        <v>56.616432578999991</v>
      </c>
      <c r="H15" s="95">
        <v>41800</v>
      </c>
      <c r="I15" s="856">
        <f t="shared" si="3"/>
        <v>43.601579999999998</v>
      </c>
      <c r="J15" s="32">
        <f t="shared" si="0"/>
        <v>29.849497607655508</v>
      </c>
      <c r="K15" s="776">
        <f t="shared" si="1"/>
        <v>1.0430999999999999E-3</v>
      </c>
      <c r="L15" s="1158"/>
    </row>
    <row r="16" spans="2:12" ht="16.5" x14ac:dyDescent="0.3">
      <c r="B16" s="777">
        <v>121007</v>
      </c>
      <c r="C16" s="74" t="s">
        <v>821</v>
      </c>
      <c r="D16" s="7">
        <v>8.3790000000000004E-4</v>
      </c>
      <c r="E16" s="1541">
        <v>0.49</v>
      </c>
      <c r="F16" s="896">
        <f>VLOOKUP(B16,[2]Hoja1!$C$2:$E$279,3,FALSE)</f>
        <v>16905</v>
      </c>
      <c r="G16" s="248">
        <f t="shared" si="2"/>
        <v>14.164699500000001</v>
      </c>
      <c r="H16" s="106">
        <v>16100</v>
      </c>
      <c r="I16" s="856">
        <f t="shared" si="3"/>
        <v>13.49019</v>
      </c>
      <c r="J16" s="32">
        <f t="shared" si="0"/>
        <v>5</v>
      </c>
      <c r="K16" s="776">
        <f t="shared" si="1"/>
        <v>8.3790000000000004E-4</v>
      </c>
      <c r="L16" s="1158"/>
    </row>
    <row r="17" spans="2:12" ht="16.5" x14ac:dyDescent="0.3">
      <c r="B17" s="777">
        <v>1270007</v>
      </c>
      <c r="C17" s="74" t="s">
        <v>1214</v>
      </c>
      <c r="D17" s="7">
        <v>6.156E-4</v>
      </c>
      <c r="E17" s="1541">
        <v>0.36</v>
      </c>
      <c r="F17" s="896">
        <f>VLOOKUP(B17,[2]Hoja1!$C$2:$E$279,3,FALSE)</f>
        <v>169641.79</v>
      </c>
      <c r="G17" s="248">
        <f t="shared" si="2"/>
        <v>104.431485924</v>
      </c>
      <c r="H17" s="914">
        <v>180923.04</v>
      </c>
      <c r="I17" s="856">
        <f t="shared" si="3"/>
        <v>111.376223424</v>
      </c>
      <c r="J17" s="32">
        <f t="shared" si="0"/>
        <v>-6.2353860514393347</v>
      </c>
      <c r="K17" s="776">
        <f t="shared" si="1"/>
        <v>6.156E-4</v>
      </c>
      <c r="L17" s="1158"/>
    </row>
    <row r="18" spans="2:12" ht="16.5" x14ac:dyDescent="0.3">
      <c r="B18" s="777">
        <v>1260014</v>
      </c>
      <c r="C18" s="74" t="s">
        <v>825</v>
      </c>
      <c r="D18" s="7">
        <v>6.3270000000000004E-4</v>
      </c>
      <c r="E18" s="1541">
        <v>0.37</v>
      </c>
      <c r="F18" s="896">
        <f>VLOOKUP(B18,[2]Hoja1!$C$2:$E$279,3,FALSE)</f>
        <v>28083.42</v>
      </c>
      <c r="G18" s="248">
        <f t="shared" si="2"/>
        <v>17.768379834000001</v>
      </c>
      <c r="H18" s="95">
        <v>40834.379999999997</v>
      </c>
      <c r="I18" s="856">
        <f t="shared" si="3"/>
        <v>25.835912226000001</v>
      </c>
      <c r="J18" s="32">
        <f t="shared" si="0"/>
        <v>-31.226040410066219</v>
      </c>
      <c r="K18" s="776">
        <f t="shared" si="1"/>
        <v>6.3270000000000004E-4</v>
      </c>
      <c r="L18" s="1158"/>
    </row>
    <row r="19" spans="2:12" ht="16.5" x14ac:dyDescent="0.3">
      <c r="B19" s="777">
        <v>1240004</v>
      </c>
      <c r="C19" s="74" t="s">
        <v>896</v>
      </c>
      <c r="D19" s="7">
        <v>6.3270000000000004E-4</v>
      </c>
      <c r="E19" s="1541">
        <v>0.37</v>
      </c>
      <c r="F19" s="896" t="e">
        <f>VLOOKUP(B19,[2]Hoja1!$C$2:$E$279,3,FALSE)</f>
        <v>#N/A</v>
      </c>
      <c r="G19" s="248" t="e">
        <f t="shared" si="2"/>
        <v>#N/A</v>
      </c>
      <c r="H19" s="914">
        <v>11340</v>
      </c>
      <c r="I19" s="856">
        <f t="shared" si="3"/>
        <v>7.1748180000000001</v>
      </c>
      <c r="J19" s="32" t="e">
        <f t="shared" si="0"/>
        <v>#N/A</v>
      </c>
      <c r="K19" s="776">
        <f t="shared" si="1"/>
        <v>6.3270000000000004E-4</v>
      </c>
      <c r="L19" s="1158"/>
    </row>
    <row r="20" spans="2:12" ht="16.5" x14ac:dyDescent="0.3">
      <c r="B20" s="777">
        <v>1270008</v>
      </c>
      <c r="C20" s="74" t="s">
        <v>1215</v>
      </c>
      <c r="D20" s="1538">
        <v>3.078E-4</v>
      </c>
      <c r="E20" s="1541">
        <v>0.18</v>
      </c>
      <c r="F20" s="896">
        <f>VLOOKUP(B20,[2]Hoja1!$C$2:$E$279,3,FALSE)</f>
        <v>8935.81</v>
      </c>
      <c r="G20" s="248">
        <f t="shared" si="2"/>
        <v>2.7504423179999997</v>
      </c>
      <c r="H20" s="106">
        <v>9530.2999999999993</v>
      </c>
      <c r="I20" s="856">
        <f t="shared" si="3"/>
        <v>2.9334263399999996</v>
      </c>
      <c r="J20" s="32">
        <f t="shared" si="0"/>
        <v>-6.2378938753239623</v>
      </c>
      <c r="K20" s="776">
        <f t="shared" si="1"/>
        <v>3.078E-4</v>
      </c>
      <c r="L20" s="1158"/>
    </row>
    <row r="21" spans="2:12" ht="16.5" x14ac:dyDescent="0.3">
      <c r="B21" s="777">
        <v>1210004</v>
      </c>
      <c r="C21" s="74" t="s">
        <v>1131</v>
      </c>
      <c r="D21" s="1538">
        <v>1.7100000000000001E-4</v>
      </c>
      <c r="E21" s="1541">
        <v>0.1</v>
      </c>
      <c r="F21" s="896">
        <f>VLOOKUP(B21,[2]Hoja1!$C$2:$E$279,3,FALSE)</f>
        <v>3841</v>
      </c>
      <c r="G21" s="248">
        <f t="shared" si="2"/>
        <v>0.65681100000000003</v>
      </c>
      <c r="H21" s="388">
        <v>3508.01</v>
      </c>
      <c r="I21" s="856">
        <f t="shared" si="3"/>
        <v>0.59986971000000011</v>
      </c>
      <c r="J21" s="32">
        <f t="shared" si="0"/>
        <v>9.4922762477871885</v>
      </c>
      <c r="K21" s="776">
        <f t="shared" si="1"/>
        <v>1.7100000000000001E-4</v>
      </c>
      <c r="L21" s="1158"/>
    </row>
    <row r="22" spans="2:12" ht="16.5" x14ac:dyDescent="0.3">
      <c r="B22" s="777">
        <v>1210003</v>
      </c>
      <c r="C22" s="74" t="s">
        <v>1143</v>
      </c>
      <c r="D22" s="1538">
        <v>1.026E-4</v>
      </c>
      <c r="E22" s="1541">
        <v>0.06</v>
      </c>
      <c r="F22" s="896">
        <f>VLOOKUP(B22,[2]Hoja1!$C$2:$E$279,3,FALSE)</f>
        <v>16235.45</v>
      </c>
      <c r="G22" s="248">
        <f t="shared" si="2"/>
        <v>1.66575717</v>
      </c>
      <c r="H22" s="95">
        <v>12852.58</v>
      </c>
      <c r="I22" s="856">
        <f t="shared" si="3"/>
        <v>1.3186747080000001</v>
      </c>
      <c r="J22" s="32">
        <f t="shared" si="0"/>
        <v>26.320551982559152</v>
      </c>
      <c r="K22" s="776">
        <f t="shared" si="1"/>
        <v>1.026E-4</v>
      </c>
      <c r="L22" s="1158"/>
    </row>
    <row r="23" spans="2:12" ht="16.5" x14ac:dyDescent="0.3">
      <c r="B23" s="777">
        <v>1250003</v>
      </c>
      <c r="C23" s="74" t="s">
        <v>914</v>
      </c>
      <c r="D23" s="1538">
        <v>8.5500000000000005E-5</v>
      </c>
      <c r="E23" s="1541">
        <v>0.05</v>
      </c>
      <c r="F23" s="896">
        <f>VLOOKUP(B23,[2]Hoja1!$C$2:$E$279,3,FALSE)</f>
        <v>50952.79</v>
      </c>
      <c r="G23" s="248">
        <f t="shared" si="2"/>
        <v>4.3564635450000004</v>
      </c>
      <c r="H23" s="237">
        <v>47385.41</v>
      </c>
      <c r="I23" s="856">
        <f t="shared" si="3"/>
        <v>4.0514525550000009</v>
      </c>
      <c r="J23" s="32">
        <f t="shared" si="0"/>
        <v>7.5284354403602123</v>
      </c>
      <c r="K23" s="776">
        <f t="shared" si="1"/>
        <v>8.5500000000000005E-5</v>
      </c>
      <c r="L23" s="1158"/>
    </row>
    <row r="24" spans="2:12" ht="16.5" x14ac:dyDescent="0.3">
      <c r="B24" s="777">
        <v>1250001</v>
      </c>
      <c r="C24" s="74" t="s">
        <v>1160</v>
      </c>
      <c r="D24" s="1539">
        <v>1.7100000000000002E-5</v>
      </c>
      <c r="E24" s="1525">
        <v>0.01</v>
      </c>
      <c r="F24" s="896">
        <f>VLOOKUP(B24,[2]Hoja1!$C$2:$E$279,3,FALSE)</f>
        <v>5093.8999999999996</v>
      </c>
      <c r="G24" s="248">
        <f t="shared" si="2"/>
        <v>8.710569E-2</v>
      </c>
      <c r="H24" s="672">
        <v>4885.95</v>
      </c>
      <c r="I24" s="856">
        <f t="shared" si="3"/>
        <v>8.3549745000000009E-2</v>
      </c>
      <c r="J24" s="32"/>
      <c r="K24" s="776">
        <f t="shared" si="1"/>
        <v>1.7100000000000002E-5</v>
      </c>
      <c r="L24" s="1158"/>
    </row>
    <row r="25" spans="2:12" x14ac:dyDescent="0.25">
      <c r="B25" s="1739" t="s">
        <v>37</v>
      </c>
      <c r="C25" s="1739"/>
      <c r="D25" s="1293">
        <f>SUM(D23,D22,D21,D20,D19,D18,D17,D16,D15,D14,D13,D12,D11,D10,D9,D8,D7,D6,D5)</f>
        <v>0.17100000000000004</v>
      </c>
      <c r="E25" s="1294">
        <f>SUM(E5:E23)</f>
        <v>100.00000000000003</v>
      </c>
      <c r="F25" s="1295"/>
      <c r="G25" s="1296" t="e">
        <f>SUM(G5:G24)</f>
        <v>#N/A</v>
      </c>
      <c r="H25" s="1297"/>
      <c r="I25" s="1297">
        <f>SUM(I5:I23)</f>
        <v>1897.7565697560001</v>
      </c>
      <c r="J25" s="1306" t="e">
        <f>((G25/I25)*100)-100</f>
        <v>#N/A</v>
      </c>
      <c r="K25" s="1307"/>
    </row>
    <row r="26" spans="2:12" x14ac:dyDescent="0.25">
      <c r="B26" s="240"/>
      <c r="C26" s="240"/>
      <c r="D26" s="254"/>
      <c r="E26" s="242"/>
      <c r="F26" s="242"/>
      <c r="G26" s="242"/>
      <c r="H26" s="242"/>
      <c r="I26" s="242"/>
      <c r="J26" s="242"/>
    </row>
    <row r="27" spans="2:12" ht="25.5" x14ac:dyDescent="0.25">
      <c r="B27" s="1740" t="s">
        <v>50</v>
      </c>
      <c r="C27" s="1741"/>
      <c r="D27" s="38">
        <f>+C30+(C30*C36%)</f>
        <v>177</v>
      </c>
      <c r="E27" s="195"/>
      <c r="F27" s="195"/>
      <c r="G27" s="195"/>
      <c r="H27" s="195"/>
      <c r="I27" s="195"/>
      <c r="J27" s="195"/>
    </row>
    <row r="28" spans="2:12" x14ac:dyDescent="0.25">
      <c r="B28" s="1285" t="s">
        <v>38</v>
      </c>
      <c r="C28" s="163"/>
    </row>
    <row r="29" spans="2:12" x14ac:dyDescent="0.25">
      <c r="B29" s="1285" t="s">
        <v>39</v>
      </c>
      <c r="C29" s="163" t="s">
        <v>1223</v>
      </c>
    </row>
    <row r="30" spans="2:12" x14ac:dyDescent="0.25">
      <c r="B30" s="1285" t="s">
        <v>40</v>
      </c>
      <c r="C30" s="163">
        <v>150</v>
      </c>
      <c r="G30" s="120" t="s">
        <v>85</v>
      </c>
    </row>
    <row r="31" spans="2:12" x14ac:dyDescent="0.25">
      <c r="B31" s="1285" t="s">
        <v>41</v>
      </c>
      <c r="C31" s="163">
        <v>0</v>
      </c>
    </row>
    <row r="32" spans="2:12" x14ac:dyDescent="0.25">
      <c r="B32" s="1285" t="s">
        <v>42</v>
      </c>
      <c r="C32" s="163">
        <v>0</v>
      </c>
    </row>
    <row r="33" spans="2:11" x14ac:dyDescent="0.25">
      <c r="B33" s="1285" t="s">
        <v>43</v>
      </c>
      <c r="C33" s="163">
        <v>2</v>
      </c>
    </row>
    <row r="34" spans="2:11" x14ac:dyDescent="0.25">
      <c r="B34" s="1285" t="s">
        <v>44</v>
      </c>
      <c r="C34" s="163">
        <v>9</v>
      </c>
    </row>
    <row r="35" spans="2:11" x14ac:dyDescent="0.25">
      <c r="B35" s="1285" t="s">
        <v>45</v>
      </c>
      <c r="C35" s="163">
        <v>7</v>
      </c>
    </row>
    <row r="36" spans="2:11" x14ac:dyDescent="0.25">
      <c r="B36" s="1285" t="s">
        <v>46</v>
      </c>
      <c r="C36" s="163">
        <f>SUM(C31:C35)</f>
        <v>18</v>
      </c>
    </row>
    <row r="38" spans="2:11" ht="25.5" x14ac:dyDescent="0.25">
      <c r="B38" s="1742" t="s">
        <v>47</v>
      </c>
      <c r="C38" s="1742"/>
      <c r="D38" s="1742"/>
      <c r="E38" s="1742"/>
      <c r="F38" s="1742"/>
      <c r="G38" s="779"/>
      <c r="H38" s="857"/>
      <c r="I38" s="857"/>
      <c r="J38" s="857"/>
    </row>
    <row r="39" spans="2:11" ht="25.5" x14ac:dyDescent="0.25">
      <c r="B39" s="1255"/>
      <c r="C39" s="1255" t="s">
        <v>1</v>
      </c>
      <c r="D39" s="1255" t="s">
        <v>2</v>
      </c>
      <c r="E39" s="1243" t="str">
        <f>+'CIF Y PV'!$F$4</f>
        <v xml:space="preserve">JUN-COP/UMB </v>
      </c>
      <c r="F39" s="1243" t="str">
        <f>+'CIF Y PV'!$G$4</f>
        <v>JUN-COP/APP</v>
      </c>
      <c r="G39" s="1243" t="str">
        <f>+'CIF Y PV'!$H$4</f>
        <v xml:space="preserve">MAY-COP/UMB </v>
      </c>
      <c r="H39" s="1243" t="str">
        <f>+'CIF Y PV'!$I$4</f>
        <v>MAY-COP/APP</v>
      </c>
      <c r="I39" s="1526" t="s">
        <v>3</v>
      </c>
      <c r="J39" s="269"/>
    </row>
    <row r="40" spans="2:11" x14ac:dyDescent="0.25">
      <c r="B40" s="777">
        <v>1310018</v>
      </c>
      <c r="C40" s="918" t="s">
        <v>890</v>
      </c>
      <c r="D40" s="861">
        <v>0.15</v>
      </c>
      <c r="E40" s="24">
        <f>VLOOKUP(B40,[3]Hoja1!$C$2:$E$295,3,FALSE)</f>
        <v>454.33</v>
      </c>
      <c r="F40" s="24">
        <f>E40*D40</f>
        <v>68.149499999999989</v>
      </c>
      <c r="G40" s="871">
        <v>503.51</v>
      </c>
      <c r="H40" s="24">
        <f>G40*D40</f>
        <v>75.526499999999999</v>
      </c>
      <c r="I40" s="903">
        <f>((E40/G40)*100)-100</f>
        <v>-9.7674326229866324</v>
      </c>
      <c r="J40" s="38"/>
    </row>
    <row r="41" spans="2:11" x14ac:dyDescent="0.25">
      <c r="B41" s="777">
        <v>1320005</v>
      </c>
      <c r="C41" s="919" t="s">
        <v>1145</v>
      </c>
      <c r="D41" s="386">
        <v>0.15</v>
      </c>
      <c r="E41" s="24">
        <f>VLOOKUP(B41,[3]Hoja1!$C$2:$E$295,3,FALSE)</f>
        <v>740.21</v>
      </c>
      <c r="F41" s="24">
        <f>E41*D41</f>
        <v>111.03150000000001</v>
      </c>
      <c r="G41" s="24">
        <v>828.94</v>
      </c>
      <c r="H41" s="24">
        <f>G41*D41</f>
        <v>124.34100000000001</v>
      </c>
      <c r="I41" s="886">
        <f>((E41/G41)*100)-100</f>
        <v>-10.704031654884545</v>
      </c>
      <c r="J41" s="38"/>
    </row>
    <row r="42" spans="2:11" ht="15" x14ac:dyDescent="0.25">
      <c r="B42" s="777">
        <v>1330088</v>
      </c>
      <c r="C42" s="1142" t="s">
        <v>1216</v>
      </c>
      <c r="D42" s="386">
        <v>1</v>
      </c>
      <c r="E42" s="24">
        <f>VLOOKUP(B42,[3]Hoja1!$C$2:$E$295,3,FALSE)</f>
        <v>267</v>
      </c>
      <c r="F42" s="24">
        <f>E42*D42</f>
        <v>267</v>
      </c>
      <c r="G42" s="862">
        <v>266.97000000000003</v>
      </c>
      <c r="H42" s="24">
        <f>G42*D42</f>
        <v>266.97000000000003</v>
      </c>
      <c r="I42" s="886">
        <f>((E42/G42)*100)-100</f>
        <v>1.1237217664898935E-2</v>
      </c>
      <c r="J42" s="1"/>
    </row>
    <row r="43" spans="2:11" ht="15" x14ac:dyDescent="0.25">
      <c r="B43" s="777">
        <v>1330089</v>
      </c>
      <c r="C43" s="1142" t="s">
        <v>1217</v>
      </c>
      <c r="D43" s="386">
        <v>1</v>
      </c>
      <c r="E43" s="24">
        <f>VLOOKUP(B43,[3]Hoja1!$C$2:$E$295,3,FALSE)</f>
        <v>82.39</v>
      </c>
      <c r="F43" s="24">
        <f>E43*D43</f>
        <v>82.39</v>
      </c>
      <c r="G43" s="862">
        <v>82.39</v>
      </c>
      <c r="H43" s="24">
        <f>G43*D43</f>
        <v>82.39</v>
      </c>
      <c r="I43" s="886"/>
      <c r="J43" s="1"/>
    </row>
    <row r="44" spans="2:11" ht="15" x14ac:dyDescent="0.25">
      <c r="B44" s="777">
        <v>1370047</v>
      </c>
      <c r="C44" s="1142" t="s">
        <v>1222</v>
      </c>
      <c r="D44" s="386">
        <v>8.0000000000000002E-3</v>
      </c>
      <c r="E44" s="24">
        <f>VLOOKUP(B44,[3]Hoja1!$C$2:$E$295,3,FALSE)</f>
        <v>5457.84</v>
      </c>
      <c r="F44" s="103">
        <f>E44*D44</f>
        <v>43.66272</v>
      </c>
      <c r="G44" s="862">
        <v>6022.39</v>
      </c>
      <c r="H44" s="24">
        <f>G44*D44</f>
        <v>48.179120000000005</v>
      </c>
      <c r="I44" s="886"/>
      <c r="J44" s="1"/>
    </row>
    <row r="45" spans="2:11" x14ac:dyDescent="0.25">
      <c r="B45" s="1298"/>
      <c r="C45" s="1312" t="s">
        <v>37</v>
      </c>
      <c r="D45" s="1313"/>
      <c r="E45" s="1300"/>
      <c r="F45" s="1300">
        <f>SUM(F40:F44)</f>
        <v>572.23372000000006</v>
      </c>
      <c r="G45" s="1301"/>
      <c r="H45" s="1301">
        <f>SUM(H40:H44)</f>
        <v>597.40662000000009</v>
      </c>
      <c r="I45" s="1302">
        <f>((F45/H45)*100)-100</f>
        <v>-4.213696192385683</v>
      </c>
      <c r="J45" s="859"/>
    </row>
    <row r="47" spans="2:11" x14ac:dyDescent="0.25">
      <c r="F47" s="890"/>
      <c r="G47" s="1" t="str">
        <f>+'CIF Y PV'!$G$1</f>
        <v>MAYO</v>
      </c>
      <c r="H47" s="890"/>
      <c r="I47" s="890"/>
      <c r="J47" s="890"/>
      <c r="K47" s="891"/>
    </row>
    <row r="48" spans="2:11" ht="17.25" x14ac:dyDescent="0.25">
      <c r="B48" s="1735" t="s">
        <v>400</v>
      </c>
      <c r="C48" s="1735"/>
      <c r="E48" s="884"/>
      <c r="F48" s="887"/>
      <c r="G48" s="1232" t="e">
        <f>F45+G25</f>
        <v>#N/A</v>
      </c>
      <c r="H48" s="888"/>
      <c r="I48" s="887"/>
      <c r="J48" s="888"/>
      <c r="K48" s="891"/>
    </row>
    <row r="49" spans="2:11" ht="17.25" x14ac:dyDescent="0.25">
      <c r="B49" s="1736" t="s">
        <v>48</v>
      </c>
      <c r="C49" s="1737"/>
      <c r="E49" s="884"/>
      <c r="F49" s="887"/>
      <c r="G49" s="1232">
        <f>+('CIF Y PV'!C3/1000)*150</f>
        <v>283.5</v>
      </c>
      <c r="H49" s="888"/>
      <c r="I49" s="887"/>
      <c r="J49" s="888"/>
      <c r="K49" s="891"/>
    </row>
    <row r="50" spans="2:11" ht="17.25" x14ac:dyDescent="0.25">
      <c r="B50" s="1736" t="s">
        <v>1218</v>
      </c>
      <c r="C50" s="1737"/>
      <c r="E50" s="884"/>
      <c r="F50" s="887"/>
      <c r="G50" s="1232" t="e">
        <f>+G48+G49</f>
        <v>#N/A</v>
      </c>
      <c r="H50" s="888"/>
      <c r="I50" s="887"/>
      <c r="J50" s="888"/>
      <c r="K50" s="891"/>
    </row>
    <row r="51" spans="2:11" ht="17.25" x14ac:dyDescent="0.25">
      <c r="B51" s="1735" t="s">
        <v>49</v>
      </c>
      <c r="C51" s="1735"/>
      <c r="E51" s="884"/>
      <c r="F51" s="887"/>
      <c r="G51" s="1232">
        <f>'CIF Y PV'!C81</f>
        <v>5042.0860999999995</v>
      </c>
      <c r="I51" s="887"/>
      <c r="J51" s="889"/>
      <c r="K51" s="891"/>
    </row>
    <row r="52" spans="2:11" ht="15" x14ac:dyDescent="0.2">
      <c r="B52" s="1735" t="s">
        <v>805</v>
      </c>
      <c r="C52" s="1735"/>
      <c r="E52" s="884"/>
      <c r="F52" s="887"/>
      <c r="G52" s="1230" t="e">
        <f>+(G51-G50)/G51</f>
        <v>#N/A</v>
      </c>
      <c r="H52" s="172"/>
      <c r="I52" s="892"/>
      <c r="J52" s="172">
        <f>1-J51</f>
        <v>1</v>
      </c>
    </row>
    <row r="53" spans="2:11" x14ac:dyDescent="0.25">
      <c r="F53" s="890"/>
      <c r="G53" s="890"/>
      <c r="H53" s="890"/>
      <c r="I53" s="890"/>
      <c r="J53" s="890"/>
      <c r="K53" s="891"/>
    </row>
    <row r="54" spans="2:11" x14ac:dyDescent="0.25">
      <c r="F54" s="890"/>
      <c r="G54" s="890"/>
      <c r="H54" s="890"/>
      <c r="I54" s="890"/>
      <c r="J54" s="890"/>
      <c r="K54" s="891"/>
    </row>
    <row r="55" spans="2:11" x14ac:dyDescent="0.25">
      <c r="F55" s="890"/>
      <c r="G55" s="890"/>
      <c r="I55" s="890"/>
      <c r="J55" s="890"/>
      <c r="K55" s="891"/>
    </row>
  </sheetData>
  <autoFilter ref="A4:K25" xr:uid="{A8DC38CF-75A8-4C29-A03E-77C69720878D}"/>
  <mergeCells count="9">
    <mergeCell ref="B50:C50"/>
    <mergeCell ref="B51:C51"/>
    <mergeCell ref="B52:C52"/>
    <mergeCell ref="B2:G2"/>
    <mergeCell ref="B25:C25"/>
    <mergeCell ref="B27:C27"/>
    <mergeCell ref="B38:F38"/>
    <mergeCell ref="B48:C48"/>
    <mergeCell ref="B49:C49"/>
  </mergeCells>
  <pageMargins left="0.7" right="0.7" top="0.75" bottom="0.75" header="0.3" footer="0.3"/>
  <colBreaks count="4" manualBreakCount="4">
    <brk id="10" max="57" man="1"/>
    <brk id="13" max="57" man="1"/>
    <brk id="14" max="57" man="1"/>
    <brk id="15" max="58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692A-484F-4D3A-92ED-AD491A2B68FF}">
  <sheetPr codeName="Hoja128"/>
  <dimension ref="B2:L54"/>
  <sheetViews>
    <sheetView view="pageBreakPreview" topLeftCell="A3" zoomScale="90" zoomScaleNormal="100" zoomScaleSheetLayoutView="90" workbookViewId="0">
      <selection activeCell="F24" sqref="F24"/>
    </sheetView>
  </sheetViews>
  <sheetFormatPr baseColWidth="10" defaultColWidth="11.5703125" defaultRowHeight="13.5" x14ac:dyDescent="0.25"/>
  <cols>
    <col min="1" max="1" width="4.7109375" style="120" customWidth="1"/>
    <col min="2" max="2" width="12.7109375" style="120" customWidth="1"/>
    <col min="3" max="3" width="56.5703125" style="120" customWidth="1"/>
    <col min="4" max="4" width="15.140625" style="120" customWidth="1"/>
    <col min="5" max="5" width="13.140625" style="120" bestFit="1" customWidth="1"/>
    <col min="6" max="6" width="13.140625" style="120" customWidth="1"/>
    <col min="7" max="7" width="17.140625" style="120" bestFit="1" customWidth="1"/>
    <col min="8" max="8" width="17.140625" style="120" customWidth="1"/>
    <col min="9" max="9" width="15.28515625" style="120" customWidth="1"/>
    <col min="10" max="10" width="11.5703125" style="120" customWidth="1"/>
    <col min="11" max="11" width="12.7109375" style="170" customWidth="1"/>
    <col min="12" max="16384" width="11.5703125" style="120"/>
  </cols>
  <sheetData>
    <row r="2" spans="2:12" ht="30" customHeight="1" x14ac:dyDescent="0.25">
      <c r="B2" s="1738" t="s">
        <v>1238</v>
      </c>
      <c r="C2" s="1738"/>
      <c r="D2" s="1738"/>
      <c r="E2" s="1738"/>
      <c r="F2" s="1738"/>
      <c r="G2" s="1738"/>
      <c r="H2" s="855"/>
      <c r="I2" s="855"/>
      <c r="J2" s="855"/>
    </row>
    <row r="4" spans="2:12" s="3" customFormat="1" ht="28.5" customHeight="1" x14ac:dyDescent="0.25">
      <c r="B4" s="1244" t="s">
        <v>0</v>
      </c>
      <c r="C4" s="1244" t="s">
        <v>1</v>
      </c>
      <c r="D4" s="1244" t="s">
        <v>2</v>
      </c>
      <c r="E4" s="1244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303">
        <v>1.18</v>
      </c>
      <c r="L4" s="1303">
        <v>250</v>
      </c>
    </row>
    <row r="5" spans="2:12" ht="16.5" x14ac:dyDescent="0.3">
      <c r="B5" s="777">
        <v>1122008</v>
      </c>
      <c r="C5" s="74" t="s">
        <v>1028</v>
      </c>
      <c r="D5" s="103">
        <v>0.60852600000000001</v>
      </c>
      <c r="E5" s="248">
        <v>51.57</v>
      </c>
      <c r="F5" s="896">
        <f>VLOOKUP(B5,[3]Hoja1!$C$2:$E$295,3,FALSE)</f>
        <v>12500</v>
      </c>
      <c r="G5" s="248">
        <f>F5*D5</f>
        <v>7606.5749999999998</v>
      </c>
      <c r="H5" s="896">
        <v>12498.88</v>
      </c>
      <c r="I5" s="856">
        <f>H5*D5</f>
        <v>7605.8934508799994</v>
      </c>
      <c r="J5" s="32">
        <f t="shared" ref="J5:J23" si="0">((F5/H5)*100)-100</f>
        <v>8.9608028879410995E-3</v>
      </c>
      <c r="K5" s="776">
        <f t="shared" ref="K5:K24" si="1">$K$4*E5%</f>
        <v>0.60852600000000001</v>
      </c>
      <c r="L5" s="1159">
        <f>$L$4*E5</f>
        <v>12892.5</v>
      </c>
    </row>
    <row r="6" spans="2:12" ht="16.5" x14ac:dyDescent="0.3">
      <c r="B6" s="777">
        <v>1121009</v>
      </c>
      <c r="C6" s="74" t="s">
        <v>1272</v>
      </c>
      <c r="D6" s="7">
        <v>0.23647199999999999</v>
      </c>
      <c r="E6" s="248">
        <v>20.04</v>
      </c>
      <c r="F6" s="896">
        <f>VLOOKUP(B6,[3]Hoja1!$C$2:$E$295,3,FALSE)</f>
        <v>8427.2800000000007</v>
      </c>
      <c r="G6" s="248">
        <f t="shared" ref="G6:G24" si="2">F6*D6</f>
        <v>1992.8157561600001</v>
      </c>
      <c r="H6" s="38">
        <v>8754.2800000000007</v>
      </c>
      <c r="I6" s="856">
        <f t="shared" ref="I6:I24" si="3">H6*D6</f>
        <v>2070.1421001600002</v>
      </c>
      <c r="J6" s="32">
        <f t="shared" si="0"/>
        <v>-3.7353157541225528</v>
      </c>
      <c r="K6" s="776">
        <f t="shared" si="1"/>
        <v>0.23647199999999999</v>
      </c>
      <c r="L6" s="1158"/>
    </row>
    <row r="7" spans="2:12" ht="16.5" x14ac:dyDescent="0.3">
      <c r="B7" s="777">
        <v>1131002</v>
      </c>
      <c r="C7" s="74" t="s">
        <v>663</v>
      </c>
      <c r="D7" s="7">
        <v>0.18809199999999998</v>
      </c>
      <c r="E7" s="248">
        <v>15.94</v>
      </c>
      <c r="F7" s="896">
        <f>VLOOKUP(B7,[3]Hoja1!$C$2:$E$295,3,FALSE)</f>
        <v>0</v>
      </c>
      <c r="G7" s="248">
        <f t="shared" si="2"/>
        <v>0</v>
      </c>
      <c r="H7" s="896">
        <v>0</v>
      </c>
      <c r="I7" s="856">
        <f t="shared" si="3"/>
        <v>0</v>
      </c>
      <c r="J7" s="32" t="e">
        <f t="shared" si="0"/>
        <v>#DIV/0!</v>
      </c>
      <c r="K7" s="776">
        <f t="shared" si="1"/>
        <v>0.18809199999999998</v>
      </c>
      <c r="L7" s="1158"/>
    </row>
    <row r="8" spans="2:12" ht="16.5" x14ac:dyDescent="0.3">
      <c r="B8" s="777">
        <v>1260017</v>
      </c>
      <c r="C8" s="74" t="s">
        <v>832</v>
      </c>
      <c r="D8" s="7">
        <v>2.9971999999999999E-2</v>
      </c>
      <c r="E8" s="248">
        <v>2.54</v>
      </c>
      <c r="F8" s="896">
        <f>VLOOKUP(B8,[3]Hoja1!$C$2:$E$295,3,FALSE)</f>
        <v>4500</v>
      </c>
      <c r="G8" s="248">
        <f t="shared" si="2"/>
        <v>134.874</v>
      </c>
      <c r="H8" s="72">
        <v>4500</v>
      </c>
      <c r="I8" s="856">
        <f t="shared" si="3"/>
        <v>134.874</v>
      </c>
      <c r="J8" s="32">
        <f t="shared" si="0"/>
        <v>0</v>
      </c>
      <c r="K8" s="776">
        <f t="shared" si="1"/>
        <v>2.9971999999999999E-2</v>
      </c>
      <c r="L8" s="1158"/>
    </row>
    <row r="9" spans="2:12" ht="16.5" x14ac:dyDescent="0.3">
      <c r="B9" s="777">
        <v>1260009</v>
      </c>
      <c r="C9" s="74" t="s">
        <v>1027</v>
      </c>
      <c r="D9" s="7">
        <v>2.9971999999999999E-2</v>
      </c>
      <c r="E9" s="248">
        <v>2.54</v>
      </c>
      <c r="F9" s="896">
        <f>VLOOKUP(B9,[3]Hoja1!$C$2:$E$295,3,FALSE)</f>
        <v>8625.84</v>
      </c>
      <c r="G9" s="248">
        <f t="shared" si="2"/>
        <v>258.53367648</v>
      </c>
      <c r="H9" s="879">
        <v>9565.2099999999991</v>
      </c>
      <c r="I9" s="856">
        <f t="shared" si="3"/>
        <v>286.68847411999997</v>
      </c>
      <c r="J9" s="32">
        <f t="shared" si="0"/>
        <v>-9.8206939523544037</v>
      </c>
      <c r="K9" s="776">
        <f t="shared" si="1"/>
        <v>2.9971999999999999E-2</v>
      </c>
      <c r="L9" s="1158"/>
    </row>
    <row r="10" spans="2:12" ht="16.5" x14ac:dyDescent="0.3">
      <c r="B10" s="777">
        <v>1210005</v>
      </c>
      <c r="C10" s="74" t="s">
        <v>1155</v>
      </c>
      <c r="D10" s="7">
        <v>1.9116000000000001E-2</v>
      </c>
      <c r="E10" s="248">
        <v>1.62</v>
      </c>
      <c r="F10" s="896">
        <f>VLOOKUP(B10,[3]Hoja1!$C$2:$E$295,3,FALSE)</f>
        <v>1356</v>
      </c>
      <c r="G10" s="248">
        <f t="shared" si="2"/>
        <v>25.921296000000002</v>
      </c>
      <c r="H10" s="914">
        <v>1360</v>
      </c>
      <c r="I10" s="856">
        <f t="shared" si="3"/>
        <v>25.997760000000003</v>
      </c>
      <c r="J10" s="32">
        <f t="shared" si="0"/>
        <v>-0.29411764705882604</v>
      </c>
      <c r="K10" s="776">
        <f t="shared" si="1"/>
        <v>1.9116000000000001E-2</v>
      </c>
      <c r="L10" s="1158"/>
    </row>
    <row r="11" spans="2:12" ht="16.5" x14ac:dyDescent="0.3">
      <c r="B11" s="777">
        <v>1260005</v>
      </c>
      <c r="C11" s="74" t="s">
        <v>811</v>
      </c>
      <c r="D11" s="7">
        <v>1.1917999999999998E-2</v>
      </c>
      <c r="E11" s="248">
        <v>1.01</v>
      </c>
      <c r="F11" s="896">
        <f>VLOOKUP(B11,[3]Hoja1!$C$2:$E$295,3,FALSE)</f>
        <v>25850</v>
      </c>
      <c r="G11" s="248">
        <f t="shared" si="2"/>
        <v>308.08029999999997</v>
      </c>
      <c r="H11" s="914">
        <v>25850</v>
      </c>
      <c r="I11" s="856">
        <f t="shared" si="3"/>
        <v>308.08029999999997</v>
      </c>
      <c r="J11" s="32">
        <f t="shared" si="0"/>
        <v>0</v>
      </c>
      <c r="K11" s="776">
        <f t="shared" si="1"/>
        <v>1.1917999999999998E-2</v>
      </c>
      <c r="L11" s="1158"/>
    </row>
    <row r="12" spans="2:12" ht="16.5" x14ac:dyDescent="0.3">
      <c r="B12" s="777">
        <v>1220004</v>
      </c>
      <c r="C12" s="74" t="s">
        <v>1212</v>
      </c>
      <c r="D12" s="7">
        <v>1.0974000000000001E-2</v>
      </c>
      <c r="E12" s="248">
        <v>0.93</v>
      </c>
      <c r="F12" s="896">
        <f>VLOOKUP(B12,[3]Hoja1!$C$2:$E$295,3,FALSE)</f>
        <v>4632</v>
      </c>
      <c r="G12" s="248">
        <f t="shared" si="2"/>
        <v>50.831568000000004</v>
      </c>
      <c r="H12" s="914">
        <v>4616.7</v>
      </c>
      <c r="I12" s="856">
        <f t="shared" si="3"/>
        <v>50.663665800000004</v>
      </c>
      <c r="J12" s="32">
        <f t="shared" si="0"/>
        <v>0.33140554941842026</v>
      </c>
      <c r="K12" s="776">
        <f t="shared" si="1"/>
        <v>1.0974000000000001E-2</v>
      </c>
      <c r="L12" s="1158"/>
    </row>
    <row r="13" spans="2:12" ht="16.5" x14ac:dyDescent="0.3">
      <c r="B13" s="777">
        <v>1260023</v>
      </c>
      <c r="C13" s="74" t="s">
        <v>1213</v>
      </c>
      <c r="D13" s="7">
        <v>7.1979999999999987E-3</v>
      </c>
      <c r="E13" s="248">
        <v>0.61</v>
      </c>
      <c r="F13" s="896">
        <f>VLOOKUP(B13,[3]Hoja1!$C$2:$E$295,3,FALSE)</f>
        <v>122497.84</v>
      </c>
      <c r="G13" s="248">
        <f t="shared" si="2"/>
        <v>881.73945231999983</v>
      </c>
      <c r="H13" s="95">
        <v>134302.01999999999</v>
      </c>
      <c r="I13" s="856">
        <f t="shared" si="3"/>
        <v>966.7059399599998</v>
      </c>
      <c r="J13" s="32">
        <f t="shared" si="0"/>
        <v>-8.7892795655642288</v>
      </c>
      <c r="K13" s="776">
        <f t="shared" si="1"/>
        <v>7.1979999999999987E-3</v>
      </c>
      <c r="L13" s="1158"/>
    </row>
    <row r="14" spans="2:12" ht="16.5" x14ac:dyDescent="0.3">
      <c r="B14" s="777">
        <v>1260022</v>
      </c>
      <c r="C14" s="74" t="s">
        <v>974</v>
      </c>
      <c r="D14" s="7">
        <v>7.1979999999999987E-3</v>
      </c>
      <c r="E14" s="248">
        <v>0.61</v>
      </c>
      <c r="F14" s="896">
        <f>VLOOKUP(B14,[3]Hoja1!$C$2:$E$295,3,FALSE)</f>
        <v>23387.67</v>
      </c>
      <c r="G14" s="248">
        <f t="shared" si="2"/>
        <v>168.34444865999995</v>
      </c>
      <c r="H14" s="274">
        <v>27066.49</v>
      </c>
      <c r="I14" s="856">
        <f t="shared" si="3"/>
        <v>194.82459501999998</v>
      </c>
      <c r="J14" s="32">
        <f t="shared" si="0"/>
        <v>-13.591788222263034</v>
      </c>
      <c r="K14" s="776">
        <f t="shared" si="1"/>
        <v>7.1979999999999987E-3</v>
      </c>
      <c r="L14" s="1158"/>
    </row>
    <row r="15" spans="2:12" ht="16.5" x14ac:dyDescent="0.3">
      <c r="B15" s="777">
        <v>1230023</v>
      </c>
      <c r="C15" s="74" t="s">
        <v>1211</v>
      </c>
      <c r="D15" s="7">
        <v>7.1979999999999987E-3</v>
      </c>
      <c r="E15" s="248">
        <v>0.61</v>
      </c>
      <c r="F15" s="896">
        <f>VLOOKUP(B15,[3]Hoja1!$C$2:$E$295,3,FALSE)</f>
        <v>41800</v>
      </c>
      <c r="G15" s="248">
        <f t="shared" si="2"/>
        <v>300.87639999999993</v>
      </c>
      <c r="H15" s="95">
        <v>41800</v>
      </c>
      <c r="I15" s="856">
        <f t="shared" si="3"/>
        <v>300.87639999999993</v>
      </c>
      <c r="J15" s="32">
        <f t="shared" si="0"/>
        <v>0</v>
      </c>
      <c r="K15" s="776">
        <f t="shared" si="1"/>
        <v>7.1979999999999987E-3</v>
      </c>
      <c r="L15" s="1158"/>
    </row>
    <row r="16" spans="2:12" ht="16.5" x14ac:dyDescent="0.3">
      <c r="B16" s="777">
        <v>121007</v>
      </c>
      <c r="C16" s="74" t="s">
        <v>821</v>
      </c>
      <c r="D16" s="7">
        <v>5.7819999999999998E-3</v>
      </c>
      <c r="E16" s="1541">
        <v>0.49</v>
      </c>
      <c r="F16" s="896">
        <f>VLOOKUP(B16,[3]Hoja1!$C$2:$E$295,3,FALSE)</f>
        <v>16155.29</v>
      </c>
      <c r="G16" s="248">
        <f t="shared" si="2"/>
        <v>93.409886780000008</v>
      </c>
      <c r="H16" s="106">
        <v>16100</v>
      </c>
      <c r="I16" s="856">
        <f t="shared" si="3"/>
        <v>93.090199999999996</v>
      </c>
      <c r="J16" s="32">
        <f t="shared" si="0"/>
        <v>0.34341614906831808</v>
      </c>
      <c r="K16" s="776">
        <f t="shared" si="1"/>
        <v>5.7819999999999998E-3</v>
      </c>
      <c r="L16" s="1158"/>
    </row>
    <row r="17" spans="2:12" ht="16.5" x14ac:dyDescent="0.3">
      <c r="B17" s="777">
        <v>1270007</v>
      </c>
      <c r="C17" s="74" t="s">
        <v>1214</v>
      </c>
      <c r="D17" s="7">
        <v>4.248E-3</v>
      </c>
      <c r="E17" s="1541">
        <v>0.36</v>
      </c>
      <c r="F17" s="896">
        <f>VLOOKUP(B17,[3]Hoja1!$C$2:$E$295,3,FALSE)</f>
        <v>163580.81</v>
      </c>
      <c r="G17" s="248">
        <f t="shared" si="2"/>
        <v>694.89128087999995</v>
      </c>
      <c r="H17" s="914">
        <v>180923.04</v>
      </c>
      <c r="I17" s="856">
        <f t="shared" si="3"/>
        <v>768.56107392000001</v>
      </c>
      <c r="J17" s="32">
        <f t="shared" si="0"/>
        <v>-9.5854181977043993</v>
      </c>
      <c r="K17" s="776">
        <f t="shared" si="1"/>
        <v>4.248E-3</v>
      </c>
      <c r="L17" s="1158"/>
    </row>
    <row r="18" spans="2:12" ht="16.5" x14ac:dyDescent="0.3">
      <c r="B18" s="777">
        <v>1260014</v>
      </c>
      <c r="C18" s="74" t="s">
        <v>825</v>
      </c>
      <c r="D18" s="7">
        <v>4.3660000000000001E-3</v>
      </c>
      <c r="E18" s="1541">
        <v>0.37</v>
      </c>
      <c r="F18" s="896">
        <f>VLOOKUP(B18,[3]Hoja1!$C$2:$E$295,3,FALSE)</f>
        <v>30514.09</v>
      </c>
      <c r="G18" s="248">
        <f t="shared" si="2"/>
        <v>133.22451694</v>
      </c>
      <c r="H18" s="95">
        <v>40834.379999999997</v>
      </c>
      <c r="I18" s="856">
        <f t="shared" si="3"/>
        <v>178.28290307999998</v>
      </c>
      <c r="J18" s="32">
        <f t="shared" si="0"/>
        <v>-25.273531764165398</v>
      </c>
      <c r="K18" s="776">
        <f t="shared" si="1"/>
        <v>4.3660000000000001E-3</v>
      </c>
      <c r="L18" s="1158"/>
    </row>
    <row r="19" spans="2:12" ht="16.5" x14ac:dyDescent="0.3">
      <c r="B19" s="777">
        <v>1240004</v>
      </c>
      <c r="C19" s="74" t="s">
        <v>896</v>
      </c>
      <c r="D19" s="7">
        <v>4.3660000000000001E-3</v>
      </c>
      <c r="E19" s="1541">
        <v>0.37</v>
      </c>
      <c r="F19" s="896">
        <f>VLOOKUP(B19,[3]Hoja1!$C$2:$E$295,3,FALSE)</f>
        <v>11340</v>
      </c>
      <c r="G19" s="248">
        <f t="shared" si="2"/>
        <v>49.510440000000003</v>
      </c>
      <c r="H19" s="914">
        <v>11340</v>
      </c>
      <c r="I19" s="856">
        <f t="shared" si="3"/>
        <v>49.510440000000003</v>
      </c>
      <c r="J19" s="32">
        <f t="shared" si="0"/>
        <v>0</v>
      </c>
      <c r="K19" s="776">
        <f t="shared" si="1"/>
        <v>4.3660000000000001E-3</v>
      </c>
      <c r="L19" s="1158"/>
    </row>
    <row r="20" spans="2:12" ht="16.5" x14ac:dyDescent="0.3">
      <c r="B20" s="777">
        <v>1270008</v>
      </c>
      <c r="C20" s="74" t="s">
        <v>1215</v>
      </c>
      <c r="D20" s="1538">
        <v>2.124E-3</v>
      </c>
      <c r="E20" s="1541">
        <v>0.18</v>
      </c>
      <c r="F20" s="896">
        <f>VLOOKUP(B20,[3]Hoja1!$C$2:$E$295,3,FALSE)</f>
        <v>8557.2999999999993</v>
      </c>
      <c r="G20" s="248">
        <f t="shared" si="2"/>
        <v>18.175705199999999</v>
      </c>
      <c r="H20" s="106">
        <v>9530.2999999999993</v>
      </c>
      <c r="I20" s="856">
        <f t="shared" si="3"/>
        <v>20.242357199999997</v>
      </c>
      <c r="J20" s="32">
        <f t="shared" si="0"/>
        <v>-10.209542196992743</v>
      </c>
      <c r="K20" s="776">
        <f t="shared" si="1"/>
        <v>2.124E-3</v>
      </c>
      <c r="L20" s="1158"/>
    </row>
    <row r="21" spans="2:12" ht="16.5" x14ac:dyDescent="0.3">
      <c r="B21" s="777">
        <v>1210004</v>
      </c>
      <c r="C21" s="74" t="s">
        <v>1131</v>
      </c>
      <c r="D21" s="1538">
        <v>1.1800000000000001E-3</v>
      </c>
      <c r="E21" s="1541">
        <v>0.1</v>
      </c>
      <c r="F21" s="896">
        <f>VLOOKUP(B21,[3]Hoja1!$C$2:$E$295,3,FALSE)</f>
        <v>3818.5</v>
      </c>
      <c r="G21" s="248">
        <f t="shared" si="2"/>
        <v>4.5058300000000004</v>
      </c>
      <c r="H21" s="388">
        <v>3508.01</v>
      </c>
      <c r="I21" s="856">
        <f t="shared" si="3"/>
        <v>4.1394518000000007</v>
      </c>
      <c r="J21" s="32">
        <f t="shared" si="0"/>
        <v>8.8508869701055488</v>
      </c>
      <c r="K21" s="776">
        <f t="shared" si="1"/>
        <v>1.1800000000000001E-3</v>
      </c>
      <c r="L21" s="1158"/>
    </row>
    <row r="22" spans="2:12" ht="16.5" x14ac:dyDescent="0.3">
      <c r="B22" s="777">
        <v>1210003</v>
      </c>
      <c r="C22" s="74" t="s">
        <v>1143</v>
      </c>
      <c r="D22" s="1538">
        <v>7.0799999999999986E-4</v>
      </c>
      <c r="E22" s="1541">
        <v>0.06</v>
      </c>
      <c r="F22" s="896">
        <f>VLOOKUP(B22,[3]Hoja1!$C$2:$E$295,3,FALSE)</f>
        <v>11253.24</v>
      </c>
      <c r="G22" s="248">
        <f t="shared" si="2"/>
        <v>7.9672939199999986</v>
      </c>
      <c r="H22" s="95">
        <v>12852.58</v>
      </c>
      <c r="I22" s="856">
        <f t="shared" si="3"/>
        <v>9.0996266399999985</v>
      </c>
      <c r="J22" s="32">
        <f t="shared" si="0"/>
        <v>-12.443727251649079</v>
      </c>
      <c r="K22" s="776">
        <f t="shared" si="1"/>
        <v>7.0799999999999986E-4</v>
      </c>
      <c r="L22" s="1158"/>
    </row>
    <row r="23" spans="2:12" ht="16.5" x14ac:dyDescent="0.3">
      <c r="B23" s="777">
        <v>1250003</v>
      </c>
      <c r="C23" s="74" t="s">
        <v>914</v>
      </c>
      <c r="D23" s="1538">
        <v>5.9000000000000003E-4</v>
      </c>
      <c r="E23" s="1541">
        <v>0.05</v>
      </c>
      <c r="F23" s="896">
        <f>VLOOKUP(B23,[3]Hoja1!$C$2:$E$295,3,FALSE)</f>
        <v>42797.31</v>
      </c>
      <c r="G23" s="248">
        <f t="shared" si="2"/>
        <v>25.250412900000001</v>
      </c>
      <c r="H23" s="237">
        <v>47385.41</v>
      </c>
      <c r="I23" s="856">
        <f t="shared" si="3"/>
        <v>27.957391900000005</v>
      </c>
      <c r="J23" s="32">
        <f t="shared" si="0"/>
        <v>-9.682516200661766</v>
      </c>
      <c r="K23" s="776">
        <f t="shared" si="1"/>
        <v>5.9000000000000003E-4</v>
      </c>
      <c r="L23" s="1158"/>
    </row>
    <row r="24" spans="2:12" ht="16.5" x14ac:dyDescent="0.3">
      <c r="B24" s="777">
        <v>1250001</v>
      </c>
      <c r="C24" s="74" t="s">
        <v>1160</v>
      </c>
      <c r="D24" s="1539">
        <v>1.18E-4</v>
      </c>
      <c r="E24" s="1525">
        <v>0.01</v>
      </c>
      <c r="F24" s="896">
        <f>VLOOKUP(B24,[3]Hoja1!$C$2:$E$295,3,FALSE)</f>
        <v>4888</v>
      </c>
      <c r="G24" s="248">
        <f t="shared" si="2"/>
        <v>0.57678399999999996</v>
      </c>
      <c r="H24" s="672">
        <v>4885.95</v>
      </c>
      <c r="I24" s="856">
        <f t="shared" si="3"/>
        <v>0.57654209999999995</v>
      </c>
      <c r="J24" s="32"/>
      <c r="K24" s="776">
        <f t="shared" si="1"/>
        <v>1.18E-4</v>
      </c>
      <c r="L24" s="1158"/>
    </row>
    <row r="25" spans="2:12" x14ac:dyDescent="0.25">
      <c r="B25" s="1739" t="s">
        <v>37</v>
      </c>
      <c r="C25" s="1739"/>
      <c r="D25" s="1293">
        <f>SUM(D23,D22,D21,D20,D19,D18,D17,D16,D15,D14,D13,D12,D11,D10,D9,D8,D7,D6,D5)</f>
        <v>1.18</v>
      </c>
      <c r="E25" s="1294">
        <f>SUM(E5:E23)</f>
        <v>100.00000000000003</v>
      </c>
      <c r="F25" s="1295"/>
      <c r="G25" s="1296">
        <f>SUM(G5:G24)</f>
        <v>12756.104048239999</v>
      </c>
      <c r="H25" s="1297"/>
      <c r="I25" s="1297">
        <f>SUM(I5:I24)</f>
        <v>13096.20667258</v>
      </c>
      <c r="J25" s="1306">
        <f>((G25/I25)*100)-100</f>
        <v>-2.5969552317167199</v>
      </c>
      <c r="K25" s="1307"/>
    </row>
    <row r="26" spans="2:12" x14ac:dyDescent="0.25">
      <c r="B26" s="240"/>
      <c r="C26" s="240"/>
      <c r="D26" s="254"/>
      <c r="E26" s="242"/>
      <c r="F26" s="242"/>
      <c r="G26" s="242"/>
      <c r="H26" s="242"/>
      <c r="I26" s="242"/>
      <c r="J26" s="242"/>
    </row>
    <row r="27" spans="2:12" ht="25.5" x14ac:dyDescent="0.25">
      <c r="B27" s="1740" t="s">
        <v>50</v>
      </c>
      <c r="C27" s="1741"/>
      <c r="D27" s="38">
        <f>+C30+(C30*C36%)</f>
        <v>1180</v>
      </c>
      <c r="E27" s="195"/>
      <c r="F27" s="195"/>
      <c r="G27" s="195"/>
      <c r="H27" s="195"/>
      <c r="I27" s="195"/>
      <c r="J27" s="195"/>
    </row>
    <row r="28" spans="2:12" x14ac:dyDescent="0.25">
      <c r="B28" s="1285" t="s">
        <v>38</v>
      </c>
      <c r="C28" s="163"/>
    </row>
    <row r="29" spans="2:12" x14ac:dyDescent="0.25">
      <c r="B29" s="1285" t="s">
        <v>39</v>
      </c>
      <c r="C29" s="163" t="s">
        <v>1223</v>
      </c>
    </row>
    <row r="30" spans="2:12" x14ac:dyDescent="0.25">
      <c r="B30" s="1285" t="s">
        <v>40</v>
      </c>
      <c r="C30" s="163">
        <v>1000</v>
      </c>
      <c r="G30" s="120" t="s">
        <v>85</v>
      </c>
    </row>
    <row r="31" spans="2:12" x14ac:dyDescent="0.25">
      <c r="B31" s="1285" t="s">
        <v>41</v>
      </c>
      <c r="C31" s="163">
        <v>0</v>
      </c>
    </row>
    <row r="32" spans="2:12" x14ac:dyDescent="0.25">
      <c r="B32" s="1285" t="s">
        <v>42</v>
      </c>
      <c r="C32" s="163">
        <v>0</v>
      </c>
    </row>
    <row r="33" spans="2:12" x14ac:dyDescent="0.25">
      <c r="B33" s="1285" t="s">
        <v>43</v>
      </c>
      <c r="C33" s="163">
        <v>2</v>
      </c>
    </row>
    <row r="34" spans="2:12" x14ac:dyDescent="0.25">
      <c r="B34" s="1285" t="s">
        <v>44</v>
      </c>
      <c r="C34" s="163">
        <v>9</v>
      </c>
    </row>
    <row r="35" spans="2:12" x14ac:dyDescent="0.25">
      <c r="B35" s="1285" t="s">
        <v>45</v>
      </c>
      <c r="C35" s="163">
        <v>7</v>
      </c>
    </row>
    <row r="36" spans="2:12" x14ac:dyDescent="0.25">
      <c r="B36" s="1285" t="s">
        <v>46</v>
      </c>
      <c r="C36" s="163">
        <f>SUM(C31:C35)</f>
        <v>18</v>
      </c>
    </row>
    <row r="38" spans="2:12" ht="25.5" x14ac:dyDescent="0.25">
      <c r="B38" s="1742" t="s">
        <v>47</v>
      </c>
      <c r="C38" s="1742"/>
      <c r="D38" s="1742"/>
      <c r="E38" s="1742"/>
      <c r="F38" s="1742"/>
      <c r="G38" s="779"/>
      <c r="H38" s="857"/>
      <c r="I38" s="857"/>
      <c r="J38" s="857"/>
      <c r="L38" s="1160">
        <f>D40*323</f>
        <v>48.449999999999996</v>
      </c>
    </row>
    <row r="39" spans="2:12" ht="25.5" x14ac:dyDescent="0.25">
      <c r="B39" s="1255"/>
      <c r="C39" s="1255" t="s">
        <v>1</v>
      </c>
      <c r="D39" s="1255" t="s">
        <v>2</v>
      </c>
      <c r="E39" s="1243" t="str">
        <f>+'CIF Y PV'!$F$4</f>
        <v xml:space="preserve">JUN-COP/UMB </v>
      </c>
      <c r="F39" s="1243" t="str">
        <f>+'CIF Y PV'!$G$4</f>
        <v>JUN-COP/APP</v>
      </c>
      <c r="G39" s="1243" t="str">
        <f>+'CIF Y PV'!$H$4</f>
        <v xml:space="preserve">MAY-COP/UMB </v>
      </c>
      <c r="H39" s="1243" t="str">
        <f>+'CIF Y PV'!$I$4</f>
        <v>MAY-COP/APP</v>
      </c>
      <c r="I39" s="1526" t="s">
        <v>3</v>
      </c>
      <c r="J39" s="269"/>
    </row>
    <row r="40" spans="2:12" x14ac:dyDescent="0.25">
      <c r="B40" s="777">
        <v>1310018</v>
      </c>
      <c r="C40" s="918" t="s">
        <v>890</v>
      </c>
      <c r="D40" s="861">
        <v>0.15</v>
      </c>
      <c r="E40" s="24">
        <f>VLOOKUP(B40,[3]Hoja1!$C$2:$E$295,3,FALSE)</f>
        <v>454.33</v>
      </c>
      <c r="F40" s="24">
        <f>E40*D40</f>
        <v>68.149499999999989</v>
      </c>
      <c r="G40" s="871">
        <v>503.51</v>
      </c>
      <c r="H40" s="24">
        <f>G40*D40</f>
        <v>75.526499999999999</v>
      </c>
      <c r="I40" s="903">
        <f>((E40/G40)*100)-100</f>
        <v>-9.7674326229866324</v>
      </c>
      <c r="J40" s="38"/>
    </row>
    <row r="41" spans="2:12" x14ac:dyDescent="0.25">
      <c r="B41" s="777">
        <v>1320004</v>
      </c>
      <c r="C41" s="919" t="s">
        <v>1141</v>
      </c>
      <c r="D41" s="386">
        <v>0.15</v>
      </c>
      <c r="E41" s="24">
        <f>VLOOKUP(B41,[3]Hoja1!$C$2:$E$295,3,FALSE)</f>
        <v>1403.52</v>
      </c>
      <c r="F41" s="24">
        <f>E41*D41</f>
        <v>210.52799999999999</v>
      </c>
      <c r="G41" s="24">
        <v>1575.9</v>
      </c>
      <c r="H41" s="24">
        <f>G41*D41</f>
        <v>236.38499999999999</v>
      </c>
      <c r="I41" s="886">
        <f>((E41/G41)*100)-100</f>
        <v>-10.938511326860848</v>
      </c>
      <c r="J41" s="38"/>
    </row>
    <row r="42" spans="2:12" ht="15" x14ac:dyDescent="0.25">
      <c r="B42" s="777">
        <v>1330090</v>
      </c>
      <c r="C42" s="1142" t="s">
        <v>1287</v>
      </c>
      <c r="D42" s="386">
        <v>1</v>
      </c>
      <c r="E42" s="24">
        <f>VLOOKUP(B42,[3]Hoja1!$C$2:$E$295,3,FALSE)</f>
        <v>144.44999999999999</v>
      </c>
      <c r="F42" s="24">
        <f>E42*D42</f>
        <v>144.44999999999999</v>
      </c>
      <c r="G42" s="862">
        <v>40.200000000000003</v>
      </c>
      <c r="H42" s="24">
        <f>G42*D42</f>
        <v>40.200000000000003</v>
      </c>
      <c r="I42" s="886">
        <f>((E42/G42)*100)-100</f>
        <v>259.32835820895519</v>
      </c>
      <c r="J42" s="1"/>
    </row>
    <row r="43" spans="2:12" s="170" customFormat="1" ht="15" x14ac:dyDescent="0.25">
      <c r="B43" s="777">
        <v>1370047</v>
      </c>
      <c r="C43" s="1142" t="s">
        <v>1222</v>
      </c>
      <c r="D43" s="386">
        <v>8.0000000000000002E-3</v>
      </c>
      <c r="E43" s="24">
        <f>VLOOKUP(B43,[3]Hoja1!$C$2:$E$295,3,FALSE)</f>
        <v>5457.84</v>
      </c>
      <c r="F43" s="103">
        <f>E43*D43</f>
        <v>43.66272</v>
      </c>
      <c r="G43" s="862">
        <v>6022.39</v>
      </c>
      <c r="H43" s="24">
        <f>G43*D43</f>
        <v>48.179120000000005</v>
      </c>
      <c r="I43" s="886"/>
      <c r="J43" s="1"/>
      <c r="L43" s="120"/>
    </row>
    <row r="44" spans="2:12" s="170" customFormat="1" x14ac:dyDescent="0.25">
      <c r="B44" s="1298"/>
      <c r="C44" s="1312" t="s">
        <v>37</v>
      </c>
      <c r="D44" s="1313"/>
      <c r="E44" s="1300"/>
      <c r="F44" s="1300">
        <f>SUM(F40:F43)</f>
        <v>466.79021999999998</v>
      </c>
      <c r="G44" s="1301"/>
      <c r="H44" s="1301">
        <f>SUM(H40:H43)</f>
        <v>400.29061999999999</v>
      </c>
      <c r="I44" s="1302">
        <f>((F44/H44)*100)-100</f>
        <v>16.612829948400986</v>
      </c>
      <c r="J44" s="859"/>
      <c r="L44" s="120"/>
    </row>
    <row r="46" spans="2:12" x14ac:dyDescent="0.25">
      <c r="F46" s="890"/>
      <c r="G46" s="1" t="str">
        <f>+'CIF Y PV'!$G$1</f>
        <v>MAYO</v>
      </c>
      <c r="H46" s="890"/>
      <c r="I46" s="890"/>
      <c r="J46" s="890"/>
      <c r="K46" s="891"/>
    </row>
    <row r="47" spans="2:12" ht="17.25" x14ac:dyDescent="0.25">
      <c r="B47" s="1735" t="s">
        <v>400</v>
      </c>
      <c r="C47" s="1735"/>
      <c r="E47" s="884"/>
      <c r="F47" s="887"/>
      <c r="G47" s="1232">
        <f>F44+G25</f>
        <v>13222.894268239999</v>
      </c>
      <c r="H47" s="888"/>
      <c r="I47" s="887"/>
      <c r="J47" s="888"/>
      <c r="K47" s="891"/>
    </row>
    <row r="48" spans="2:12" ht="17.25" x14ac:dyDescent="0.25">
      <c r="B48" s="1736" t="s">
        <v>48</v>
      </c>
      <c r="C48" s="1737"/>
      <c r="E48" s="884"/>
      <c r="F48" s="887"/>
      <c r="G48" s="1232">
        <f>+('CIF Y PV'!C3/1000)*150</f>
        <v>283.5</v>
      </c>
      <c r="H48" s="888"/>
      <c r="I48" s="887"/>
      <c r="J48" s="888"/>
      <c r="K48" s="891"/>
    </row>
    <row r="49" spans="2:11" ht="17.25" x14ac:dyDescent="0.25">
      <c r="B49" s="1736" t="s">
        <v>1218</v>
      </c>
      <c r="C49" s="1737"/>
      <c r="E49" s="884"/>
      <c r="F49" s="887"/>
      <c r="G49" s="1232">
        <f>+G47+G48</f>
        <v>13506.394268239999</v>
      </c>
      <c r="H49" s="888"/>
      <c r="I49" s="887"/>
      <c r="J49" s="888"/>
      <c r="K49" s="891"/>
    </row>
    <row r="50" spans="2:11" ht="17.25" x14ac:dyDescent="0.25">
      <c r="B50" s="1735" t="s">
        <v>49</v>
      </c>
      <c r="C50" s="1735"/>
      <c r="E50" s="884"/>
      <c r="F50" s="887"/>
      <c r="G50" s="1232">
        <f>'CIF Y PV'!C84</f>
        <v>25724.000000000004</v>
      </c>
      <c r="I50" s="887"/>
      <c r="J50" s="889"/>
      <c r="K50" s="891"/>
    </row>
    <row r="51" spans="2:11" ht="15" x14ac:dyDescent="0.2">
      <c r="B51" s="1735" t="s">
        <v>805</v>
      </c>
      <c r="C51" s="1735"/>
      <c r="E51" s="884"/>
      <c r="F51" s="887"/>
      <c r="G51" s="1230">
        <f>+(G50-G49)/G50</f>
        <v>0.47494968635359985</v>
      </c>
      <c r="H51" s="172"/>
      <c r="I51" s="892"/>
      <c r="J51" s="172">
        <f>1-J50</f>
        <v>1</v>
      </c>
    </row>
    <row r="52" spans="2:11" x14ac:dyDescent="0.25">
      <c r="F52" s="890"/>
      <c r="G52" s="890"/>
      <c r="H52" s="890"/>
      <c r="I52" s="890"/>
      <c r="J52" s="890"/>
      <c r="K52" s="891"/>
    </row>
    <row r="53" spans="2:11" x14ac:dyDescent="0.25">
      <c r="F53" s="890"/>
      <c r="G53" s="890"/>
      <c r="H53" s="890"/>
      <c r="I53" s="890"/>
      <c r="J53" s="890"/>
      <c r="K53" s="891"/>
    </row>
    <row r="54" spans="2:11" x14ac:dyDescent="0.25">
      <c r="F54" s="890"/>
      <c r="G54" s="890"/>
      <c r="H54" s="890"/>
      <c r="I54" s="890"/>
      <c r="J54" s="890"/>
      <c r="K54" s="891"/>
    </row>
  </sheetData>
  <autoFilter ref="A4:K25" xr:uid="{A8DC38CF-75A8-4C29-A03E-77C69720878D}"/>
  <mergeCells count="9">
    <mergeCell ref="B49:C49"/>
    <mergeCell ref="B50:C50"/>
    <mergeCell ref="B51:C51"/>
    <mergeCell ref="B2:G2"/>
    <mergeCell ref="B25:C25"/>
    <mergeCell ref="B27:C27"/>
    <mergeCell ref="B38:F38"/>
    <mergeCell ref="B47:C47"/>
    <mergeCell ref="B48:C48"/>
  </mergeCells>
  <pageMargins left="0.7" right="0.7" top="0.75" bottom="0.75" header="0.3" footer="0.3"/>
  <colBreaks count="2" manualBreakCount="2">
    <brk id="10" max="55" man="1"/>
    <brk id="15" max="58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7A93-170E-4357-8EA4-3D7D6C3182EA}">
  <sheetPr codeName="Hoja129"/>
  <dimension ref="B2:L54"/>
  <sheetViews>
    <sheetView view="pageBreakPreview" topLeftCell="A21" zoomScale="90" zoomScaleNormal="100" zoomScaleSheetLayoutView="90" workbookViewId="0">
      <selection activeCell="F24" sqref="F24"/>
    </sheetView>
  </sheetViews>
  <sheetFormatPr baseColWidth="10" defaultColWidth="11.5703125" defaultRowHeight="13.5" x14ac:dyDescent="0.25"/>
  <cols>
    <col min="1" max="1" width="4.7109375" style="120" customWidth="1"/>
    <col min="2" max="2" width="12.7109375" style="120" customWidth="1"/>
    <col min="3" max="3" width="56.5703125" style="120" customWidth="1"/>
    <col min="4" max="4" width="15.140625" style="120" customWidth="1"/>
    <col min="5" max="5" width="13.140625" style="120" bestFit="1" customWidth="1"/>
    <col min="6" max="6" width="13.140625" style="120" customWidth="1"/>
    <col min="7" max="7" width="17.140625" style="120" bestFit="1" customWidth="1"/>
    <col min="8" max="8" width="17.140625" style="120" customWidth="1"/>
    <col min="9" max="9" width="15.28515625" style="120" customWidth="1"/>
    <col min="10" max="10" width="11.5703125" style="120" customWidth="1"/>
    <col min="11" max="11" width="12.7109375" style="170" customWidth="1"/>
    <col min="12" max="16384" width="11.5703125" style="120"/>
  </cols>
  <sheetData>
    <row r="2" spans="2:12" ht="30" customHeight="1" x14ac:dyDescent="0.25">
      <c r="B2" s="1738" t="s">
        <v>1273</v>
      </c>
      <c r="C2" s="1738"/>
      <c r="D2" s="1738"/>
      <c r="E2" s="1738"/>
      <c r="F2" s="1738"/>
      <c r="G2" s="1738"/>
      <c r="H2" s="855"/>
      <c r="I2" s="855"/>
      <c r="J2" s="855"/>
    </row>
    <row r="4" spans="2:12" s="3" customFormat="1" ht="28.5" customHeight="1" x14ac:dyDescent="0.25">
      <c r="B4" s="1244" t="s">
        <v>0</v>
      </c>
      <c r="C4" s="1244" t="s">
        <v>1</v>
      </c>
      <c r="D4" s="1244" t="s">
        <v>2</v>
      </c>
      <c r="E4" s="1244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303">
        <v>0.17100000000000001</v>
      </c>
      <c r="L4" s="1303">
        <v>250</v>
      </c>
    </row>
    <row r="5" spans="2:12" ht="16.5" x14ac:dyDescent="0.3">
      <c r="B5" s="777">
        <v>1122008</v>
      </c>
      <c r="C5" s="74" t="s">
        <v>1028</v>
      </c>
      <c r="D5" s="103">
        <v>8.8184700000000019E-2</v>
      </c>
      <c r="E5" s="248">
        <v>51.57</v>
      </c>
      <c r="F5" s="896">
        <f>VLOOKUP(B5,[2]Hoja1!$C$2:$E$279,3,FALSE)</f>
        <v>12059.2</v>
      </c>
      <c r="G5" s="248">
        <f>F5*D5</f>
        <v>1063.4369342400003</v>
      </c>
      <c r="H5" s="896">
        <v>12498.88</v>
      </c>
      <c r="I5" s="856">
        <f>H5*D5</f>
        <v>1102.2099831360001</v>
      </c>
      <c r="J5" s="32">
        <f t="shared" ref="J5:J23" si="0">((F5/H5)*100)-100</f>
        <v>-3.5177551908650884</v>
      </c>
      <c r="K5" s="776">
        <f t="shared" ref="K5:K24" si="1">$K$4*E5%</f>
        <v>8.8184700000000019E-2</v>
      </c>
      <c r="L5" s="1159">
        <f>$L$4*E5</f>
        <v>12892.5</v>
      </c>
    </row>
    <row r="6" spans="2:12" ht="16.5" x14ac:dyDescent="0.3">
      <c r="B6" s="777">
        <v>1121009</v>
      </c>
      <c r="C6" s="74" t="s">
        <v>1272</v>
      </c>
      <c r="D6" s="7">
        <v>3.4268400000000004E-2</v>
      </c>
      <c r="E6" s="248">
        <v>20.04</v>
      </c>
      <c r="F6" s="896">
        <f>VLOOKUP(B6,[2]Hoja1!$C$2:$E$279,3,FALSE)</f>
        <v>8741.6200000000008</v>
      </c>
      <c r="G6" s="248">
        <f t="shared" ref="G6:G24" si="2">F6*D6</f>
        <v>299.56133080800009</v>
      </c>
      <c r="H6" s="38">
        <v>8754.2800000000007</v>
      </c>
      <c r="I6" s="856">
        <f t="shared" ref="I6:I24" si="3">H6*D6</f>
        <v>299.99516875200004</v>
      </c>
      <c r="J6" s="32">
        <f t="shared" si="0"/>
        <v>-0.14461497690273006</v>
      </c>
      <c r="K6" s="776">
        <f t="shared" si="1"/>
        <v>3.4268400000000004E-2</v>
      </c>
      <c r="L6" s="1158"/>
    </row>
    <row r="7" spans="2:12" ht="16.5" x14ac:dyDescent="0.3">
      <c r="B7" s="777">
        <v>1131002</v>
      </c>
      <c r="C7" s="74" t="s">
        <v>663</v>
      </c>
      <c r="D7" s="7">
        <v>2.7257400000000001E-2</v>
      </c>
      <c r="E7" s="248">
        <v>15.94</v>
      </c>
      <c r="F7" s="896">
        <f>VLOOKUP(B7,[2]Hoja1!$C$2:$E$279,3,FALSE)</f>
        <v>0</v>
      </c>
      <c r="G7" s="248">
        <f t="shared" si="2"/>
        <v>0</v>
      </c>
      <c r="H7" s="896">
        <v>0</v>
      </c>
      <c r="I7" s="856">
        <f t="shared" si="3"/>
        <v>0</v>
      </c>
      <c r="J7" s="32" t="e">
        <f t="shared" si="0"/>
        <v>#DIV/0!</v>
      </c>
      <c r="K7" s="776">
        <f t="shared" si="1"/>
        <v>2.7257400000000001E-2</v>
      </c>
      <c r="L7" s="1158"/>
    </row>
    <row r="8" spans="2:12" ht="16.5" x14ac:dyDescent="0.3">
      <c r="B8" s="777">
        <v>1260017</v>
      </c>
      <c r="C8" s="74" t="s">
        <v>832</v>
      </c>
      <c r="D8" s="7">
        <v>4.3433999999999999E-3</v>
      </c>
      <c r="E8" s="1541">
        <v>2.54</v>
      </c>
      <c r="F8" s="896">
        <f>VLOOKUP(B8,[2]Hoja1!$C$2:$E$279,3,FALSE)</f>
        <v>4500</v>
      </c>
      <c r="G8" s="248">
        <f t="shared" si="2"/>
        <v>19.545300000000001</v>
      </c>
      <c r="H8" s="72">
        <v>4500</v>
      </c>
      <c r="I8" s="856">
        <f t="shared" si="3"/>
        <v>19.545300000000001</v>
      </c>
      <c r="J8" s="32">
        <f t="shared" si="0"/>
        <v>0</v>
      </c>
      <c r="K8" s="776">
        <f t="shared" si="1"/>
        <v>4.3433999999999999E-3</v>
      </c>
      <c r="L8" s="1158"/>
    </row>
    <row r="9" spans="2:12" ht="16.5" x14ac:dyDescent="0.3">
      <c r="B9" s="777">
        <v>1260009</v>
      </c>
      <c r="C9" s="74" t="s">
        <v>1027</v>
      </c>
      <c r="D9" s="7">
        <v>4.3433999999999999E-3</v>
      </c>
      <c r="E9" s="1541">
        <v>2.54</v>
      </c>
      <c r="F9" s="896">
        <f>VLOOKUP(B9,[2]Hoja1!$C$2:$E$279,3,FALSE)</f>
        <v>7033.69</v>
      </c>
      <c r="G9" s="248">
        <f t="shared" si="2"/>
        <v>30.550129145999996</v>
      </c>
      <c r="H9" s="879">
        <v>9565.2099999999991</v>
      </c>
      <c r="I9" s="856">
        <f t="shared" si="3"/>
        <v>41.545533113999994</v>
      </c>
      <c r="J9" s="32">
        <f t="shared" si="0"/>
        <v>-26.465911360022403</v>
      </c>
      <c r="K9" s="776">
        <f t="shared" si="1"/>
        <v>4.3433999999999999E-3</v>
      </c>
      <c r="L9" s="1158"/>
    </row>
    <row r="10" spans="2:12" ht="16.5" x14ac:dyDescent="0.3">
      <c r="B10" s="777">
        <v>1210005</v>
      </c>
      <c r="C10" s="74" t="s">
        <v>1155</v>
      </c>
      <c r="D10" s="7">
        <v>2.7702000000000004E-3</v>
      </c>
      <c r="E10" s="1541">
        <v>1.62</v>
      </c>
      <c r="F10" s="896">
        <f>VLOOKUP(B10,[2]Hoja1!$C$2:$E$279,3,FALSE)</f>
        <v>1356</v>
      </c>
      <c r="G10" s="248">
        <f t="shared" si="2"/>
        <v>3.7563912000000004</v>
      </c>
      <c r="H10" s="914">
        <v>1360</v>
      </c>
      <c r="I10" s="856">
        <f t="shared" si="3"/>
        <v>3.7674720000000006</v>
      </c>
      <c r="J10" s="32">
        <f t="shared" si="0"/>
        <v>-0.29411764705882604</v>
      </c>
      <c r="K10" s="776">
        <f t="shared" si="1"/>
        <v>2.7702000000000004E-3</v>
      </c>
      <c r="L10" s="1158"/>
    </row>
    <row r="11" spans="2:12" ht="16.5" x14ac:dyDescent="0.3">
      <c r="B11" s="777">
        <v>1260005</v>
      </c>
      <c r="C11" s="74" t="s">
        <v>811</v>
      </c>
      <c r="D11" s="7">
        <v>1.7271000000000001E-3</v>
      </c>
      <c r="E11" s="1541">
        <v>1.01</v>
      </c>
      <c r="F11" s="896">
        <f>VLOOKUP(B11,[2]Hoja1!$C$2:$E$279,3,FALSE)</f>
        <v>26429</v>
      </c>
      <c r="G11" s="248">
        <f t="shared" si="2"/>
        <v>45.645525900000003</v>
      </c>
      <c r="H11" s="914">
        <v>25850</v>
      </c>
      <c r="I11" s="856">
        <f t="shared" si="3"/>
        <v>44.645535000000002</v>
      </c>
      <c r="J11" s="32">
        <f t="shared" si="0"/>
        <v>2.2398452611218715</v>
      </c>
      <c r="K11" s="776">
        <f t="shared" si="1"/>
        <v>1.7271000000000001E-3</v>
      </c>
      <c r="L11" s="1158"/>
    </row>
    <row r="12" spans="2:12" ht="16.5" x14ac:dyDescent="0.3">
      <c r="B12" s="777">
        <v>1220004</v>
      </c>
      <c r="C12" s="74" t="s">
        <v>1212</v>
      </c>
      <c r="D12" s="7">
        <v>1.5903000000000002E-3</v>
      </c>
      <c r="E12" s="1541">
        <v>0.93</v>
      </c>
      <c r="F12" s="896">
        <f>VLOOKUP(B12,[2]Hoja1!$C$2:$E$279,3,FALSE)</f>
        <v>4632</v>
      </c>
      <c r="G12" s="248">
        <f t="shared" si="2"/>
        <v>7.3662696000000008</v>
      </c>
      <c r="H12" s="914">
        <v>4616.7</v>
      </c>
      <c r="I12" s="856">
        <f t="shared" si="3"/>
        <v>7.3419380100000007</v>
      </c>
      <c r="J12" s="32">
        <f t="shared" si="0"/>
        <v>0.33140554941842026</v>
      </c>
      <c r="K12" s="776">
        <f t="shared" si="1"/>
        <v>1.5903000000000002E-3</v>
      </c>
      <c r="L12" s="1158"/>
    </row>
    <row r="13" spans="2:12" ht="16.5" x14ac:dyDescent="0.3">
      <c r="B13" s="777">
        <v>1260023</v>
      </c>
      <c r="C13" s="74" t="s">
        <v>1213</v>
      </c>
      <c r="D13" s="7">
        <v>1.0430999999999999E-3</v>
      </c>
      <c r="E13" s="1541">
        <v>0.61</v>
      </c>
      <c r="F13" s="896">
        <f>VLOOKUP(B13,[2]Hoja1!$C$2:$E$279,3,FALSE)</f>
        <v>121308.46</v>
      </c>
      <c r="G13" s="248">
        <f t="shared" si="2"/>
        <v>126.53685462599999</v>
      </c>
      <c r="H13" s="95">
        <v>134302.01999999999</v>
      </c>
      <c r="I13" s="856">
        <f t="shared" si="3"/>
        <v>140.09043706199998</v>
      </c>
      <c r="J13" s="32">
        <f t="shared" si="0"/>
        <v>-9.6748805416329446</v>
      </c>
      <c r="K13" s="776">
        <f t="shared" si="1"/>
        <v>1.0430999999999999E-3</v>
      </c>
      <c r="L13" s="1158"/>
    </row>
    <row r="14" spans="2:12" ht="16.5" x14ac:dyDescent="0.3">
      <c r="B14" s="777">
        <v>1260022</v>
      </c>
      <c r="C14" s="74" t="s">
        <v>974</v>
      </c>
      <c r="D14" s="7">
        <v>1.0430999999999999E-3</v>
      </c>
      <c r="E14" s="1541">
        <v>0.61</v>
      </c>
      <c r="F14" s="896">
        <f>VLOOKUP(B14,[2]Hoja1!$C$2:$E$279,3,FALSE)</f>
        <v>22988.01</v>
      </c>
      <c r="G14" s="248">
        <f t="shared" si="2"/>
        <v>23.978793230999997</v>
      </c>
      <c r="H14" s="274">
        <v>27066.49</v>
      </c>
      <c r="I14" s="856">
        <f t="shared" si="3"/>
        <v>28.233055718999999</v>
      </c>
      <c r="J14" s="32">
        <f t="shared" si="0"/>
        <v>-15.068374214757824</v>
      </c>
      <c r="K14" s="776">
        <f t="shared" si="1"/>
        <v>1.0430999999999999E-3</v>
      </c>
      <c r="L14" s="1158"/>
    </row>
    <row r="15" spans="2:12" ht="16.5" x14ac:dyDescent="0.3">
      <c r="B15" s="777">
        <v>1230023</v>
      </c>
      <c r="C15" s="74" t="s">
        <v>1211</v>
      </c>
      <c r="D15" s="7">
        <v>1.0430999999999999E-3</v>
      </c>
      <c r="E15" s="1541">
        <v>0.61</v>
      </c>
      <c r="F15" s="896">
        <f>VLOOKUP(B15,[2]Hoja1!$C$2:$E$279,3,FALSE)</f>
        <v>54277.09</v>
      </c>
      <c r="G15" s="248">
        <f t="shared" si="2"/>
        <v>56.616432578999991</v>
      </c>
      <c r="H15" s="95">
        <v>41800</v>
      </c>
      <c r="I15" s="856">
        <f t="shared" si="3"/>
        <v>43.601579999999998</v>
      </c>
      <c r="J15" s="32">
        <f t="shared" si="0"/>
        <v>29.849497607655508</v>
      </c>
      <c r="K15" s="776">
        <f t="shared" si="1"/>
        <v>1.0430999999999999E-3</v>
      </c>
      <c r="L15" s="1158"/>
    </row>
    <row r="16" spans="2:12" ht="16.5" x14ac:dyDescent="0.3">
      <c r="B16" s="777">
        <v>121007</v>
      </c>
      <c r="C16" s="74" t="s">
        <v>821</v>
      </c>
      <c r="D16" s="7">
        <v>8.3790000000000004E-4</v>
      </c>
      <c r="E16" s="1541">
        <v>0.49</v>
      </c>
      <c r="F16" s="896">
        <f>VLOOKUP(B16,[2]Hoja1!$C$2:$E$279,3,FALSE)</f>
        <v>16905</v>
      </c>
      <c r="G16" s="248">
        <f t="shared" si="2"/>
        <v>14.164699500000001</v>
      </c>
      <c r="H16" s="106">
        <v>16100</v>
      </c>
      <c r="I16" s="856">
        <f t="shared" si="3"/>
        <v>13.49019</v>
      </c>
      <c r="J16" s="32">
        <f t="shared" si="0"/>
        <v>5</v>
      </c>
      <c r="K16" s="776">
        <f t="shared" si="1"/>
        <v>8.3790000000000004E-4</v>
      </c>
      <c r="L16" s="1158"/>
    </row>
    <row r="17" spans="2:12" ht="16.5" x14ac:dyDescent="0.3">
      <c r="B17" s="777">
        <v>1270007</v>
      </c>
      <c r="C17" s="74" t="s">
        <v>1214</v>
      </c>
      <c r="D17" s="7">
        <v>6.156E-4</v>
      </c>
      <c r="E17" s="1541">
        <v>0.36</v>
      </c>
      <c r="F17" s="896">
        <f>VLOOKUP(B17,[2]Hoja1!$C$2:$E$279,3,FALSE)</f>
        <v>169641.79</v>
      </c>
      <c r="G17" s="248">
        <f t="shared" si="2"/>
        <v>104.431485924</v>
      </c>
      <c r="H17" s="914">
        <v>180923.04</v>
      </c>
      <c r="I17" s="856">
        <f t="shared" si="3"/>
        <v>111.376223424</v>
      </c>
      <c r="J17" s="32">
        <f t="shared" si="0"/>
        <v>-6.2353860514393347</v>
      </c>
      <c r="K17" s="776">
        <f t="shared" si="1"/>
        <v>6.156E-4</v>
      </c>
      <c r="L17" s="1158"/>
    </row>
    <row r="18" spans="2:12" ht="16.5" x14ac:dyDescent="0.3">
      <c r="B18" s="777">
        <v>1260014</v>
      </c>
      <c r="C18" s="74" t="s">
        <v>825</v>
      </c>
      <c r="D18" s="7">
        <v>6.3270000000000004E-4</v>
      </c>
      <c r="E18" s="1541">
        <v>0.37</v>
      </c>
      <c r="F18" s="896">
        <f>VLOOKUP(B18,[2]Hoja1!$C$2:$E$279,3,FALSE)</f>
        <v>28083.42</v>
      </c>
      <c r="G18" s="248">
        <f t="shared" si="2"/>
        <v>17.768379834000001</v>
      </c>
      <c r="H18" s="95">
        <v>40834.379999999997</v>
      </c>
      <c r="I18" s="856">
        <f t="shared" si="3"/>
        <v>25.835912226000001</v>
      </c>
      <c r="J18" s="32">
        <f t="shared" si="0"/>
        <v>-31.226040410066219</v>
      </c>
      <c r="K18" s="776">
        <f t="shared" si="1"/>
        <v>6.3270000000000004E-4</v>
      </c>
      <c r="L18" s="1158"/>
    </row>
    <row r="19" spans="2:12" ht="16.5" x14ac:dyDescent="0.3">
      <c r="B19" s="777">
        <v>1240007</v>
      </c>
      <c r="C19" s="74" t="s">
        <v>1352</v>
      </c>
      <c r="D19" s="7">
        <v>8.5500000000000007E-4</v>
      </c>
      <c r="E19" s="1541">
        <v>0.5</v>
      </c>
      <c r="F19" s="896">
        <f>VLOOKUP(B19,[2]Hoja1!$C$2:$E$279,3,FALSE)</f>
        <v>25921.42</v>
      </c>
      <c r="G19" s="248">
        <f t="shared" si="2"/>
        <v>22.162814100000002</v>
      </c>
      <c r="H19" s="914">
        <v>11340</v>
      </c>
      <c r="I19" s="856">
        <f t="shared" si="3"/>
        <v>9.6957000000000004</v>
      </c>
      <c r="J19" s="32">
        <f t="shared" si="0"/>
        <v>128.58395061728393</v>
      </c>
      <c r="K19" s="776">
        <f t="shared" si="1"/>
        <v>8.5500000000000007E-4</v>
      </c>
      <c r="L19" s="1158"/>
    </row>
    <row r="20" spans="2:12" ht="16.5" x14ac:dyDescent="0.3">
      <c r="B20" s="777">
        <v>1270008</v>
      </c>
      <c r="C20" s="74" t="s">
        <v>1215</v>
      </c>
      <c r="D20" s="1538">
        <v>3.078E-4</v>
      </c>
      <c r="E20" s="1541">
        <v>0.18</v>
      </c>
      <c r="F20" s="896">
        <f>VLOOKUP(B20,[2]Hoja1!$C$2:$E$279,3,FALSE)</f>
        <v>8935.81</v>
      </c>
      <c r="G20" s="248">
        <f t="shared" si="2"/>
        <v>2.7504423179999997</v>
      </c>
      <c r="H20" s="106">
        <v>9530.2999999999993</v>
      </c>
      <c r="I20" s="856">
        <f t="shared" si="3"/>
        <v>2.9334263399999996</v>
      </c>
      <c r="J20" s="32">
        <f t="shared" si="0"/>
        <v>-6.2378938753239623</v>
      </c>
      <c r="K20" s="776">
        <f t="shared" si="1"/>
        <v>3.078E-4</v>
      </c>
      <c r="L20" s="1158"/>
    </row>
    <row r="21" spans="2:12" ht="16.5" x14ac:dyDescent="0.3">
      <c r="B21" s="777">
        <v>1210004</v>
      </c>
      <c r="C21" s="74" t="s">
        <v>1131</v>
      </c>
      <c r="D21" s="1538">
        <v>1.7100000000000001E-4</v>
      </c>
      <c r="E21" s="1541">
        <v>0.1</v>
      </c>
      <c r="F21" s="896">
        <f>VLOOKUP(B21,[2]Hoja1!$C$2:$E$279,3,FALSE)</f>
        <v>3841</v>
      </c>
      <c r="G21" s="248">
        <f t="shared" si="2"/>
        <v>0.65681100000000003</v>
      </c>
      <c r="H21" s="388">
        <v>3508.01</v>
      </c>
      <c r="I21" s="856">
        <f t="shared" si="3"/>
        <v>0.59986971000000011</v>
      </c>
      <c r="J21" s="32">
        <f t="shared" si="0"/>
        <v>9.4922762477871885</v>
      </c>
      <c r="K21" s="776">
        <f t="shared" si="1"/>
        <v>1.7100000000000001E-4</v>
      </c>
      <c r="L21" s="1158"/>
    </row>
    <row r="22" spans="2:12" ht="16.5" x14ac:dyDescent="0.3">
      <c r="B22" s="777">
        <v>1210003</v>
      </c>
      <c r="C22" s="74" t="s">
        <v>1143</v>
      </c>
      <c r="D22" s="1538">
        <v>1.026E-4</v>
      </c>
      <c r="E22" s="1541">
        <v>0.06</v>
      </c>
      <c r="F22" s="896">
        <f>VLOOKUP(B22,[2]Hoja1!$C$2:$E$279,3,FALSE)</f>
        <v>16235.45</v>
      </c>
      <c r="G22" s="248">
        <f t="shared" si="2"/>
        <v>1.66575717</v>
      </c>
      <c r="H22" s="95">
        <v>12852.58</v>
      </c>
      <c r="I22" s="856">
        <f t="shared" si="3"/>
        <v>1.3186747080000001</v>
      </c>
      <c r="J22" s="32">
        <f t="shared" si="0"/>
        <v>26.320551982559152</v>
      </c>
      <c r="K22" s="776">
        <f t="shared" si="1"/>
        <v>1.026E-4</v>
      </c>
      <c r="L22" s="1158"/>
    </row>
    <row r="23" spans="2:12" ht="16.5" x14ac:dyDescent="0.3">
      <c r="B23" s="777">
        <v>1250003</v>
      </c>
      <c r="C23" s="74" t="s">
        <v>914</v>
      </c>
      <c r="D23" s="1538">
        <v>8.5500000000000005E-5</v>
      </c>
      <c r="E23" s="1541">
        <v>0.05</v>
      </c>
      <c r="F23" s="896">
        <f>VLOOKUP(B23,[2]Hoja1!$C$2:$E$279,3,FALSE)</f>
        <v>50952.79</v>
      </c>
      <c r="G23" s="248">
        <f t="shared" si="2"/>
        <v>4.3564635450000004</v>
      </c>
      <c r="H23" s="237">
        <v>47385.41</v>
      </c>
      <c r="I23" s="856">
        <f t="shared" si="3"/>
        <v>4.0514525550000009</v>
      </c>
      <c r="J23" s="32">
        <f t="shared" si="0"/>
        <v>7.5284354403602123</v>
      </c>
      <c r="K23" s="776">
        <f t="shared" si="1"/>
        <v>8.5500000000000005E-5</v>
      </c>
      <c r="L23" s="1158"/>
    </row>
    <row r="24" spans="2:12" ht="16.5" x14ac:dyDescent="0.3">
      <c r="B24" s="777">
        <v>1250001</v>
      </c>
      <c r="C24" s="74" t="s">
        <v>1160</v>
      </c>
      <c r="D24" s="1539">
        <v>1.7100000000000002E-5</v>
      </c>
      <c r="E24" s="1525">
        <v>0.01</v>
      </c>
      <c r="F24" s="896">
        <f>VLOOKUP(B24,[2]Hoja1!$C$2:$E$279,3,FALSE)</f>
        <v>5093.8999999999996</v>
      </c>
      <c r="G24" s="248">
        <f t="shared" si="2"/>
        <v>8.710569E-2</v>
      </c>
      <c r="H24" s="672">
        <v>4885.95</v>
      </c>
      <c r="I24" s="856">
        <f t="shared" si="3"/>
        <v>8.3549745000000009E-2</v>
      </c>
      <c r="J24" s="32"/>
      <c r="K24" s="776">
        <f t="shared" si="1"/>
        <v>1.7100000000000002E-5</v>
      </c>
      <c r="L24" s="1158"/>
    </row>
    <row r="25" spans="2:12" x14ac:dyDescent="0.25">
      <c r="B25" s="1739" t="s">
        <v>37</v>
      </c>
      <c r="C25" s="1739"/>
      <c r="D25" s="1293">
        <f>SUM(D23,D22,D21,D20,D19,D18,D17,D16,D15,D14,D13,D12,D11,D10,D9,D8,D7,D6,D5)</f>
        <v>0.17122230000000002</v>
      </c>
      <c r="E25" s="1294">
        <f>SUM(E5:E23)</f>
        <v>100.13000000000002</v>
      </c>
      <c r="F25" s="1295"/>
      <c r="G25" s="1296">
        <f>SUM(G5:G24)</f>
        <v>1845.0379204110006</v>
      </c>
      <c r="H25" s="1297"/>
      <c r="I25" s="1297">
        <f>SUM(I5:I23)</f>
        <v>1900.2774517560001</v>
      </c>
      <c r="J25" s="1306">
        <f>((G25/I25)*100)-100</f>
        <v>-2.9069192656027099</v>
      </c>
      <c r="K25" s="1307"/>
    </row>
    <row r="26" spans="2:12" x14ac:dyDescent="0.25">
      <c r="B26" s="240"/>
      <c r="C26" s="240"/>
      <c r="D26" s="254"/>
      <c r="E26" s="242"/>
      <c r="F26" s="242"/>
      <c r="G26" s="242"/>
      <c r="H26" s="242"/>
      <c r="I26" s="242"/>
      <c r="J26" s="242"/>
    </row>
    <row r="27" spans="2:12" ht="25.5" x14ac:dyDescent="0.25">
      <c r="B27" s="1740" t="s">
        <v>50</v>
      </c>
      <c r="C27" s="1741"/>
      <c r="D27" s="38">
        <f>+C30+(C30*C36%)</f>
        <v>177</v>
      </c>
      <c r="E27" s="195"/>
      <c r="F27" s="195"/>
      <c r="G27" s="195"/>
      <c r="H27" s="195"/>
      <c r="I27" s="195"/>
      <c r="J27" s="195"/>
    </row>
    <row r="28" spans="2:12" x14ac:dyDescent="0.25">
      <c r="B28" s="1285" t="s">
        <v>38</v>
      </c>
      <c r="C28" s="163"/>
    </row>
    <row r="29" spans="2:12" x14ac:dyDescent="0.25">
      <c r="B29" s="1285" t="s">
        <v>39</v>
      </c>
      <c r="C29" s="163" t="s">
        <v>1223</v>
      </c>
    </row>
    <row r="30" spans="2:12" x14ac:dyDescent="0.25">
      <c r="B30" s="1285" t="s">
        <v>40</v>
      </c>
      <c r="C30" s="163">
        <v>150</v>
      </c>
      <c r="G30" s="120" t="s">
        <v>85</v>
      </c>
    </row>
    <row r="31" spans="2:12" x14ac:dyDescent="0.25">
      <c r="B31" s="1285" t="s">
        <v>41</v>
      </c>
      <c r="C31" s="163">
        <v>0</v>
      </c>
    </row>
    <row r="32" spans="2:12" x14ac:dyDescent="0.25">
      <c r="B32" s="1285" t="s">
        <v>42</v>
      </c>
      <c r="C32" s="163">
        <v>0</v>
      </c>
    </row>
    <row r="33" spans="2:11" x14ac:dyDescent="0.25">
      <c r="B33" s="1285" t="s">
        <v>43</v>
      </c>
      <c r="C33" s="163">
        <v>2</v>
      </c>
    </row>
    <row r="34" spans="2:11" x14ac:dyDescent="0.25">
      <c r="B34" s="1285" t="s">
        <v>44</v>
      </c>
      <c r="C34" s="163">
        <v>9</v>
      </c>
    </row>
    <row r="35" spans="2:11" x14ac:dyDescent="0.25">
      <c r="B35" s="1285" t="s">
        <v>45</v>
      </c>
      <c r="C35" s="163">
        <v>7</v>
      </c>
    </row>
    <row r="36" spans="2:11" x14ac:dyDescent="0.25">
      <c r="B36" s="1285" t="s">
        <v>46</v>
      </c>
      <c r="C36" s="163">
        <f>SUM(C31:C35)</f>
        <v>18</v>
      </c>
    </row>
    <row r="38" spans="2:11" ht="25.5" x14ac:dyDescent="0.25">
      <c r="B38" s="1742" t="s">
        <v>47</v>
      </c>
      <c r="C38" s="1742"/>
      <c r="D38" s="1742"/>
      <c r="E38" s="1742"/>
      <c r="F38" s="1742"/>
      <c r="G38" s="779"/>
      <c r="H38" s="857"/>
      <c r="I38" s="857"/>
      <c r="J38" s="857"/>
    </row>
    <row r="39" spans="2:11" ht="25.5" x14ac:dyDescent="0.25">
      <c r="B39" s="1255"/>
      <c r="C39" s="1255" t="s">
        <v>1</v>
      </c>
      <c r="D39" s="1255" t="s">
        <v>2</v>
      </c>
      <c r="E39" s="1243" t="str">
        <f>+'CIF Y PV'!$F$4</f>
        <v xml:space="preserve">JUN-COP/UMB </v>
      </c>
      <c r="F39" s="1243" t="str">
        <f>+'CIF Y PV'!$G$4</f>
        <v>JUN-COP/APP</v>
      </c>
      <c r="G39" s="1243" t="str">
        <f>+'CIF Y PV'!$H$4</f>
        <v xml:space="preserve">MAY-COP/UMB </v>
      </c>
      <c r="H39" s="1243" t="str">
        <f>+'CIF Y PV'!$I$4</f>
        <v>MAY-COP/APP</v>
      </c>
      <c r="I39" s="1526" t="s">
        <v>3</v>
      </c>
      <c r="J39" s="269"/>
    </row>
    <row r="40" spans="2:11" x14ac:dyDescent="0.25">
      <c r="B40" s="777">
        <v>1310066</v>
      </c>
      <c r="C40" s="918" t="s">
        <v>1291</v>
      </c>
      <c r="D40" s="861">
        <v>7.4999999999999997E-2</v>
      </c>
      <c r="E40" s="24">
        <f>VLOOKUP(B40,[2]Hoja1!$C$2:$E$279,3,FALSE)</f>
        <v>765.19</v>
      </c>
      <c r="F40" s="24">
        <f>E40*D40</f>
        <v>57.389250000000004</v>
      </c>
      <c r="G40" s="871">
        <v>503.51</v>
      </c>
      <c r="H40" s="24">
        <f>G40*D40</f>
        <v>37.763249999999999</v>
      </c>
      <c r="I40" s="903">
        <f>((E40/G40)*100)-100</f>
        <v>51.971162439673492</v>
      </c>
      <c r="J40" s="38"/>
    </row>
    <row r="41" spans="2:11" x14ac:dyDescent="0.25">
      <c r="B41" s="777">
        <v>1320011</v>
      </c>
      <c r="C41" s="919" t="s">
        <v>1315</v>
      </c>
      <c r="D41" s="386">
        <v>7.4999999999999997E-2</v>
      </c>
      <c r="E41" s="24">
        <f>VLOOKUP(B41,[2]Hoja1!$C$2:$E$279,3,FALSE)</f>
        <v>1189.55</v>
      </c>
      <c r="F41" s="24">
        <f>E41*D41</f>
        <v>89.216249999999988</v>
      </c>
      <c r="G41" s="24">
        <v>828.94</v>
      </c>
      <c r="H41" s="24">
        <f>G41*D41</f>
        <v>62.170500000000004</v>
      </c>
      <c r="I41" s="886">
        <f>((E41/G41)*100)-100</f>
        <v>43.502545419451337</v>
      </c>
      <c r="J41" s="38"/>
    </row>
    <row r="42" spans="2:11" ht="15" x14ac:dyDescent="0.25">
      <c r="B42" s="777">
        <v>1330089</v>
      </c>
      <c r="C42" s="1142" t="s">
        <v>1217</v>
      </c>
      <c r="D42" s="386">
        <v>1</v>
      </c>
      <c r="E42" s="24">
        <f>VLOOKUP(B42,[2]Hoja1!$C$2:$E$279,3,FALSE)</f>
        <v>94.88</v>
      </c>
      <c r="F42" s="24">
        <f>E42*D42</f>
        <v>94.88</v>
      </c>
      <c r="G42" s="862">
        <v>82.39</v>
      </c>
      <c r="H42" s="24">
        <f>G42*D42</f>
        <v>82.39</v>
      </c>
      <c r="I42" s="886"/>
      <c r="J42" s="1"/>
    </row>
    <row r="43" spans="2:11" ht="15" x14ac:dyDescent="0.25">
      <c r="B43" s="777">
        <v>1370047</v>
      </c>
      <c r="C43" s="1142" t="s">
        <v>1222</v>
      </c>
      <c r="D43" s="386">
        <v>8.0000000000000002E-3</v>
      </c>
      <c r="E43" s="24">
        <f>VLOOKUP(B43,[2]Hoja1!$C$2:$E$279,3,FALSE)</f>
        <v>5327.21</v>
      </c>
      <c r="F43" s="103">
        <f>E43*D43</f>
        <v>42.61768</v>
      </c>
      <c r="G43" s="862">
        <v>6022.39</v>
      </c>
      <c r="H43" s="24">
        <f>G43*D43</f>
        <v>48.179120000000005</v>
      </c>
      <c r="I43" s="886"/>
      <c r="J43" s="1"/>
    </row>
    <row r="44" spans="2:11" x14ac:dyDescent="0.25">
      <c r="B44" s="1298"/>
      <c r="C44" s="1312" t="s">
        <v>37</v>
      </c>
      <c r="D44" s="1313"/>
      <c r="E44" s="1300"/>
      <c r="F44" s="1300">
        <f>SUM(F40:F43)</f>
        <v>284.10318000000001</v>
      </c>
      <c r="G44" s="1301"/>
      <c r="H44" s="1301">
        <f>SUM(H40:H43)</f>
        <v>230.50287000000003</v>
      </c>
      <c r="I44" s="1302">
        <f>((F44/H44)*100)-100</f>
        <v>23.253641050109252</v>
      </c>
      <c r="J44" s="859"/>
    </row>
    <row r="46" spans="2:11" x14ac:dyDescent="0.25">
      <c r="F46" s="890"/>
      <c r="G46" s="1" t="str">
        <f>+'CIF Y PV'!$G$1</f>
        <v>MAYO</v>
      </c>
      <c r="H46" s="890"/>
      <c r="I46" s="890"/>
      <c r="J46" s="890"/>
      <c r="K46" s="891"/>
    </row>
    <row r="47" spans="2:11" ht="17.25" x14ac:dyDescent="0.25">
      <c r="B47" s="1735" t="s">
        <v>400</v>
      </c>
      <c r="C47" s="1735"/>
      <c r="E47" s="884"/>
      <c r="F47" s="887"/>
      <c r="G47" s="1232">
        <f>F44+G25</f>
        <v>2129.1411004110005</v>
      </c>
      <c r="H47" s="888"/>
      <c r="I47" s="887"/>
      <c r="J47" s="888"/>
      <c r="K47" s="891"/>
    </row>
    <row r="48" spans="2:11" ht="17.25" x14ac:dyDescent="0.25">
      <c r="B48" s="1736" t="s">
        <v>48</v>
      </c>
      <c r="C48" s="1737"/>
      <c r="E48" s="884"/>
      <c r="F48" s="887"/>
      <c r="G48" s="1232">
        <f>+('CIF Y PV'!C3/1000)*150</f>
        <v>283.5</v>
      </c>
      <c r="H48" s="888"/>
      <c r="I48" s="887"/>
      <c r="J48" s="888"/>
      <c r="K48" s="891"/>
    </row>
    <row r="49" spans="2:11" ht="17.25" x14ac:dyDescent="0.25">
      <c r="B49" s="1736" t="s">
        <v>1218</v>
      </c>
      <c r="C49" s="1737"/>
      <c r="E49" s="884"/>
      <c r="F49" s="887"/>
      <c r="G49" s="1232">
        <f>+G47+G48</f>
        <v>2412.6411004110005</v>
      </c>
      <c r="H49" s="888"/>
      <c r="I49" s="887"/>
      <c r="J49" s="888"/>
      <c r="K49" s="891"/>
    </row>
    <row r="50" spans="2:11" ht="17.25" x14ac:dyDescent="0.25">
      <c r="B50" s="1735" t="s">
        <v>49</v>
      </c>
      <c r="C50" s="1735"/>
      <c r="E50" s="884"/>
      <c r="F50" s="887"/>
      <c r="G50" s="1232">
        <f>'CIF Y PV'!C81</f>
        <v>5042.0860999999995</v>
      </c>
      <c r="I50" s="887"/>
      <c r="J50" s="889"/>
      <c r="K50" s="891"/>
    </row>
    <row r="51" spans="2:11" ht="15" x14ac:dyDescent="0.2">
      <c r="B51" s="1735" t="s">
        <v>805</v>
      </c>
      <c r="C51" s="1735"/>
      <c r="E51" s="884"/>
      <c r="F51" s="887"/>
      <c r="G51" s="1230">
        <f>+(G50-G49)/G50</f>
        <v>0.52149942453164366</v>
      </c>
      <c r="H51" s="172"/>
      <c r="I51" s="892"/>
      <c r="J51" s="172">
        <f>1-J50</f>
        <v>1</v>
      </c>
    </row>
    <row r="52" spans="2:11" x14ac:dyDescent="0.25">
      <c r="F52" s="890"/>
      <c r="G52" s="890"/>
      <c r="H52" s="890"/>
      <c r="I52" s="890"/>
      <c r="J52" s="890"/>
      <c r="K52" s="891"/>
    </row>
    <row r="53" spans="2:11" x14ac:dyDescent="0.25">
      <c r="F53" s="890"/>
      <c r="G53" s="890"/>
      <c r="H53" s="890"/>
      <c r="I53" s="890"/>
      <c r="J53" s="890"/>
      <c r="K53" s="891"/>
    </row>
    <row r="54" spans="2:11" x14ac:dyDescent="0.25">
      <c r="F54" s="890"/>
      <c r="G54" s="890"/>
      <c r="H54" s="890"/>
      <c r="I54" s="890"/>
      <c r="J54" s="890"/>
      <c r="K54" s="891"/>
    </row>
  </sheetData>
  <autoFilter ref="A4:K25" xr:uid="{A8DC38CF-75A8-4C29-A03E-77C69720878D}"/>
  <mergeCells count="9">
    <mergeCell ref="B49:C49"/>
    <mergeCell ref="B50:C50"/>
    <mergeCell ref="B51:C51"/>
    <mergeCell ref="B2:G2"/>
    <mergeCell ref="B25:C25"/>
    <mergeCell ref="B27:C27"/>
    <mergeCell ref="B38:F38"/>
    <mergeCell ref="B47:C47"/>
    <mergeCell ref="B48:C48"/>
  </mergeCells>
  <pageMargins left="0.7" right="0.7" top="0.75" bottom="0.75" header="0.3" footer="0.3"/>
  <rowBreaks count="1" manualBreakCount="1">
    <brk id="44" max="15" man="1"/>
  </rowBreaks>
  <colBreaks count="7" manualBreakCount="7">
    <brk id="3" max="55" man="1"/>
    <brk id="9" max="55" man="1"/>
    <brk id="10" max="57" man="1"/>
    <brk id="12" max="57" man="1"/>
    <brk id="13" max="57" man="1"/>
    <brk id="14" max="57" man="1"/>
    <brk id="15" max="58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9D86-7FAC-4ECB-BE73-A9CB1CEE0D48}">
  <sheetPr codeName="Hoja27"/>
  <dimension ref="B2:K54"/>
  <sheetViews>
    <sheetView view="pageBreakPreview" topLeftCell="A31" zoomScale="90" zoomScaleNormal="100" zoomScaleSheetLayoutView="90" workbookViewId="0">
      <selection activeCell="F24" sqref="F24"/>
    </sheetView>
  </sheetViews>
  <sheetFormatPr baseColWidth="10" defaultColWidth="11.5703125" defaultRowHeight="13.5" x14ac:dyDescent="0.25"/>
  <cols>
    <col min="1" max="1" width="4.7109375" style="120" customWidth="1"/>
    <col min="2" max="2" width="12.7109375" style="120" customWidth="1"/>
    <col min="3" max="3" width="56.5703125" style="120" customWidth="1"/>
    <col min="4" max="4" width="15.140625" style="120" customWidth="1"/>
    <col min="5" max="5" width="13.140625" style="120" bestFit="1" customWidth="1"/>
    <col min="6" max="6" width="13.140625" style="120" customWidth="1"/>
    <col min="7" max="7" width="17.140625" style="120" bestFit="1" customWidth="1"/>
    <col min="8" max="8" width="17.140625" style="120" customWidth="1"/>
    <col min="9" max="9" width="15.28515625" style="120" customWidth="1"/>
    <col min="10" max="10" width="11.5703125" style="120" customWidth="1"/>
    <col min="11" max="11" width="12.7109375" style="170" customWidth="1"/>
    <col min="12" max="16384" width="11.5703125" style="120"/>
  </cols>
  <sheetData>
    <row r="2" spans="2:11" ht="30" customHeight="1" x14ac:dyDescent="0.25">
      <c r="B2" s="1738" t="s">
        <v>1330</v>
      </c>
      <c r="C2" s="1738"/>
      <c r="D2" s="1738"/>
      <c r="E2" s="1738"/>
      <c r="F2" s="1738"/>
      <c r="G2" s="1738"/>
      <c r="H2" s="855"/>
      <c r="I2" s="855"/>
      <c r="J2" s="855"/>
    </row>
    <row r="4" spans="2:11" s="3" customFormat="1" ht="28.5" customHeight="1" x14ac:dyDescent="0.25">
      <c r="B4" s="1244" t="s">
        <v>0</v>
      </c>
      <c r="C4" s="1244" t="s">
        <v>1</v>
      </c>
      <c r="D4" s="1244" t="s">
        <v>2</v>
      </c>
      <c r="E4" s="1244" t="s">
        <v>3</v>
      </c>
      <c r="F4" s="1243" t="str">
        <f>+'[7]CIF Y PV'!$F$2</f>
        <v xml:space="preserve">ENE-COP/Kg </v>
      </c>
      <c r="G4" s="1243" t="str">
        <f>+'[7]CIF Y PV'!$G$2</f>
        <v>ENE-COP/APP</v>
      </c>
      <c r="H4" s="1303">
        <v>0.47199999999999998</v>
      </c>
      <c r="I4" s="1303">
        <v>250</v>
      </c>
    </row>
    <row r="5" spans="2:11" ht="16.5" x14ac:dyDescent="0.3">
      <c r="B5" s="777">
        <v>1122008</v>
      </c>
      <c r="C5" s="74" t="s">
        <v>1028</v>
      </c>
      <c r="D5" s="103">
        <v>0.2434104</v>
      </c>
      <c r="E5" s="248">
        <v>51.57</v>
      </c>
      <c r="F5" s="896">
        <f>VLOOKUP(B5,[2]Hoja1!$C$2:$E$279,3,FALSE)</f>
        <v>12059.2</v>
      </c>
      <c r="G5" s="248">
        <f>F5*D5</f>
        <v>2935.3346956800001</v>
      </c>
      <c r="H5" s="776">
        <f t="shared" ref="H5:H24" si="0">$H$4*E5%</f>
        <v>0.2434104</v>
      </c>
      <c r="I5" s="1159">
        <f>$I$4*E5</f>
        <v>12892.5</v>
      </c>
      <c r="K5" s="120"/>
    </row>
    <row r="6" spans="2:11" ht="16.5" x14ac:dyDescent="0.3">
      <c r="B6" s="777">
        <v>1121009</v>
      </c>
      <c r="C6" s="74" t="s">
        <v>1272</v>
      </c>
      <c r="D6" s="7">
        <v>9.4588799999999987E-2</v>
      </c>
      <c r="E6" s="248">
        <v>20.04</v>
      </c>
      <c r="F6" s="896">
        <f>VLOOKUP(B6,[2]Hoja1!$C$2:$E$279,3,FALSE)</f>
        <v>8741.6200000000008</v>
      </c>
      <c r="G6" s="248">
        <f t="shared" ref="G6:G24" si="1">F6*D6</f>
        <v>826.859345856</v>
      </c>
      <c r="H6" s="776">
        <f t="shared" si="0"/>
        <v>9.4588799999999987E-2</v>
      </c>
      <c r="I6" s="1158"/>
      <c r="K6" s="120"/>
    </row>
    <row r="7" spans="2:11" ht="16.5" x14ac:dyDescent="0.3">
      <c r="B7" s="777">
        <v>1131002</v>
      </c>
      <c r="C7" s="74" t="s">
        <v>663</v>
      </c>
      <c r="D7" s="7">
        <v>7.6605599999999996E-2</v>
      </c>
      <c r="E7" s="248">
        <v>16.23</v>
      </c>
      <c r="F7" s="896">
        <f>VLOOKUP(B7,[2]Hoja1!$C$2:$E$279,3,FALSE)</f>
        <v>0</v>
      </c>
      <c r="G7" s="248">
        <f t="shared" si="1"/>
        <v>0</v>
      </c>
      <c r="H7" s="776">
        <f t="shared" si="0"/>
        <v>7.6605599999999996E-2</v>
      </c>
      <c r="I7" s="1158"/>
      <c r="K7" s="120"/>
    </row>
    <row r="8" spans="2:11" ht="16.5" x14ac:dyDescent="0.3">
      <c r="B8" s="777">
        <v>1260017</v>
      </c>
      <c r="C8" s="74" t="s">
        <v>832</v>
      </c>
      <c r="D8" s="7">
        <v>1.1988799999999999E-2</v>
      </c>
      <c r="E8" s="1541">
        <v>2.54</v>
      </c>
      <c r="F8" s="896">
        <f>VLOOKUP(B8,[2]Hoja1!$C$2:$E$279,3,FALSE)</f>
        <v>4500</v>
      </c>
      <c r="G8" s="248">
        <f t="shared" si="1"/>
        <v>53.949599999999997</v>
      </c>
      <c r="H8" s="776">
        <f t="shared" si="0"/>
        <v>1.1988799999999999E-2</v>
      </c>
      <c r="I8" s="1158"/>
      <c r="K8" s="120"/>
    </row>
    <row r="9" spans="2:11" ht="16.5" x14ac:dyDescent="0.3">
      <c r="B9" s="777">
        <v>1260009</v>
      </c>
      <c r="C9" s="74" t="s">
        <v>1027</v>
      </c>
      <c r="D9" s="7">
        <v>1.1988799999999999E-2</v>
      </c>
      <c r="E9" s="1541">
        <v>2.54</v>
      </c>
      <c r="F9" s="896">
        <f>VLOOKUP(B9,[2]Hoja1!$C$2:$E$279,3,FALSE)</f>
        <v>7033.69</v>
      </c>
      <c r="G9" s="248">
        <f t="shared" si="1"/>
        <v>84.325502671999985</v>
      </c>
      <c r="H9" s="776">
        <f t="shared" si="0"/>
        <v>1.1988799999999999E-2</v>
      </c>
      <c r="I9" s="1158"/>
      <c r="K9" s="120"/>
    </row>
    <row r="10" spans="2:11" ht="16.5" x14ac:dyDescent="0.3">
      <c r="B10" s="777">
        <v>1210006</v>
      </c>
      <c r="C10" s="74" t="s">
        <v>1130</v>
      </c>
      <c r="D10" s="7">
        <v>6.2303999999999997E-3</v>
      </c>
      <c r="E10" s="1541">
        <v>1.32</v>
      </c>
      <c r="F10" s="896">
        <f>VLOOKUP(B10,[2]Hoja1!$C$2:$E$279,3,FALSE)</f>
        <v>8904.4500000000007</v>
      </c>
      <c r="G10" s="248">
        <f t="shared" si="1"/>
        <v>55.478285280000001</v>
      </c>
      <c r="H10" s="776">
        <f t="shared" si="0"/>
        <v>6.2303999999999997E-3</v>
      </c>
      <c r="I10" s="1158"/>
      <c r="K10" s="120"/>
    </row>
    <row r="11" spans="2:11" ht="16.5" x14ac:dyDescent="0.3">
      <c r="B11" s="777">
        <v>1260005</v>
      </c>
      <c r="C11" s="74" t="s">
        <v>811</v>
      </c>
      <c r="D11" s="7">
        <v>4.7671999999999992E-3</v>
      </c>
      <c r="E11" s="1541">
        <v>1.01</v>
      </c>
      <c r="F11" s="896">
        <f>VLOOKUP(B11,[2]Hoja1!$C$2:$E$279,3,FALSE)</f>
        <v>26429</v>
      </c>
      <c r="G11" s="248">
        <f t="shared" si="1"/>
        <v>125.99232879999998</v>
      </c>
      <c r="H11" s="776">
        <f t="shared" si="0"/>
        <v>4.7671999999999992E-3</v>
      </c>
      <c r="I11" s="1158"/>
      <c r="K11" s="120"/>
    </row>
    <row r="12" spans="2:11" ht="16.5" x14ac:dyDescent="0.3">
      <c r="B12" s="777">
        <v>1220004</v>
      </c>
      <c r="C12" s="74" t="s">
        <v>1212</v>
      </c>
      <c r="D12" s="7">
        <v>4.3896000000000004E-3</v>
      </c>
      <c r="E12" s="1541">
        <v>0.93</v>
      </c>
      <c r="F12" s="896">
        <f>VLOOKUP(B12,[2]Hoja1!$C$2:$E$279,3,FALSE)</f>
        <v>4632</v>
      </c>
      <c r="G12" s="248">
        <f t="shared" si="1"/>
        <v>20.332627200000001</v>
      </c>
      <c r="H12" s="776">
        <f t="shared" si="0"/>
        <v>4.3896000000000004E-3</v>
      </c>
      <c r="I12" s="1158"/>
      <c r="K12" s="120"/>
    </row>
    <row r="13" spans="2:11" ht="16.5" x14ac:dyDescent="0.3">
      <c r="B13" s="777">
        <v>1260023</v>
      </c>
      <c r="C13" s="74" t="s">
        <v>1213</v>
      </c>
      <c r="D13" s="7">
        <v>2.8791999999999997E-3</v>
      </c>
      <c r="E13" s="1541">
        <v>0.61</v>
      </c>
      <c r="F13" s="896">
        <f>VLOOKUP(B13,[2]Hoja1!$C$2:$E$279,3,FALSE)</f>
        <v>121308.46</v>
      </c>
      <c r="G13" s="248">
        <f t="shared" si="1"/>
        <v>349.27131803200001</v>
      </c>
      <c r="H13" s="776">
        <f t="shared" si="0"/>
        <v>2.8791999999999997E-3</v>
      </c>
      <c r="I13" s="1158"/>
      <c r="K13" s="120"/>
    </row>
    <row r="14" spans="2:11" ht="16.5" x14ac:dyDescent="0.3">
      <c r="B14" s="777">
        <v>1260022</v>
      </c>
      <c r="C14" s="74" t="s">
        <v>974</v>
      </c>
      <c r="D14" s="7">
        <v>2.8791999999999997E-3</v>
      </c>
      <c r="E14" s="1541">
        <v>0.61</v>
      </c>
      <c r="F14" s="896">
        <f>VLOOKUP(B14,[2]Hoja1!$C$2:$E$279,3,FALSE)</f>
        <v>22988.01</v>
      </c>
      <c r="G14" s="248">
        <f t="shared" si="1"/>
        <v>66.187078391999989</v>
      </c>
      <c r="H14" s="776">
        <f t="shared" si="0"/>
        <v>2.8791999999999997E-3</v>
      </c>
      <c r="I14" s="1158"/>
      <c r="K14" s="120"/>
    </row>
    <row r="15" spans="2:11" ht="16.5" x14ac:dyDescent="0.3">
      <c r="B15" s="777">
        <v>1230023</v>
      </c>
      <c r="C15" s="74" t="s">
        <v>1211</v>
      </c>
      <c r="D15" s="7">
        <v>2.8791999999999997E-3</v>
      </c>
      <c r="E15" s="1541">
        <v>0.61</v>
      </c>
      <c r="F15" s="896">
        <f>VLOOKUP(B15,[2]Hoja1!$C$2:$E$279,3,FALSE)</f>
        <v>54277.09</v>
      </c>
      <c r="G15" s="248">
        <f t="shared" si="1"/>
        <v>156.27459752799999</v>
      </c>
      <c r="H15" s="776">
        <f t="shared" si="0"/>
        <v>2.8791999999999997E-3</v>
      </c>
      <c r="I15" s="1158"/>
      <c r="K15" s="120"/>
    </row>
    <row r="16" spans="2:11" ht="16.5" x14ac:dyDescent="0.3">
      <c r="B16" s="777">
        <v>121007</v>
      </c>
      <c r="C16" s="74" t="s">
        <v>821</v>
      </c>
      <c r="D16" s="7">
        <v>2.3127999999999998E-3</v>
      </c>
      <c r="E16" s="1541">
        <v>0.49</v>
      </c>
      <c r="F16" s="896">
        <f>VLOOKUP(B16,[2]Hoja1!$C$2:$E$279,3,FALSE)</f>
        <v>16905</v>
      </c>
      <c r="G16" s="248">
        <f t="shared" si="1"/>
        <v>39.097884000000001</v>
      </c>
      <c r="H16" s="776">
        <f t="shared" si="0"/>
        <v>2.3127999999999998E-3</v>
      </c>
      <c r="I16" s="1158"/>
      <c r="K16" s="120"/>
    </row>
    <row r="17" spans="2:11" ht="16.5" x14ac:dyDescent="0.3">
      <c r="B17" s="777">
        <v>1270007</v>
      </c>
      <c r="C17" s="74" t="s">
        <v>1214</v>
      </c>
      <c r="D17" s="7">
        <v>1.6991999999999999E-3</v>
      </c>
      <c r="E17" s="1541">
        <v>0.36</v>
      </c>
      <c r="F17" s="896">
        <f>VLOOKUP(B17,[2]Hoja1!$C$2:$E$279,3,FALSE)</f>
        <v>169641.79</v>
      </c>
      <c r="G17" s="248">
        <f t="shared" si="1"/>
        <v>288.25532956799998</v>
      </c>
      <c r="H17" s="776">
        <f t="shared" si="0"/>
        <v>1.6991999999999999E-3</v>
      </c>
      <c r="I17" s="1158"/>
      <c r="K17" s="120"/>
    </row>
    <row r="18" spans="2:11" ht="16.5" x14ac:dyDescent="0.3">
      <c r="B18" s="777">
        <v>1260014</v>
      </c>
      <c r="C18" s="74" t="s">
        <v>825</v>
      </c>
      <c r="D18" s="7">
        <v>1.7463999999999999E-3</v>
      </c>
      <c r="E18" s="1541">
        <v>0.37</v>
      </c>
      <c r="F18" s="896">
        <f>VLOOKUP(B18,[2]Hoja1!$C$2:$E$279,3,FALSE)</f>
        <v>28083.42</v>
      </c>
      <c r="G18" s="248">
        <f t="shared" si="1"/>
        <v>49.044884687999996</v>
      </c>
      <c r="H18" s="776">
        <f t="shared" si="0"/>
        <v>1.7463999999999999E-3</v>
      </c>
      <c r="I18" s="1158"/>
      <c r="K18" s="120"/>
    </row>
    <row r="19" spans="2:11" ht="16.5" x14ac:dyDescent="0.3">
      <c r="B19" s="777">
        <v>1240007</v>
      </c>
      <c r="C19" s="74" t="s">
        <v>1352</v>
      </c>
      <c r="D19" s="7">
        <v>2.3600000000000001E-3</v>
      </c>
      <c r="E19" s="1541">
        <v>0.5</v>
      </c>
      <c r="F19" s="896">
        <f>VLOOKUP(B19,[2]Hoja1!$C$2:$E$279,3,FALSE)</f>
        <v>25921.42</v>
      </c>
      <c r="G19" s="248">
        <f t="shared" si="1"/>
        <v>61.174551199999996</v>
      </c>
      <c r="H19" s="776">
        <f t="shared" si="0"/>
        <v>2.3600000000000001E-3</v>
      </c>
      <c r="I19" s="1158"/>
      <c r="K19" s="120"/>
    </row>
    <row r="20" spans="2:11" ht="16.5" x14ac:dyDescent="0.3">
      <c r="B20" s="777">
        <v>1270008</v>
      </c>
      <c r="C20" s="74" t="s">
        <v>1215</v>
      </c>
      <c r="D20" s="1538">
        <v>8.4959999999999994E-4</v>
      </c>
      <c r="E20" s="1541">
        <v>0.18</v>
      </c>
      <c r="F20" s="896">
        <f>VLOOKUP(B20,[2]Hoja1!$C$2:$E$279,3,FALSE)</f>
        <v>8935.81</v>
      </c>
      <c r="G20" s="248">
        <f t="shared" si="1"/>
        <v>7.5918641759999987</v>
      </c>
      <c r="H20" s="776">
        <f t="shared" si="0"/>
        <v>8.4959999999999994E-4</v>
      </c>
      <c r="I20" s="1158"/>
      <c r="K20" s="120"/>
    </row>
    <row r="21" spans="2:11" ht="16.5" x14ac:dyDescent="0.3">
      <c r="B21" s="777">
        <v>1210004</v>
      </c>
      <c r="C21" s="74" t="s">
        <v>1131</v>
      </c>
      <c r="D21" s="1538">
        <v>7.5520000000000003E-4</v>
      </c>
      <c r="E21" s="1541">
        <v>0.16</v>
      </c>
      <c r="F21" s="896">
        <f>VLOOKUP(B21,[2]Hoja1!$C$2:$E$279,3,FALSE)</f>
        <v>3841</v>
      </c>
      <c r="G21" s="248">
        <f t="shared" si="1"/>
        <v>2.9007232000000003</v>
      </c>
      <c r="H21" s="776">
        <f t="shared" si="0"/>
        <v>7.5520000000000003E-4</v>
      </c>
      <c r="I21" s="1158"/>
      <c r="K21" s="120"/>
    </row>
    <row r="22" spans="2:11" ht="16.5" x14ac:dyDescent="0.3">
      <c r="B22" s="777">
        <v>1210003</v>
      </c>
      <c r="C22" s="74" t="s">
        <v>1143</v>
      </c>
      <c r="D22" s="1538">
        <v>2.8319999999999994E-4</v>
      </c>
      <c r="E22" s="1541">
        <v>0.06</v>
      </c>
      <c r="F22" s="896">
        <f>VLOOKUP(B22,[2]Hoja1!$C$2:$E$279,3,FALSE)</f>
        <v>16235.45</v>
      </c>
      <c r="G22" s="248">
        <f t="shared" si="1"/>
        <v>4.5978794399999989</v>
      </c>
      <c r="H22" s="776">
        <f t="shared" si="0"/>
        <v>2.8319999999999994E-4</v>
      </c>
      <c r="I22" s="1158"/>
      <c r="K22" s="120"/>
    </row>
    <row r="23" spans="2:11" ht="16.5" x14ac:dyDescent="0.3">
      <c r="B23" s="777">
        <v>1250003</v>
      </c>
      <c r="C23" s="74" t="s">
        <v>914</v>
      </c>
      <c r="D23" s="1538">
        <v>2.3599999999999999E-4</v>
      </c>
      <c r="E23" s="1541">
        <v>0.05</v>
      </c>
      <c r="F23" s="896">
        <f>VLOOKUP(B23,[2]Hoja1!$C$2:$E$279,3,FALSE)</f>
        <v>50952.79</v>
      </c>
      <c r="G23" s="248">
        <f t="shared" si="1"/>
        <v>12.024858439999999</v>
      </c>
      <c r="H23" s="776">
        <f t="shared" si="0"/>
        <v>2.3599999999999999E-4</v>
      </c>
      <c r="I23" s="1158"/>
      <c r="K23" s="120"/>
    </row>
    <row r="24" spans="2:11" ht="16.5" x14ac:dyDescent="0.3">
      <c r="B24" s="777">
        <v>1250001</v>
      </c>
      <c r="C24" s="74" t="s">
        <v>1160</v>
      </c>
      <c r="D24" s="1539">
        <v>4.7200000000000002E-5</v>
      </c>
      <c r="E24" s="1525">
        <v>0.01</v>
      </c>
      <c r="F24" s="896">
        <f>VLOOKUP(B24,[2]Hoja1!$C$2:$E$279,3,FALSE)</f>
        <v>5093.8999999999996</v>
      </c>
      <c r="G24" s="248">
        <f t="shared" si="1"/>
        <v>0.24043207999999999</v>
      </c>
      <c r="H24" s="776">
        <f t="shared" si="0"/>
        <v>4.7200000000000002E-5</v>
      </c>
      <c r="I24" s="1158"/>
      <c r="K24" s="120"/>
    </row>
    <row r="25" spans="2:11" x14ac:dyDescent="0.25">
      <c r="B25" s="1739" t="s">
        <v>37</v>
      </c>
      <c r="C25" s="1739"/>
      <c r="D25" s="1293">
        <f>SUM(D23,D22,D21,D20,D19,D18,D17,D16,D15,D14,D13,D12,D11,D10,D9,D8,D7,D6,D5)</f>
        <v>0.47284959999999998</v>
      </c>
      <c r="E25" s="1295">
        <f>SUM(E5:E24)</f>
        <v>100.19000000000003</v>
      </c>
      <c r="F25" s="1295"/>
      <c r="G25" s="1296">
        <f>SUM(G5:G24)</f>
        <v>5138.933786231999</v>
      </c>
      <c r="H25" s="1307"/>
      <c r="K25" s="120"/>
    </row>
    <row r="26" spans="2:11" x14ac:dyDescent="0.25">
      <c r="B26" s="240"/>
      <c r="C26" s="240"/>
      <c r="D26" s="254"/>
      <c r="E26" s="242"/>
      <c r="F26" s="242"/>
      <c r="G26" s="242"/>
      <c r="H26" s="242"/>
      <c r="I26" s="242"/>
      <c r="J26" s="242"/>
    </row>
    <row r="27" spans="2:11" ht="25.5" x14ac:dyDescent="0.25">
      <c r="B27" s="1740" t="s">
        <v>50</v>
      </c>
      <c r="C27" s="1741"/>
      <c r="D27" s="38">
        <f>+C30+(C30*C36%)</f>
        <v>472</v>
      </c>
      <c r="E27" s="195"/>
      <c r="F27" s="195"/>
      <c r="G27" s="195"/>
      <c r="H27" s="195"/>
      <c r="I27" s="195"/>
      <c r="J27" s="195"/>
    </row>
    <row r="28" spans="2:11" x14ac:dyDescent="0.25">
      <c r="B28" s="1285" t="s">
        <v>38</v>
      </c>
      <c r="C28" s="163"/>
    </row>
    <row r="29" spans="2:11" x14ac:dyDescent="0.25">
      <c r="B29" s="1285" t="s">
        <v>39</v>
      </c>
      <c r="C29" s="163" t="s">
        <v>1223</v>
      </c>
    </row>
    <row r="30" spans="2:11" x14ac:dyDescent="0.25">
      <c r="B30" s="1285" t="s">
        <v>40</v>
      </c>
      <c r="C30" s="163">
        <v>400</v>
      </c>
      <c r="G30" s="120" t="s">
        <v>85</v>
      </c>
    </row>
    <row r="31" spans="2:11" x14ac:dyDescent="0.25">
      <c r="B31" s="1285" t="s">
        <v>41</v>
      </c>
      <c r="C31" s="163">
        <v>0</v>
      </c>
    </row>
    <row r="32" spans="2:11" x14ac:dyDescent="0.25">
      <c r="B32" s="1285" t="s">
        <v>42</v>
      </c>
      <c r="C32" s="163">
        <v>0</v>
      </c>
    </row>
    <row r="33" spans="2:11" x14ac:dyDescent="0.25">
      <c r="B33" s="1285" t="s">
        <v>43</v>
      </c>
      <c r="C33" s="163">
        <v>2</v>
      </c>
    </row>
    <row r="34" spans="2:11" x14ac:dyDescent="0.25">
      <c r="B34" s="1285" t="s">
        <v>44</v>
      </c>
      <c r="C34" s="163">
        <v>9</v>
      </c>
    </row>
    <row r="35" spans="2:11" x14ac:dyDescent="0.25">
      <c r="B35" s="1285" t="s">
        <v>45</v>
      </c>
      <c r="C35" s="163">
        <v>7</v>
      </c>
    </row>
    <row r="36" spans="2:11" x14ac:dyDescent="0.25">
      <c r="B36" s="1285" t="s">
        <v>46</v>
      </c>
      <c r="C36" s="163">
        <f>SUM(C31:C35)</f>
        <v>18</v>
      </c>
      <c r="F36" s="1160">
        <f>D43/10</f>
        <v>2.1999999999999997E-3</v>
      </c>
    </row>
    <row r="37" spans="2:11" x14ac:dyDescent="0.25">
      <c r="F37" s="1160">
        <f>F36*27</f>
        <v>5.9399999999999994E-2</v>
      </c>
    </row>
    <row r="38" spans="2:11" ht="25.5" x14ac:dyDescent="0.25">
      <c r="B38" s="1742" t="s">
        <v>47</v>
      </c>
      <c r="C38" s="1742"/>
      <c r="D38" s="1742"/>
      <c r="E38" s="1742"/>
      <c r="F38" s="1742"/>
      <c r="G38" s="779"/>
      <c r="H38" s="857"/>
      <c r="I38" s="857"/>
      <c r="J38" s="857"/>
    </row>
    <row r="39" spans="2:11" ht="25.5" x14ac:dyDescent="0.25">
      <c r="B39" s="1255"/>
      <c r="C39" s="1255" t="s">
        <v>1</v>
      </c>
      <c r="D39" s="1255" t="s">
        <v>2</v>
      </c>
      <c r="E39" s="1243" t="str">
        <f>+'[7]CIF Y PV'!$F$4</f>
        <v xml:space="preserve">ENE-COP/UMB </v>
      </c>
      <c r="F39" s="1243" t="str">
        <f>+'[7]CIF Y PV'!$G$4</f>
        <v>ENE-COP/APP</v>
      </c>
      <c r="G39" s="1243"/>
      <c r="H39" s="1243"/>
      <c r="I39" s="1526"/>
      <c r="J39" s="269"/>
    </row>
    <row r="40" spans="2:11" x14ac:dyDescent="0.25">
      <c r="B40" s="777">
        <v>1310018</v>
      </c>
      <c r="C40" s="918" t="s">
        <v>1291</v>
      </c>
      <c r="D40" s="861">
        <v>7.4999999999999997E-2</v>
      </c>
      <c r="E40" s="24">
        <f>VLOOKUP(B40,[2]Hoja1!$C$2:$E$279,3,FALSE)</f>
        <v>478.26</v>
      </c>
      <c r="F40" s="24">
        <f>E40*D40</f>
        <v>35.869499999999995</v>
      </c>
      <c r="G40" s="871"/>
      <c r="H40" s="24"/>
      <c r="I40" s="903"/>
      <c r="J40" s="38"/>
    </row>
    <row r="41" spans="2:11" x14ac:dyDescent="0.25">
      <c r="B41" s="777">
        <v>1320005</v>
      </c>
      <c r="C41" s="919" t="s">
        <v>1315</v>
      </c>
      <c r="D41" s="386">
        <v>7.4999999999999997E-2</v>
      </c>
      <c r="E41" s="24">
        <f>VLOOKUP(B41,[2]Hoja1!$C$2:$E$279,3,FALSE)</f>
        <v>740.21</v>
      </c>
      <c r="F41" s="24">
        <f>E41*D41</f>
        <v>55.515750000000004</v>
      </c>
      <c r="G41" s="24"/>
      <c r="H41" s="24"/>
      <c r="I41" s="886"/>
      <c r="J41" s="38"/>
    </row>
    <row r="42" spans="2:11" ht="15" x14ac:dyDescent="0.25">
      <c r="B42" s="777">
        <v>1330089</v>
      </c>
      <c r="C42" s="1142" t="s">
        <v>1217</v>
      </c>
      <c r="D42" s="386">
        <v>1</v>
      </c>
      <c r="E42" s="24">
        <f>VLOOKUP(B42,[2]Hoja1!$C$2:$E$279,3,FALSE)</f>
        <v>94.88</v>
      </c>
      <c r="F42" s="24">
        <f>E42*D42</f>
        <v>94.88</v>
      </c>
      <c r="G42" s="862"/>
      <c r="H42" s="24"/>
      <c r="I42" s="886"/>
      <c r="J42" s="1"/>
    </row>
    <row r="43" spans="2:11" ht="15" x14ac:dyDescent="0.25">
      <c r="B43" s="777">
        <v>1370047</v>
      </c>
      <c r="C43" s="1142" t="s">
        <v>1222</v>
      </c>
      <c r="D43" s="386">
        <v>2.1999999999999999E-2</v>
      </c>
      <c r="E43" s="24">
        <f>VLOOKUP(B43,[2]Hoja1!$C$2:$E$279,3,FALSE)</f>
        <v>5327.21</v>
      </c>
      <c r="F43" s="103">
        <f>E43*D43</f>
        <v>117.19861999999999</v>
      </c>
      <c r="G43" s="862"/>
      <c r="H43" s="24"/>
      <c r="I43" s="886"/>
      <c r="J43" s="1"/>
    </row>
    <row r="44" spans="2:11" x14ac:dyDescent="0.25">
      <c r="B44" s="1298"/>
      <c r="C44" s="1312" t="s">
        <v>37</v>
      </c>
      <c r="D44" s="1313"/>
      <c r="E44" s="1300"/>
      <c r="F44" s="1300">
        <f>SUM(F40:F43)</f>
        <v>303.46386999999999</v>
      </c>
      <c r="G44" s="1301"/>
      <c r="H44" s="1301"/>
      <c r="I44" s="1302"/>
      <c r="J44" s="859"/>
    </row>
    <row r="46" spans="2:11" x14ac:dyDescent="0.25">
      <c r="F46" s="890"/>
      <c r="G46" s="1" t="str">
        <f>+'[7]CIF Y PV'!$G$1</f>
        <v>Septiembre</v>
      </c>
      <c r="H46" s="890"/>
      <c r="I46" s="890"/>
      <c r="J46" s="890"/>
      <c r="K46" s="891"/>
    </row>
    <row r="47" spans="2:11" ht="17.25" x14ac:dyDescent="0.25">
      <c r="B47" s="1735" t="s">
        <v>400</v>
      </c>
      <c r="C47" s="1735"/>
      <c r="E47" s="884"/>
      <c r="F47" s="887"/>
      <c r="G47" s="1232">
        <f>F44+G25</f>
        <v>5442.3976562319986</v>
      </c>
      <c r="H47" s="888"/>
      <c r="I47" s="887"/>
      <c r="J47" s="888"/>
      <c r="K47" s="891"/>
    </row>
    <row r="48" spans="2:11" ht="17.25" x14ac:dyDescent="0.25">
      <c r="B48" s="1736" t="s">
        <v>48</v>
      </c>
      <c r="C48" s="1737"/>
      <c r="E48" s="884"/>
      <c r="F48" s="887"/>
      <c r="G48" s="1232">
        <f>+(1890/1000)*400</f>
        <v>756</v>
      </c>
      <c r="H48" s="888"/>
      <c r="I48" s="887"/>
      <c r="J48" s="888"/>
      <c r="K48" s="891"/>
    </row>
    <row r="49" spans="2:11" ht="17.25" x14ac:dyDescent="0.25">
      <c r="B49" s="1736" t="s">
        <v>1218</v>
      </c>
      <c r="C49" s="1737"/>
      <c r="E49" s="884"/>
      <c r="F49" s="887"/>
      <c r="G49" s="1232">
        <f>+G47+G48</f>
        <v>6198.3976562319986</v>
      </c>
      <c r="H49" s="888"/>
      <c r="I49" s="887"/>
      <c r="J49" s="888"/>
      <c r="K49" s="891"/>
    </row>
    <row r="50" spans="2:11" ht="17.25" x14ac:dyDescent="0.25">
      <c r="B50" s="1735" t="s">
        <v>49</v>
      </c>
      <c r="C50" s="1735"/>
      <c r="E50" s="884"/>
      <c r="F50" s="887"/>
      <c r="G50" s="1232">
        <f>'CIF Y PV'!C82</f>
        <v>12995</v>
      </c>
      <c r="I50" s="887"/>
      <c r="J50" s="889"/>
      <c r="K50" s="891"/>
    </row>
    <row r="51" spans="2:11" ht="15" x14ac:dyDescent="0.2">
      <c r="B51" s="1735" t="s">
        <v>805</v>
      </c>
      <c r="C51" s="1735"/>
      <c r="E51" s="884"/>
      <c r="F51" s="887"/>
      <c r="G51" s="1230">
        <f>+(G50-G49)/G50</f>
        <v>0.52301672518414788</v>
      </c>
      <c r="H51" s="172"/>
      <c r="I51" s="892"/>
      <c r="J51" s="172">
        <f>1-J50</f>
        <v>1</v>
      </c>
    </row>
    <row r="52" spans="2:11" x14ac:dyDescent="0.25">
      <c r="F52" s="890"/>
      <c r="G52" s="890"/>
      <c r="H52" s="890"/>
      <c r="I52" s="890"/>
      <c r="J52" s="890"/>
      <c r="K52" s="891"/>
    </row>
    <row r="53" spans="2:11" x14ac:dyDescent="0.25">
      <c r="F53" s="890"/>
      <c r="G53" s="890"/>
      <c r="H53" s="890"/>
      <c r="I53" s="890"/>
      <c r="J53" s="890"/>
      <c r="K53" s="891"/>
    </row>
    <row r="54" spans="2:11" x14ac:dyDescent="0.25">
      <c r="F54" s="890"/>
      <c r="G54" s="890"/>
      <c r="H54" s="890"/>
      <c r="I54" s="890"/>
      <c r="J54" s="890"/>
      <c r="K54" s="891"/>
    </row>
  </sheetData>
  <autoFilter ref="A4:K25" xr:uid="{A8DC38CF-75A8-4C29-A03E-77C69720878D}"/>
  <mergeCells count="9">
    <mergeCell ref="B49:C49"/>
    <mergeCell ref="B50:C50"/>
    <mergeCell ref="B51:C51"/>
    <mergeCell ref="B2:G2"/>
    <mergeCell ref="B25:C25"/>
    <mergeCell ref="B27:C27"/>
    <mergeCell ref="B38:F38"/>
    <mergeCell ref="B47:C47"/>
    <mergeCell ref="B48:C48"/>
  </mergeCells>
  <pageMargins left="0.7" right="0.7" top="0.75" bottom="0.75" header="0.3" footer="0.3"/>
  <pageSetup paperSize="9" scale="53" orientation="portrait" r:id="rId1"/>
  <rowBreaks count="1" manualBreakCount="1">
    <brk id="44" max="15" man="1"/>
  </rowBreaks>
  <colBreaks count="1" manualBreakCount="1">
    <brk id="9" max="54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9618-124D-4427-96B3-A592136A97FB}">
  <sheetPr codeName="Hoja130"/>
  <dimension ref="B2:L54"/>
  <sheetViews>
    <sheetView view="pageBreakPreview" topLeftCell="A29" zoomScale="90" zoomScaleNormal="100" zoomScaleSheetLayoutView="90" workbookViewId="0">
      <selection activeCell="F24" sqref="F24"/>
    </sheetView>
  </sheetViews>
  <sheetFormatPr baseColWidth="10" defaultColWidth="11.5703125" defaultRowHeight="13.5" x14ac:dyDescent="0.25"/>
  <cols>
    <col min="1" max="1" width="4.7109375" style="120" customWidth="1"/>
    <col min="2" max="2" width="12.7109375" style="120" customWidth="1"/>
    <col min="3" max="3" width="56.5703125" style="120" customWidth="1"/>
    <col min="4" max="4" width="15.140625" style="120" customWidth="1"/>
    <col min="5" max="5" width="13.140625" style="120" bestFit="1" customWidth="1"/>
    <col min="6" max="6" width="13.140625" style="120" customWidth="1"/>
    <col min="7" max="7" width="17.140625" style="120" bestFit="1" customWidth="1"/>
    <col min="8" max="8" width="17.140625" style="120" customWidth="1"/>
    <col min="9" max="9" width="15.28515625" style="120" customWidth="1"/>
    <col min="10" max="10" width="11.5703125" style="120" customWidth="1"/>
    <col min="11" max="11" width="12.7109375" style="170" customWidth="1"/>
    <col min="12" max="16384" width="11.5703125" style="120"/>
  </cols>
  <sheetData>
    <row r="2" spans="2:12" ht="30" customHeight="1" x14ac:dyDescent="0.25">
      <c r="B2" s="1738" t="s">
        <v>1274</v>
      </c>
      <c r="C2" s="1738"/>
      <c r="D2" s="1738"/>
      <c r="E2" s="1738"/>
      <c r="F2" s="1738"/>
      <c r="G2" s="1738"/>
      <c r="H2" s="855"/>
      <c r="I2" s="855"/>
      <c r="J2" s="855"/>
    </row>
    <row r="4" spans="2:12" s="3" customFormat="1" ht="28.5" customHeight="1" x14ac:dyDescent="0.25">
      <c r="B4" s="1244" t="s">
        <v>0</v>
      </c>
      <c r="C4" s="1244" t="s">
        <v>1</v>
      </c>
      <c r="D4" s="1244" t="s">
        <v>2</v>
      </c>
      <c r="E4" s="1244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71" t="s">
        <v>3</v>
      </c>
      <c r="K4" s="1303">
        <v>1.18</v>
      </c>
      <c r="L4" s="1303">
        <v>394</v>
      </c>
    </row>
    <row r="5" spans="2:12" ht="16.5" x14ac:dyDescent="0.3">
      <c r="B5" s="777">
        <v>1122008</v>
      </c>
      <c r="C5" s="74" t="s">
        <v>1028</v>
      </c>
      <c r="D5" s="103">
        <v>0.60852600000000001</v>
      </c>
      <c r="E5" s="248">
        <v>51.57</v>
      </c>
      <c r="F5" s="896">
        <f>VLOOKUP(B5,[2]Hoja1!$C$2:$E$279,3,FALSE)</f>
        <v>12059.2</v>
      </c>
      <c r="G5" s="248">
        <f>F5*D5</f>
        <v>7338.3367392000009</v>
      </c>
      <c r="H5" s="896">
        <v>12498.88</v>
      </c>
      <c r="I5" s="856">
        <f>H5*D5</f>
        <v>7605.8934508799994</v>
      </c>
      <c r="J5" s="32">
        <f t="shared" ref="J5:J23" si="0">((F5/H5)*100)-100</f>
        <v>-3.5177551908650884</v>
      </c>
      <c r="K5" s="776">
        <f t="shared" ref="K5:K24" si="1">$K$4*E5%</f>
        <v>0.60852600000000001</v>
      </c>
      <c r="L5" s="1159">
        <f>$L$4*E5</f>
        <v>20318.580000000002</v>
      </c>
    </row>
    <row r="6" spans="2:12" ht="16.5" x14ac:dyDescent="0.3">
      <c r="B6" s="777">
        <v>1121009</v>
      </c>
      <c r="C6" s="74" t="s">
        <v>1272</v>
      </c>
      <c r="D6" s="7">
        <v>0.23647199999999999</v>
      </c>
      <c r="E6" s="248">
        <v>20.04</v>
      </c>
      <c r="F6" s="896">
        <f>VLOOKUP(B6,[2]Hoja1!$C$2:$E$279,3,FALSE)</f>
        <v>8741.6200000000008</v>
      </c>
      <c r="G6" s="248">
        <f t="shared" ref="G6:G24" si="2">F6*D6</f>
        <v>2067.1483646400002</v>
      </c>
      <c r="H6" s="38">
        <v>8754.2800000000007</v>
      </c>
      <c r="I6" s="856">
        <f t="shared" ref="I6:I24" si="3">H6*D6</f>
        <v>2070.1421001600002</v>
      </c>
      <c r="J6" s="32">
        <f t="shared" si="0"/>
        <v>-0.14461497690273006</v>
      </c>
      <c r="K6" s="776">
        <f t="shared" si="1"/>
        <v>0.23647199999999999</v>
      </c>
      <c r="L6" s="1158"/>
    </row>
    <row r="7" spans="2:12" ht="16.5" x14ac:dyDescent="0.3">
      <c r="B7" s="777">
        <v>1131002</v>
      </c>
      <c r="C7" s="74" t="s">
        <v>663</v>
      </c>
      <c r="D7" s="7">
        <v>0.18809199999999998</v>
      </c>
      <c r="E7" s="248">
        <v>15.94</v>
      </c>
      <c r="F7" s="896">
        <f>VLOOKUP(B7,[2]Hoja1!$C$2:$E$279,3,FALSE)</f>
        <v>0</v>
      </c>
      <c r="G7" s="248">
        <f t="shared" si="2"/>
        <v>0</v>
      </c>
      <c r="H7" s="896">
        <v>0</v>
      </c>
      <c r="I7" s="856">
        <f t="shared" si="3"/>
        <v>0</v>
      </c>
      <c r="J7" s="32" t="e">
        <f t="shared" si="0"/>
        <v>#DIV/0!</v>
      </c>
      <c r="K7" s="776">
        <f t="shared" si="1"/>
        <v>0.18809199999999998</v>
      </c>
      <c r="L7" s="1158"/>
    </row>
    <row r="8" spans="2:12" ht="16.5" x14ac:dyDescent="0.3">
      <c r="B8" s="777">
        <v>1260017</v>
      </c>
      <c r="C8" s="74" t="s">
        <v>832</v>
      </c>
      <c r="D8" s="7">
        <v>2.9971999999999999E-2</v>
      </c>
      <c r="E8" s="248">
        <v>2.54</v>
      </c>
      <c r="F8" s="896">
        <f>VLOOKUP(B8,[2]Hoja1!$C$2:$E$279,3,FALSE)</f>
        <v>4500</v>
      </c>
      <c r="G8" s="248">
        <f t="shared" si="2"/>
        <v>134.874</v>
      </c>
      <c r="H8" s="72">
        <v>4500</v>
      </c>
      <c r="I8" s="856">
        <f t="shared" si="3"/>
        <v>134.874</v>
      </c>
      <c r="J8" s="32">
        <f t="shared" si="0"/>
        <v>0</v>
      </c>
      <c r="K8" s="776">
        <f t="shared" si="1"/>
        <v>2.9971999999999999E-2</v>
      </c>
      <c r="L8" s="1158"/>
    </row>
    <row r="9" spans="2:12" ht="16.5" x14ac:dyDescent="0.3">
      <c r="B9" s="777">
        <v>1260009</v>
      </c>
      <c r="C9" s="74" t="s">
        <v>1027</v>
      </c>
      <c r="D9" s="7">
        <v>2.9971999999999999E-2</v>
      </c>
      <c r="E9" s="248">
        <v>2.54</v>
      </c>
      <c r="F9" s="896">
        <f>VLOOKUP(B9,[2]Hoja1!$C$2:$E$279,3,FALSE)</f>
        <v>7033.69</v>
      </c>
      <c r="G9" s="248">
        <f t="shared" si="2"/>
        <v>210.81375667999998</v>
      </c>
      <c r="H9" s="879">
        <v>9565.2099999999991</v>
      </c>
      <c r="I9" s="856">
        <f t="shared" si="3"/>
        <v>286.68847411999997</v>
      </c>
      <c r="J9" s="32">
        <f t="shared" si="0"/>
        <v>-26.465911360022403</v>
      </c>
      <c r="K9" s="776">
        <f t="shared" si="1"/>
        <v>2.9971999999999999E-2</v>
      </c>
      <c r="L9" s="1158"/>
    </row>
    <row r="10" spans="2:12" ht="16.5" x14ac:dyDescent="0.3">
      <c r="B10" s="777">
        <v>1210005</v>
      </c>
      <c r="C10" s="74" t="s">
        <v>1155</v>
      </c>
      <c r="D10" s="7">
        <v>1.9116000000000001E-2</v>
      </c>
      <c r="E10" s="248">
        <v>1.62</v>
      </c>
      <c r="F10" s="896">
        <f>VLOOKUP(B10,[2]Hoja1!$C$2:$E$279,3,FALSE)</f>
        <v>1356</v>
      </c>
      <c r="G10" s="248">
        <f t="shared" si="2"/>
        <v>25.921296000000002</v>
      </c>
      <c r="H10" s="914">
        <v>1360</v>
      </c>
      <c r="I10" s="856">
        <f t="shared" si="3"/>
        <v>25.997760000000003</v>
      </c>
      <c r="J10" s="32">
        <f t="shared" si="0"/>
        <v>-0.29411764705882604</v>
      </c>
      <c r="K10" s="776">
        <f t="shared" si="1"/>
        <v>1.9116000000000001E-2</v>
      </c>
      <c r="L10" s="1158"/>
    </row>
    <row r="11" spans="2:12" ht="16.5" x14ac:dyDescent="0.3">
      <c r="B11" s="777">
        <v>1260005</v>
      </c>
      <c r="C11" s="74" t="s">
        <v>811</v>
      </c>
      <c r="D11" s="7">
        <v>1.1917999999999998E-2</v>
      </c>
      <c r="E11" s="248">
        <v>1.01</v>
      </c>
      <c r="F11" s="896">
        <f>VLOOKUP(B11,[2]Hoja1!$C$2:$E$279,3,FALSE)</f>
        <v>26429</v>
      </c>
      <c r="G11" s="248">
        <f t="shared" si="2"/>
        <v>314.98082199999993</v>
      </c>
      <c r="H11" s="914">
        <v>25850</v>
      </c>
      <c r="I11" s="856">
        <f t="shared" si="3"/>
        <v>308.08029999999997</v>
      </c>
      <c r="J11" s="32">
        <f t="shared" si="0"/>
        <v>2.2398452611218715</v>
      </c>
      <c r="K11" s="776">
        <f t="shared" si="1"/>
        <v>1.1917999999999998E-2</v>
      </c>
      <c r="L11" s="1158"/>
    </row>
    <row r="12" spans="2:12" ht="16.5" x14ac:dyDescent="0.3">
      <c r="B12" s="777">
        <v>1220004</v>
      </c>
      <c r="C12" s="74" t="s">
        <v>1212</v>
      </c>
      <c r="D12" s="7">
        <v>1.0974000000000001E-2</v>
      </c>
      <c r="E12" s="248">
        <v>0.93</v>
      </c>
      <c r="F12" s="896">
        <f>VLOOKUP(B12,[2]Hoja1!$C$2:$E$279,3,FALSE)</f>
        <v>4632</v>
      </c>
      <c r="G12" s="248">
        <f t="shared" si="2"/>
        <v>50.831568000000004</v>
      </c>
      <c r="H12" s="914">
        <v>4616.7</v>
      </c>
      <c r="I12" s="856">
        <f t="shared" si="3"/>
        <v>50.663665800000004</v>
      </c>
      <c r="J12" s="32">
        <f t="shared" si="0"/>
        <v>0.33140554941842026</v>
      </c>
      <c r="K12" s="776">
        <f t="shared" si="1"/>
        <v>1.0974000000000001E-2</v>
      </c>
      <c r="L12" s="1158"/>
    </row>
    <row r="13" spans="2:12" ht="16.5" x14ac:dyDescent="0.3">
      <c r="B13" s="777">
        <v>1260023</v>
      </c>
      <c r="C13" s="74" t="s">
        <v>1213</v>
      </c>
      <c r="D13" s="7">
        <v>7.1979999999999987E-3</v>
      </c>
      <c r="E13" s="248">
        <v>0.61</v>
      </c>
      <c r="F13" s="896">
        <f>VLOOKUP(B13,[2]Hoja1!$C$2:$E$279,3,FALSE)</f>
        <v>121308.46</v>
      </c>
      <c r="G13" s="248">
        <f t="shared" si="2"/>
        <v>873.17829507999988</v>
      </c>
      <c r="H13" s="95">
        <v>134302.01999999999</v>
      </c>
      <c r="I13" s="856">
        <f t="shared" si="3"/>
        <v>966.7059399599998</v>
      </c>
      <c r="J13" s="32">
        <f t="shared" si="0"/>
        <v>-9.6748805416329446</v>
      </c>
      <c r="K13" s="776">
        <f t="shared" si="1"/>
        <v>7.1979999999999987E-3</v>
      </c>
      <c r="L13" s="1158"/>
    </row>
    <row r="14" spans="2:12" ht="16.5" x14ac:dyDescent="0.3">
      <c r="B14" s="777">
        <v>1260022</v>
      </c>
      <c r="C14" s="74" t="s">
        <v>974</v>
      </c>
      <c r="D14" s="7">
        <v>7.1979999999999987E-3</v>
      </c>
      <c r="E14" s="248">
        <v>0.61</v>
      </c>
      <c r="F14" s="896">
        <f>VLOOKUP(B14,[2]Hoja1!$C$2:$E$279,3,FALSE)</f>
        <v>22988.01</v>
      </c>
      <c r="G14" s="248">
        <f t="shared" si="2"/>
        <v>165.46769597999995</v>
      </c>
      <c r="H14" s="274">
        <v>27066.49</v>
      </c>
      <c r="I14" s="856">
        <f t="shared" si="3"/>
        <v>194.82459501999998</v>
      </c>
      <c r="J14" s="32">
        <f t="shared" si="0"/>
        <v>-15.068374214757824</v>
      </c>
      <c r="K14" s="776">
        <f t="shared" si="1"/>
        <v>7.1979999999999987E-3</v>
      </c>
      <c r="L14" s="1158"/>
    </row>
    <row r="15" spans="2:12" ht="16.5" x14ac:dyDescent="0.3">
      <c r="B15" s="777">
        <v>1230023</v>
      </c>
      <c r="C15" s="74" t="s">
        <v>1211</v>
      </c>
      <c r="D15" s="7">
        <v>7.1979999999999987E-3</v>
      </c>
      <c r="E15" s="248">
        <v>0.61</v>
      </c>
      <c r="F15" s="896">
        <f>VLOOKUP(B15,[2]Hoja1!$C$2:$E$279,3,FALSE)</f>
        <v>54277.09</v>
      </c>
      <c r="G15" s="248">
        <f t="shared" si="2"/>
        <v>390.6864938199999</v>
      </c>
      <c r="H15" s="95">
        <v>41800</v>
      </c>
      <c r="I15" s="856">
        <f t="shared" si="3"/>
        <v>300.87639999999993</v>
      </c>
      <c r="J15" s="32">
        <f t="shared" si="0"/>
        <v>29.849497607655508</v>
      </c>
      <c r="K15" s="776">
        <f t="shared" si="1"/>
        <v>7.1979999999999987E-3</v>
      </c>
      <c r="L15" s="1158"/>
    </row>
    <row r="16" spans="2:12" ht="16.5" x14ac:dyDescent="0.3">
      <c r="B16" s="777">
        <v>121007</v>
      </c>
      <c r="C16" s="74" t="s">
        <v>821</v>
      </c>
      <c r="D16" s="7">
        <v>5.7819999999999998E-3</v>
      </c>
      <c r="E16" s="1541">
        <v>0.49</v>
      </c>
      <c r="F16" s="896">
        <f>VLOOKUP(B16,[2]Hoja1!$C$2:$E$279,3,FALSE)</f>
        <v>16905</v>
      </c>
      <c r="G16" s="248">
        <f t="shared" si="2"/>
        <v>97.744709999999998</v>
      </c>
      <c r="H16" s="106">
        <v>16100</v>
      </c>
      <c r="I16" s="856">
        <f t="shared" si="3"/>
        <v>93.090199999999996</v>
      </c>
      <c r="J16" s="32">
        <f t="shared" si="0"/>
        <v>5</v>
      </c>
      <c r="K16" s="776">
        <f t="shared" si="1"/>
        <v>5.7819999999999998E-3</v>
      </c>
      <c r="L16" s="1158"/>
    </row>
    <row r="17" spans="2:12" ht="16.5" x14ac:dyDescent="0.3">
      <c r="B17" s="777">
        <v>1270007</v>
      </c>
      <c r="C17" s="74" t="s">
        <v>1214</v>
      </c>
      <c r="D17" s="7">
        <v>4.248E-3</v>
      </c>
      <c r="E17" s="1541">
        <v>0.36</v>
      </c>
      <c r="F17" s="896">
        <f>VLOOKUP(B17,[2]Hoja1!$C$2:$E$279,3,FALSE)</f>
        <v>169641.79</v>
      </c>
      <c r="G17" s="248">
        <f t="shared" si="2"/>
        <v>720.63832392000006</v>
      </c>
      <c r="H17" s="914">
        <v>180923.04</v>
      </c>
      <c r="I17" s="856">
        <f t="shared" si="3"/>
        <v>768.56107392000001</v>
      </c>
      <c r="J17" s="32">
        <f t="shared" si="0"/>
        <v>-6.2353860514393347</v>
      </c>
      <c r="K17" s="776">
        <f t="shared" si="1"/>
        <v>4.248E-3</v>
      </c>
      <c r="L17" s="1158"/>
    </row>
    <row r="18" spans="2:12" ht="16.5" x14ac:dyDescent="0.3">
      <c r="B18" s="777">
        <v>1260014</v>
      </c>
      <c r="C18" s="74" t="s">
        <v>825</v>
      </c>
      <c r="D18" s="7">
        <v>4.3660000000000001E-3</v>
      </c>
      <c r="E18" s="1541">
        <v>0.37</v>
      </c>
      <c r="F18" s="896">
        <f>VLOOKUP(B18,[2]Hoja1!$C$2:$E$279,3,FALSE)</f>
        <v>28083.42</v>
      </c>
      <c r="G18" s="248">
        <f t="shared" si="2"/>
        <v>122.61221171999999</v>
      </c>
      <c r="H18" s="95">
        <v>40834.379999999997</v>
      </c>
      <c r="I18" s="856">
        <f t="shared" si="3"/>
        <v>178.28290307999998</v>
      </c>
      <c r="J18" s="32">
        <f t="shared" si="0"/>
        <v>-31.226040410066219</v>
      </c>
      <c r="K18" s="776">
        <f t="shared" si="1"/>
        <v>4.3660000000000001E-3</v>
      </c>
      <c r="L18" s="1158"/>
    </row>
    <row r="19" spans="2:12" ht="16.5" x14ac:dyDescent="0.3">
      <c r="B19" s="777">
        <v>1240007</v>
      </c>
      <c r="C19" s="74" t="s">
        <v>1352</v>
      </c>
      <c r="D19" s="7">
        <v>5.8999999999999999E-3</v>
      </c>
      <c r="E19" s="1541">
        <v>0.5</v>
      </c>
      <c r="F19" s="896">
        <f>VLOOKUP(B19,[2]Hoja1!$C$2:$E$279,3,FALSE)</f>
        <v>25921.42</v>
      </c>
      <c r="G19" s="248">
        <f t="shared" si="2"/>
        <v>152.93637799999999</v>
      </c>
      <c r="H19" s="914">
        <v>11340</v>
      </c>
      <c r="I19" s="856">
        <f t="shared" si="3"/>
        <v>66.905999999999992</v>
      </c>
      <c r="J19" s="32">
        <f t="shared" si="0"/>
        <v>128.58395061728393</v>
      </c>
      <c r="K19" s="776">
        <f t="shared" si="1"/>
        <v>5.8999999999999999E-3</v>
      </c>
      <c r="L19" s="1158"/>
    </row>
    <row r="20" spans="2:12" ht="16.5" x14ac:dyDescent="0.3">
      <c r="B20" s="777">
        <v>1270008</v>
      </c>
      <c r="C20" s="74" t="s">
        <v>1215</v>
      </c>
      <c r="D20" s="1538">
        <v>2.124E-3</v>
      </c>
      <c r="E20" s="1541">
        <v>0.18</v>
      </c>
      <c r="F20" s="896">
        <f>VLOOKUP(B20,[2]Hoja1!$C$2:$E$279,3,FALSE)</f>
        <v>8935.81</v>
      </c>
      <c r="G20" s="248">
        <f t="shared" si="2"/>
        <v>18.97966044</v>
      </c>
      <c r="H20" s="106">
        <v>9530.2999999999993</v>
      </c>
      <c r="I20" s="856">
        <f t="shared" si="3"/>
        <v>20.242357199999997</v>
      </c>
      <c r="J20" s="32">
        <f t="shared" si="0"/>
        <v>-6.2378938753239623</v>
      </c>
      <c r="K20" s="776">
        <f t="shared" si="1"/>
        <v>2.124E-3</v>
      </c>
      <c r="L20" s="1158"/>
    </row>
    <row r="21" spans="2:12" ht="16.5" x14ac:dyDescent="0.3">
      <c r="B21" s="777">
        <v>1210004</v>
      </c>
      <c r="C21" s="74" t="s">
        <v>1131</v>
      </c>
      <c r="D21" s="1538">
        <v>1.1800000000000001E-3</v>
      </c>
      <c r="E21" s="1541">
        <v>0.1</v>
      </c>
      <c r="F21" s="896">
        <f>VLOOKUP(B21,[2]Hoja1!$C$2:$E$279,3,FALSE)</f>
        <v>3841</v>
      </c>
      <c r="G21" s="248">
        <f t="shared" si="2"/>
        <v>4.5323799999999999</v>
      </c>
      <c r="H21" s="388">
        <v>3508.01</v>
      </c>
      <c r="I21" s="856">
        <f t="shared" si="3"/>
        <v>4.1394518000000007</v>
      </c>
      <c r="J21" s="32">
        <f t="shared" si="0"/>
        <v>9.4922762477871885</v>
      </c>
      <c r="K21" s="776">
        <f t="shared" si="1"/>
        <v>1.1800000000000001E-3</v>
      </c>
      <c r="L21" s="1158"/>
    </row>
    <row r="22" spans="2:12" ht="16.5" x14ac:dyDescent="0.3">
      <c r="B22" s="777">
        <v>1210003</v>
      </c>
      <c r="C22" s="74" t="s">
        <v>1143</v>
      </c>
      <c r="D22" s="1538">
        <v>7.0799999999999986E-4</v>
      </c>
      <c r="E22" s="1541">
        <v>0.06</v>
      </c>
      <c r="F22" s="896">
        <f>VLOOKUP(B22,[2]Hoja1!$C$2:$E$279,3,FALSE)</f>
        <v>16235.45</v>
      </c>
      <c r="G22" s="248">
        <f t="shared" si="2"/>
        <v>11.494698599999998</v>
      </c>
      <c r="H22" s="95">
        <v>12852.58</v>
      </c>
      <c r="I22" s="856">
        <f t="shared" si="3"/>
        <v>9.0996266399999985</v>
      </c>
      <c r="J22" s="32">
        <f t="shared" si="0"/>
        <v>26.320551982559152</v>
      </c>
      <c r="K22" s="776">
        <f t="shared" si="1"/>
        <v>7.0799999999999986E-4</v>
      </c>
      <c r="L22" s="1158"/>
    </row>
    <row r="23" spans="2:12" ht="16.5" x14ac:dyDescent="0.3">
      <c r="B23" s="777">
        <v>1250003</v>
      </c>
      <c r="C23" s="74" t="s">
        <v>914</v>
      </c>
      <c r="D23" s="1538">
        <v>5.9000000000000003E-4</v>
      </c>
      <c r="E23" s="1541">
        <v>0.05</v>
      </c>
      <c r="F23" s="896">
        <f>VLOOKUP(B23,[2]Hoja1!$C$2:$E$279,3,FALSE)</f>
        <v>50952.79</v>
      </c>
      <c r="G23" s="248">
        <f t="shared" si="2"/>
        <v>30.062146100000003</v>
      </c>
      <c r="H23" s="237">
        <v>47385.41</v>
      </c>
      <c r="I23" s="856">
        <f t="shared" si="3"/>
        <v>27.957391900000005</v>
      </c>
      <c r="J23" s="32">
        <f t="shared" si="0"/>
        <v>7.5284354403602123</v>
      </c>
      <c r="K23" s="776">
        <f t="shared" si="1"/>
        <v>5.9000000000000003E-4</v>
      </c>
      <c r="L23" s="1158"/>
    </row>
    <row r="24" spans="2:12" ht="16.5" x14ac:dyDescent="0.3">
      <c r="B24" s="777">
        <v>1250001</v>
      </c>
      <c r="C24" s="74" t="s">
        <v>1160</v>
      </c>
      <c r="D24" s="1539">
        <v>1.18E-4</v>
      </c>
      <c r="E24" s="1525">
        <v>0.01</v>
      </c>
      <c r="F24" s="896">
        <f>VLOOKUP(B24,[2]Hoja1!$C$2:$E$279,3,FALSE)</f>
        <v>5093.8999999999996</v>
      </c>
      <c r="G24" s="248">
        <f t="shared" si="2"/>
        <v>0.60108019999999995</v>
      </c>
      <c r="H24" s="672">
        <v>4885.95</v>
      </c>
      <c r="I24" s="856">
        <f t="shared" si="3"/>
        <v>0.57654209999999995</v>
      </c>
      <c r="J24" s="32"/>
      <c r="K24" s="776">
        <f t="shared" si="1"/>
        <v>1.18E-4</v>
      </c>
      <c r="L24" s="1158"/>
    </row>
    <row r="25" spans="2:12" x14ac:dyDescent="0.25">
      <c r="B25" s="1739" t="s">
        <v>37</v>
      </c>
      <c r="C25" s="1739"/>
      <c r="D25" s="1293">
        <f>SUM(D23,D22,D21,D20,D19,D18,D17,D16,D15,D14,D13,D12,D11,D10,D9,D8,D7,D6,D5)</f>
        <v>1.1815340000000001</v>
      </c>
      <c r="E25" s="1294">
        <f>SUM(E5:E23)</f>
        <v>100.13000000000002</v>
      </c>
      <c r="F25" s="1295"/>
      <c r="G25" s="1296">
        <f>SUM(G5:G24)</f>
        <v>12731.84062038</v>
      </c>
      <c r="H25" s="1297"/>
      <c r="I25" s="1297">
        <f>SUM(I5:I24)</f>
        <v>13113.60223258</v>
      </c>
      <c r="J25" s="1306">
        <f>((G25/I25)*100)-100</f>
        <v>-2.9111879819835877</v>
      </c>
      <c r="K25" s="1307"/>
    </row>
    <row r="26" spans="2:12" x14ac:dyDescent="0.25">
      <c r="B26" s="240"/>
      <c r="C26" s="240"/>
      <c r="D26" s="254"/>
      <c r="E26" s="242"/>
      <c r="F26" s="242"/>
      <c r="G26" s="242"/>
      <c r="H26" s="242"/>
      <c r="I26" s="242"/>
      <c r="J26" s="242"/>
    </row>
    <row r="27" spans="2:12" ht="25.5" x14ac:dyDescent="0.25">
      <c r="B27" s="1740" t="s">
        <v>50</v>
      </c>
      <c r="C27" s="1741"/>
      <c r="D27" s="38">
        <f>+C30+(C30*C36%)</f>
        <v>1180</v>
      </c>
      <c r="E27" s="195"/>
      <c r="F27" s="195"/>
      <c r="G27" s="195"/>
      <c r="H27" s="195"/>
      <c r="I27" s="195"/>
      <c r="J27" s="195"/>
    </row>
    <row r="28" spans="2:12" x14ac:dyDescent="0.25">
      <c r="B28" s="1285" t="s">
        <v>38</v>
      </c>
      <c r="C28" s="163"/>
    </row>
    <row r="29" spans="2:12" x14ac:dyDescent="0.25">
      <c r="B29" s="1285" t="s">
        <v>39</v>
      </c>
      <c r="C29" s="163" t="s">
        <v>1223</v>
      </c>
    </row>
    <row r="30" spans="2:12" x14ac:dyDescent="0.25">
      <c r="B30" s="1285" t="s">
        <v>40</v>
      </c>
      <c r="C30" s="163">
        <v>1000</v>
      </c>
      <c r="G30" s="120" t="s">
        <v>85</v>
      </c>
    </row>
    <row r="31" spans="2:12" x14ac:dyDescent="0.25">
      <c r="B31" s="1285" t="s">
        <v>41</v>
      </c>
      <c r="C31" s="163">
        <v>0</v>
      </c>
    </row>
    <row r="32" spans="2:12" x14ac:dyDescent="0.25">
      <c r="B32" s="1285" t="s">
        <v>42</v>
      </c>
      <c r="C32" s="163">
        <v>0</v>
      </c>
    </row>
    <row r="33" spans="2:12" x14ac:dyDescent="0.25">
      <c r="B33" s="1285" t="s">
        <v>43</v>
      </c>
      <c r="C33" s="163">
        <v>2</v>
      </c>
    </row>
    <row r="34" spans="2:12" x14ac:dyDescent="0.25">
      <c r="B34" s="1285" t="s">
        <v>44</v>
      </c>
      <c r="C34" s="163">
        <v>9</v>
      </c>
    </row>
    <row r="35" spans="2:12" x14ac:dyDescent="0.25">
      <c r="B35" s="1285" t="s">
        <v>45</v>
      </c>
      <c r="C35" s="163">
        <v>7</v>
      </c>
    </row>
    <row r="36" spans="2:12" x14ac:dyDescent="0.25">
      <c r="B36" s="1285" t="s">
        <v>46</v>
      </c>
      <c r="C36" s="163">
        <f>SUM(C31:C35)</f>
        <v>18</v>
      </c>
    </row>
    <row r="38" spans="2:12" ht="25.5" x14ac:dyDescent="0.25">
      <c r="B38" s="1742" t="s">
        <v>47</v>
      </c>
      <c r="C38" s="1742"/>
      <c r="D38" s="1742"/>
      <c r="E38" s="1742"/>
      <c r="F38" s="1742"/>
      <c r="G38" s="779"/>
      <c r="H38" s="857"/>
      <c r="I38" s="857"/>
      <c r="J38" s="857"/>
    </row>
    <row r="39" spans="2:12" ht="25.5" x14ac:dyDescent="0.25">
      <c r="B39" s="1255"/>
      <c r="C39" s="1255" t="s">
        <v>1</v>
      </c>
      <c r="D39" s="1255" t="s">
        <v>2</v>
      </c>
      <c r="E39" s="1243" t="str">
        <f>+'CIF Y PV'!$F$4</f>
        <v xml:space="preserve">JUN-COP/UMB </v>
      </c>
      <c r="F39" s="1243" t="str">
        <f>+'CIF Y PV'!$G$4</f>
        <v>JUN-COP/APP</v>
      </c>
      <c r="G39" s="1243" t="str">
        <f>+'CIF Y PV'!$H$4</f>
        <v xml:space="preserve">MAY-COP/UMB </v>
      </c>
      <c r="H39" s="1243" t="str">
        <f>+'CIF Y PV'!$I$4</f>
        <v>MAY-COP/APP</v>
      </c>
      <c r="I39" s="1526" t="s">
        <v>3</v>
      </c>
      <c r="J39" s="269"/>
    </row>
    <row r="40" spans="2:12" x14ac:dyDescent="0.25">
      <c r="B40" s="777">
        <v>1310018</v>
      </c>
      <c r="C40" s="918" t="s">
        <v>890</v>
      </c>
      <c r="D40" s="861">
        <v>7.4999999999999997E-2</v>
      </c>
      <c r="E40" s="24">
        <f>VLOOKUP(B40,[2]Hoja1!$C$2:$E$279,3,FALSE)</f>
        <v>478.26</v>
      </c>
      <c r="F40" s="24">
        <f>E40*D40</f>
        <v>35.869499999999995</v>
      </c>
      <c r="G40" s="871">
        <v>503.51</v>
      </c>
      <c r="H40" s="24">
        <f>G40*D40</f>
        <v>37.763249999999999</v>
      </c>
      <c r="I40" s="903">
        <f>((E40/G40)*100)-100</f>
        <v>-5.0147961311592582</v>
      </c>
      <c r="J40" s="38"/>
    </row>
    <row r="41" spans="2:12" x14ac:dyDescent="0.25">
      <c r="B41" s="777">
        <v>1320004</v>
      </c>
      <c r="C41" s="919" t="s">
        <v>1141</v>
      </c>
      <c r="D41" s="386">
        <v>7.4999999999999997E-2</v>
      </c>
      <c r="E41" s="24">
        <f>VLOOKUP(B41,[2]Hoja1!$C$2:$E$279,3,FALSE)</f>
        <v>1481.51</v>
      </c>
      <c r="F41" s="24">
        <f>E41*D41</f>
        <v>111.11324999999999</v>
      </c>
      <c r="G41" s="24">
        <v>1575.9</v>
      </c>
      <c r="H41" s="24">
        <f>G41*D41</f>
        <v>118.1925</v>
      </c>
      <c r="I41" s="886">
        <f>((E41/G41)*100)-100</f>
        <v>-5.9895932483025547</v>
      </c>
      <c r="J41" s="38"/>
    </row>
    <row r="42" spans="2:12" ht="15" x14ac:dyDescent="0.25">
      <c r="B42" s="777">
        <v>1330090</v>
      </c>
      <c r="C42" s="1142" t="s">
        <v>1287</v>
      </c>
      <c r="D42" s="386">
        <v>1</v>
      </c>
      <c r="E42" s="24">
        <f>VLOOKUP(B42,[2]Hoja1!$C$2:$E$279,3,FALSE)</f>
        <v>144.44999999999999</v>
      </c>
      <c r="F42" s="24">
        <f>E42*D42</f>
        <v>144.44999999999999</v>
      </c>
      <c r="G42" s="862">
        <v>40.200000000000003</v>
      </c>
      <c r="H42" s="24">
        <f>G42*D42</f>
        <v>40.200000000000003</v>
      </c>
      <c r="I42" s="886">
        <f>((E42/G42)*100)-100</f>
        <v>259.32835820895519</v>
      </c>
      <c r="J42" s="1"/>
    </row>
    <row r="43" spans="2:12" s="170" customFormat="1" ht="15" x14ac:dyDescent="0.25">
      <c r="B43" s="777">
        <v>1370047</v>
      </c>
      <c r="C43" s="1142" t="s">
        <v>1222</v>
      </c>
      <c r="D43" s="386">
        <v>8.0000000000000002E-3</v>
      </c>
      <c r="E43" s="24">
        <f>VLOOKUP(B43,[2]Hoja1!$C$2:$E$279,3,FALSE)</f>
        <v>5327.21</v>
      </c>
      <c r="F43" s="103">
        <f>E43*D43</f>
        <v>42.61768</v>
      </c>
      <c r="G43" s="862">
        <v>6022.39</v>
      </c>
      <c r="H43" s="24">
        <f>G43*D43</f>
        <v>48.179120000000005</v>
      </c>
      <c r="I43" s="886"/>
      <c r="J43" s="1"/>
      <c r="L43" s="120"/>
    </row>
    <row r="44" spans="2:12" s="170" customFormat="1" x14ac:dyDescent="0.25">
      <c r="B44" s="1298"/>
      <c r="C44" s="1312" t="s">
        <v>37</v>
      </c>
      <c r="D44" s="1313"/>
      <c r="E44" s="1300"/>
      <c r="F44" s="1300">
        <f>SUM(F40:F43)</f>
        <v>334.05042999999995</v>
      </c>
      <c r="G44" s="1301"/>
      <c r="H44" s="1301">
        <f>SUM(H40:H43)</f>
        <v>244.33487000000002</v>
      </c>
      <c r="I44" s="1302">
        <f>((F44/H44)*100)-100</f>
        <v>36.718279302499838</v>
      </c>
      <c r="J44" s="859"/>
      <c r="L44" s="120"/>
    </row>
    <row r="46" spans="2:12" x14ac:dyDescent="0.25">
      <c r="F46" s="890"/>
      <c r="G46" s="1" t="str">
        <f>+'CIF Y PV'!$G$1</f>
        <v>MAYO</v>
      </c>
      <c r="H46" s="890"/>
      <c r="I46" s="890"/>
      <c r="J46" s="890"/>
      <c r="K46" s="891"/>
    </row>
    <row r="47" spans="2:12" ht="17.25" x14ac:dyDescent="0.25">
      <c r="B47" s="1735" t="s">
        <v>400</v>
      </c>
      <c r="C47" s="1735"/>
      <c r="E47" s="884"/>
      <c r="F47" s="887"/>
      <c r="G47" s="1232">
        <f>F44+G25</f>
        <v>13065.89105038</v>
      </c>
      <c r="H47" s="888"/>
      <c r="I47" s="887"/>
      <c r="J47" s="888"/>
      <c r="K47" s="891"/>
    </row>
    <row r="48" spans="2:12" ht="17.25" x14ac:dyDescent="0.25">
      <c r="B48" s="1736" t="s">
        <v>48</v>
      </c>
      <c r="C48" s="1737"/>
      <c r="E48" s="884"/>
      <c r="F48" s="887"/>
      <c r="G48" s="1232">
        <f>+('CIF Y PV'!C3/1000)*150</f>
        <v>283.5</v>
      </c>
      <c r="H48" s="888"/>
      <c r="I48" s="887"/>
      <c r="J48" s="888"/>
      <c r="K48" s="891"/>
    </row>
    <row r="49" spans="2:11" ht="17.25" x14ac:dyDescent="0.25">
      <c r="B49" s="1736" t="s">
        <v>1218</v>
      </c>
      <c r="C49" s="1737"/>
      <c r="E49" s="884"/>
      <c r="F49" s="887"/>
      <c r="G49" s="1232">
        <f>+G47+G48</f>
        <v>13349.39105038</v>
      </c>
      <c r="H49" s="888"/>
      <c r="I49" s="887"/>
      <c r="J49" s="888"/>
      <c r="K49" s="891"/>
    </row>
    <row r="50" spans="2:11" ht="17.25" x14ac:dyDescent="0.25">
      <c r="B50" s="1735" t="s">
        <v>49</v>
      </c>
      <c r="C50" s="1735"/>
      <c r="E50" s="884"/>
      <c r="F50" s="887"/>
      <c r="G50" s="1232">
        <f>'CIF Y PV'!C84</f>
        <v>25724.000000000004</v>
      </c>
      <c r="I50" s="887"/>
      <c r="J50" s="889"/>
      <c r="K50" s="891"/>
    </row>
    <row r="51" spans="2:11" ht="15" x14ac:dyDescent="0.2">
      <c r="B51" s="1735" t="s">
        <v>805</v>
      </c>
      <c r="C51" s="1735"/>
      <c r="E51" s="884"/>
      <c r="F51" s="887"/>
      <c r="G51" s="1230">
        <f>+(G50-G49)/G50</f>
        <v>0.48105306132872033</v>
      </c>
      <c r="H51" s="172"/>
      <c r="I51" s="892"/>
      <c r="J51" s="172">
        <f>1-J50</f>
        <v>1</v>
      </c>
    </row>
    <row r="52" spans="2:11" x14ac:dyDescent="0.25">
      <c r="F52" s="890"/>
      <c r="G52" s="890"/>
      <c r="H52" s="890"/>
      <c r="I52" s="890"/>
      <c r="J52" s="890"/>
      <c r="K52" s="891"/>
    </row>
    <row r="53" spans="2:11" x14ac:dyDescent="0.25">
      <c r="F53" s="890"/>
      <c r="G53" s="890"/>
      <c r="H53" s="890"/>
      <c r="I53" s="890"/>
      <c r="J53" s="890"/>
      <c r="K53" s="891"/>
    </row>
    <row r="54" spans="2:11" x14ac:dyDescent="0.25">
      <c r="F54" s="890"/>
      <c r="G54" s="890"/>
      <c r="H54" s="890"/>
      <c r="I54" s="890"/>
      <c r="J54" s="890"/>
      <c r="K54" s="891"/>
    </row>
  </sheetData>
  <autoFilter ref="A4:K25" xr:uid="{A8DC38CF-75A8-4C29-A03E-77C69720878D}"/>
  <mergeCells count="9">
    <mergeCell ref="B49:C49"/>
    <mergeCell ref="B50:C50"/>
    <mergeCell ref="B51:C51"/>
    <mergeCell ref="B2:G2"/>
    <mergeCell ref="B25:C25"/>
    <mergeCell ref="B27:C27"/>
    <mergeCell ref="B38:F38"/>
    <mergeCell ref="B47:C47"/>
    <mergeCell ref="B48:C48"/>
  </mergeCells>
  <pageMargins left="0.7" right="0.7" top="0.75" bottom="0.75" header="0.3" footer="0.3"/>
  <colBreaks count="4" manualBreakCount="4">
    <brk id="10" max="55" man="1"/>
    <brk id="12" max="55" man="1"/>
    <brk id="13" max="55" man="1"/>
    <brk id="15" max="58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6CA2-73E9-48B7-972F-5348FD9C92BB}">
  <sheetPr codeName="Hoja131">
    <tabColor rgb="FF00B0F0"/>
  </sheetPr>
  <dimension ref="B2:M53"/>
  <sheetViews>
    <sheetView view="pageBreakPreview" topLeftCell="A34" zoomScaleNormal="100" zoomScaleSheetLayoutView="100" workbookViewId="0">
      <selection activeCell="F25" sqref="F25"/>
    </sheetView>
  </sheetViews>
  <sheetFormatPr baseColWidth="10" defaultColWidth="11.5703125" defaultRowHeight="13.5" x14ac:dyDescent="0.25"/>
  <cols>
    <col min="1" max="1" width="11.85546875" style="120" customWidth="1"/>
    <col min="2" max="2" width="11.5703125" style="120"/>
    <col min="3" max="3" width="51.5703125" style="120" customWidth="1"/>
    <col min="4" max="4" width="11.5703125" style="119" customWidth="1"/>
    <col min="5" max="5" width="11.5703125" style="120" customWidth="1"/>
    <col min="6" max="7" width="13.28515625" style="120" customWidth="1"/>
    <col min="8" max="8" width="12.5703125" style="120" customWidth="1"/>
    <col min="9" max="9" width="14.42578125" style="120" customWidth="1"/>
    <col min="10" max="10" width="12.28515625" style="120" bestFit="1" customWidth="1"/>
    <col min="11" max="11" width="12.42578125" style="120" customWidth="1"/>
    <col min="12" max="12" width="11.5703125" style="120"/>
    <col min="13" max="13" width="14.42578125" style="120" customWidth="1"/>
    <col min="14" max="16384" width="11.5703125" style="120"/>
  </cols>
  <sheetData>
    <row r="2" spans="2:13" ht="25.5" x14ac:dyDescent="0.25">
      <c r="B2" s="1743" t="s">
        <v>1266</v>
      </c>
      <c r="C2" s="1743"/>
      <c r="D2" s="1743"/>
      <c r="E2" s="1743"/>
      <c r="F2" s="1743"/>
      <c r="G2" s="1743"/>
      <c r="H2" s="1743"/>
      <c r="I2" s="1743"/>
    </row>
    <row r="4" spans="2:13" ht="25.5" x14ac:dyDescent="0.25">
      <c r="B4" s="1242" t="s">
        <v>0</v>
      </c>
      <c r="C4" s="1242" t="s">
        <v>1</v>
      </c>
      <c r="D4" s="1275" t="s">
        <v>2</v>
      </c>
      <c r="E4" s="1242" t="s">
        <v>3</v>
      </c>
      <c r="F4" s="1276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  <c r="K4" s="1277">
        <f>+D28/1000</f>
        <v>7.0499999999999993E-2</v>
      </c>
      <c r="L4" s="120">
        <v>1.488</v>
      </c>
    </row>
    <row r="5" spans="2:13" x14ac:dyDescent="0.25">
      <c r="B5" s="4">
        <f>VLOOKUP(C5,[1]Hoja1!$B$2:$C$260,2,FALSE)</f>
        <v>1131002</v>
      </c>
      <c r="C5" s="6" t="s">
        <v>663</v>
      </c>
      <c r="D5" s="166">
        <v>2.1431999999999996E-2</v>
      </c>
      <c r="E5" s="1141">
        <v>30.4</v>
      </c>
      <c r="F5" s="1634">
        <f>VLOOKUP(B5,[2]Hoja1!$C$2:$E$279,3,FALSE)</f>
        <v>0</v>
      </c>
      <c r="G5" s="1632">
        <v>0</v>
      </c>
      <c r="H5" s="38"/>
      <c r="I5" s="805">
        <f>H5*D5</f>
        <v>0</v>
      </c>
      <c r="J5" s="248"/>
      <c r="K5" s="277">
        <f>$K$4*E5%</f>
        <v>2.1431999999999996E-2</v>
      </c>
      <c r="L5" s="119">
        <f>$L$4*E5%</f>
        <v>0.45235199999999998</v>
      </c>
      <c r="M5" s="1217">
        <f t="shared" ref="M5:M19" si="0">L5*F5</f>
        <v>0</v>
      </c>
    </row>
    <row r="6" spans="2:13" x14ac:dyDescent="0.25">
      <c r="B6" s="4">
        <f>VLOOKUP(C6,[1]Hoja1!$B$2:$C$260,2,FALSE)</f>
        <v>1122006</v>
      </c>
      <c r="C6" s="6" t="s">
        <v>972</v>
      </c>
      <c r="D6" s="143">
        <v>2.1128850000000001E-2</v>
      </c>
      <c r="E6" s="1140">
        <v>29.970000000000002</v>
      </c>
      <c r="F6" s="1634">
        <f>VLOOKUP(B6,[2]Hoja1!$C$2:$E$279,3,FALSE)</f>
        <v>12955.53</v>
      </c>
      <c r="G6" s="1632">
        <f t="shared" ref="G6:G25" si="1">F6*D6</f>
        <v>273.73545004050004</v>
      </c>
      <c r="H6" s="38"/>
      <c r="I6" s="805">
        <f t="shared" ref="I6:I19" si="2">H6*D6</f>
        <v>0</v>
      </c>
      <c r="J6" s="233"/>
      <c r="K6" s="277">
        <f t="shared" ref="K6:K25" si="3">$K$4*E6%</f>
        <v>2.1128850000000001E-2</v>
      </c>
      <c r="L6" s="119">
        <f t="shared" ref="L6:L25" si="4">$L$4*E6%</f>
        <v>0.44595360000000001</v>
      </c>
      <c r="M6" s="1636">
        <f>L6*F6</f>
        <v>5777.5652434080002</v>
      </c>
    </row>
    <row r="7" spans="2:13" x14ac:dyDescent="0.25">
      <c r="B7" s="4">
        <f>VLOOKUP(C7,[1]Hoja1!$B$2:$C$260,2,FALSE)</f>
        <v>1112001</v>
      </c>
      <c r="C7" s="6" t="s">
        <v>797</v>
      </c>
      <c r="D7" s="143">
        <v>7.0570499999999987E-3</v>
      </c>
      <c r="E7" s="1140">
        <v>10.01</v>
      </c>
      <c r="F7" s="1634">
        <f>VLOOKUP(B7,[2]Hoja1!$C$2:$E$279,3,FALSE)</f>
        <v>3663.96</v>
      </c>
      <c r="G7" s="1632">
        <f t="shared" si="1"/>
        <v>25.856748917999997</v>
      </c>
      <c r="H7" s="38"/>
      <c r="I7" s="805">
        <f t="shared" si="2"/>
        <v>0</v>
      </c>
      <c r="J7" s="233"/>
      <c r="K7" s="277">
        <f t="shared" si="3"/>
        <v>7.0570499999999987E-3</v>
      </c>
      <c r="L7" s="119">
        <f t="shared" si="4"/>
        <v>0.14894879999999999</v>
      </c>
      <c r="M7" s="1217">
        <f t="shared" si="0"/>
        <v>545.74244524799997</v>
      </c>
    </row>
    <row r="8" spans="2:13" x14ac:dyDescent="0.25">
      <c r="B8" s="4">
        <f>VLOOKUP(C8,[1]Hoja1!$B$2:$C$260,2,FALSE)</f>
        <v>2906001</v>
      </c>
      <c r="C8" s="6" t="s">
        <v>831</v>
      </c>
      <c r="D8" s="143">
        <v>7.0570499999999987E-3</v>
      </c>
      <c r="E8" s="1140">
        <v>10.01</v>
      </c>
      <c r="F8" s="1634">
        <f>VLOOKUP(B8,[2]Hoja1!$C$2:$E$279,3,FALSE)</f>
        <v>1956.71</v>
      </c>
      <c r="G8" s="1632">
        <f t="shared" si="1"/>
        <v>13.808600305499997</v>
      </c>
      <c r="H8" s="38"/>
      <c r="I8" s="805">
        <f t="shared" si="2"/>
        <v>0</v>
      </c>
      <c r="J8" s="233"/>
      <c r="K8" s="277">
        <f t="shared" si="3"/>
        <v>7.0570499999999987E-3</v>
      </c>
      <c r="L8" s="119">
        <f t="shared" si="4"/>
        <v>0.14894879999999999</v>
      </c>
      <c r="M8" s="1217">
        <f t="shared" si="0"/>
        <v>291.449606448</v>
      </c>
    </row>
    <row r="9" spans="2:13" x14ac:dyDescent="0.25">
      <c r="B9" s="4">
        <f>VLOOKUP(C9,[1]Hoja1!$B$2:$C$260,2,FALSE)</f>
        <v>1121009</v>
      </c>
      <c r="C9" s="6" t="s">
        <v>1272</v>
      </c>
      <c r="D9" s="143">
        <v>4.215899999999999E-3</v>
      </c>
      <c r="E9" s="1140">
        <v>5.9799999999999995</v>
      </c>
      <c r="F9" s="1634">
        <f>VLOOKUP(B9,[2]Hoja1!$C$2:$E$279,3,FALSE)</f>
        <v>8741.6200000000008</v>
      </c>
      <c r="G9" s="1632">
        <f t="shared" si="1"/>
        <v>36.853795757999997</v>
      </c>
      <c r="H9" s="38"/>
      <c r="I9" s="805">
        <f t="shared" si="2"/>
        <v>0</v>
      </c>
      <c r="J9" s="233"/>
      <c r="K9" s="277">
        <f t="shared" si="3"/>
        <v>4.215899999999999E-3</v>
      </c>
      <c r="L9" s="119">
        <f t="shared" si="4"/>
        <v>8.8982399999999989E-2</v>
      </c>
      <c r="M9" s="1217">
        <f t="shared" si="0"/>
        <v>777.85032748799995</v>
      </c>
    </row>
    <row r="10" spans="2:13" x14ac:dyDescent="0.25">
      <c r="B10" s="4">
        <f>VLOOKUP(C10,[1]Hoja1!$B$2:$C$260,2,FALSE)</f>
        <v>1260017</v>
      </c>
      <c r="C10" s="6" t="s">
        <v>832</v>
      </c>
      <c r="D10" s="143">
        <v>1.7554499999999998E-3</v>
      </c>
      <c r="E10" s="1140">
        <v>2.4899999999999998</v>
      </c>
      <c r="F10" s="1634">
        <f>VLOOKUP(B10,[2]Hoja1!$C$2:$E$279,3,FALSE)</f>
        <v>4500</v>
      </c>
      <c r="G10" s="1632">
        <f t="shared" si="1"/>
        <v>7.8995249999999988</v>
      </c>
      <c r="H10" s="38"/>
      <c r="I10" s="805">
        <f t="shared" si="2"/>
        <v>0</v>
      </c>
      <c r="J10" s="233"/>
      <c r="K10" s="277">
        <f t="shared" si="3"/>
        <v>1.7554499999999998E-3</v>
      </c>
      <c r="L10" s="119">
        <f t="shared" si="4"/>
        <v>3.7051199999999999E-2</v>
      </c>
      <c r="M10" s="1217">
        <f t="shared" si="0"/>
        <v>166.7304</v>
      </c>
    </row>
    <row r="11" spans="2:13" x14ac:dyDescent="0.25">
      <c r="B11" s="4">
        <f>VLOOKUP(C11,[1]Hoja1!$B$2:$C$260,2,FALSE)</f>
        <v>1260010</v>
      </c>
      <c r="C11" s="6" t="s">
        <v>1043</v>
      </c>
      <c r="D11" s="143">
        <v>1.7554499999999998E-3</v>
      </c>
      <c r="E11" s="1140">
        <v>2.4899999999999998</v>
      </c>
      <c r="F11" s="1634">
        <f>VLOOKUP(B11,[2]Hoja1!$C$2:$E$279,3,FALSE)</f>
        <v>6959.71</v>
      </c>
      <c r="G11" s="1632">
        <f t="shared" si="1"/>
        <v>12.217422919499999</v>
      </c>
      <c r="H11" s="38"/>
      <c r="I11" s="805">
        <f t="shared" si="2"/>
        <v>0</v>
      </c>
      <c r="J11" s="233"/>
      <c r="K11" s="277">
        <f t="shared" si="3"/>
        <v>1.7554499999999998E-3</v>
      </c>
      <c r="L11" s="119">
        <f t="shared" si="4"/>
        <v>3.7051199999999999E-2</v>
      </c>
      <c r="M11" s="1217">
        <f t="shared" si="0"/>
        <v>257.865607152</v>
      </c>
    </row>
    <row r="12" spans="2:13" x14ac:dyDescent="0.25">
      <c r="B12" s="4">
        <f>VLOOKUP(C12,[1]Hoja1!$B$2:$C$260,2,FALSE)</f>
        <v>1260005</v>
      </c>
      <c r="C12" s="6" t="s">
        <v>811</v>
      </c>
      <c r="D12" s="143">
        <v>7.1204999999999988E-4</v>
      </c>
      <c r="E12" s="1140">
        <v>1.01</v>
      </c>
      <c r="F12" s="1634">
        <f>VLOOKUP(B12,[2]Hoja1!$C$2:$E$279,3,FALSE)</f>
        <v>26429</v>
      </c>
      <c r="G12" s="1632">
        <f t="shared" si="1"/>
        <v>18.818769449999998</v>
      </c>
      <c r="H12" s="38"/>
      <c r="I12" s="805">
        <f t="shared" si="2"/>
        <v>0</v>
      </c>
      <c r="J12" s="233"/>
      <c r="K12" s="277">
        <f t="shared" si="3"/>
        <v>7.1204999999999988E-4</v>
      </c>
      <c r="L12" s="119">
        <f t="shared" si="4"/>
        <v>1.50288E-2</v>
      </c>
      <c r="M12" s="1217">
        <f t="shared" si="0"/>
        <v>397.19615520000002</v>
      </c>
    </row>
    <row r="13" spans="2:13" x14ac:dyDescent="0.25">
      <c r="B13" s="4">
        <f>VLOOKUP(C13,[1]Hoja1!$B$2:$C$260,2,FALSE)</f>
        <v>1210005</v>
      </c>
      <c r="C13" s="6" t="s">
        <v>1155</v>
      </c>
      <c r="D13" s="143">
        <v>3.8069999999999998E-4</v>
      </c>
      <c r="E13" s="1140">
        <v>0.54</v>
      </c>
      <c r="F13" s="1634">
        <f>VLOOKUP(B13,[2]Hoja1!$C$2:$E$279,3,FALSE)</f>
        <v>1356</v>
      </c>
      <c r="G13" s="1632">
        <f t="shared" si="1"/>
        <v>0.51622919999999994</v>
      </c>
      <c r="H13" s="38"/>
      <c r="I13" s="805"/>
      <c r="J13" s="233"/>
      <c r="K13" s="277">
        <f t="shared" si="3"/>
        <v>3.8069999999999998E-4</v>
      </c>
      <c r="L13" s="119">
        <f t="shared" si="4"/>
        <v>8.035200000000001E-3</v>
      </c>
      <c r="M13" s="1217"/>
    </row>
    <row r="14" spans="2:13" x14ac:dyDescent="0.25">
      <c r="B14" s="4">
        <v>1210010</v>
      </c>
      <c r="C14" s="6" t="s">
        <v>1351</v>
      </c>
      <c r="D14" s="143">
        <v>2.5379999999999999E-4</v>
      </c>
      <c r="E14" s="1140">
        <v>0.36</v>
      </c>
      <c r="F14" s="1634">
        <f>VLOOKUP(B14,[2]Hoja1!$C$2:$E$279,3,FALSE)</f>
        <v>11600</v>
      </c>
      <c r="G14" s="1632">
        <f t="shared" si="1"/>
        <v>2.94408</v>
      </c>
      <c r="H14" s="38"/>
      <c r="I14" s="805">
        <f t="shared" si="2"/>
        <v>0</v>
      </c>
      <c r="J14" s="233"/>
      <c r="K14" s="277">
        <f t="shared" si="3"/>
        <v>2.5379999999999999E-4</v>
      </c>
      <c r="L14" s="119">
        <f t="shared" si="4"/>
        <v>5.3568000000000001E-3</v>
      </c>
      <c r="M14" s="1217">
        <f t="shared" si="0"/>
        <v>62.13888</v>
      </c>
    </row>
    <row r="15" spans="2:13" x14ac:dyDescent="0.25">
      <c r="B15" s="4">
        <f>VLOOKUP(C15,[1]Hoja1!$B$2:$C$260,2,FALSE)</f>
        <v>1260014</v>
      </c>
      <c r="C15" s="6" t="s">
        <v>825</v>
      </c>
      <c r="D15" s="143">
        <v>7.1204999999999988E-4</v>
      </c>
      <c r="E15" s="1140">
        <v>1.01</v>
      </c>
      <c r="F15" s="1634">
        <f>VLOOKUP(B15,[2]Hoja1!$C$2:$E$279,3,FALSE)</f>
        <v>28083.42</v>
      </c>
      <c r="G15" s="1632">
        <f t="shared" si="1"/>
        <v>19.996799210999995</v>
      </c>
      <c r="H15" s="38"/>
      <c r="I15" s="805"/>
      <c r="J15" s="233"/>
      <c r="K15" s="277">
        <f t="shared" si="3"/>
        <v>7.1204999999999988E-4</v>
      </c>
      <c r="L15" s="119">
        <f t="shared" si="4"/>
        <v>1.50288E-2</v>
      </c>
      <c r="M15" s="1217">
        <f t="shared" si="0"/>
        <v>422.06010249599996</v>
      </c>
    </row>
    <row r="16" spans="2:13" x14ac:dyDescent="0.25">
      <c r="B16" s="4">
        <f>VLOOKUP(C16,[1]Hoja1!$B$2:$C$260,2,FALSE)</f>
        <v>1260022</v>
      </c>
      <c r="C16" s="6" t="s">
        <v>974</v>
      </c>
      <c r="D16" s="143">
        <v>7.1204999999999988E-4</v>
      </c>
      <c r="E16" s="1140">
        <v>1.01</v>
      </c>
      <c r="F16" s="1634">
        <f>VLOOKUP(B16,[2]Hoja1!$C$2:$E$279,3,FALSE)</f>
        <v>22988.01</v>
      </c>
      <c r="G16" s="1632">
        <f t="shared" si="1"/>
        <v>16.368612520499997</v>
      </c>
      <c r="H16" s="38"/>
      <c r="I16" s="805">
        <f t="shared" si="2"/>
        <v>0</v>
      </c>
      <c r="J16" s="233"/>
      <c r="K16" s="277">
        <f t="shared" si="3"/>
        <v>7.1204999999999988E-4</v>
      </c>
      <c r="L16" s="119">
        <f t="shared" si="4"/>
        <v>1.50288E-2</v>
      </c>
      <c r="M16" s="1217">
        <f t="shared" si="0"/>
        <v>345.48220468799997</v>
      </c>
    </row>
    <row r="17" spans="2:13" x14ac:dyDescent="0.25">
      <c r="B17" s="4">
        <f>VLOOKUP(C17,[1]Hoja1!$B$2:$C$260,2,FALSE)</f>
        <v>1220010</v>
      </c>
      <c r="C17" s="6" t="s">
        <v>1144</v>
      </c>
      <c r="D17" s="143">
        <v>5.9219999999999987E-4</v>
      </c>
      <c r="E17" s="1140">
        <v>0.84</v>
      </c>
      <c r="F17" s="1634">
        <f>VLOOKUP(B17,[2]Hoja1!$C$2:$E$279,3,FALSE)</f>
        <v>4744.72</v>
      </c>
      <c r="G17" s="1632">
        <f t="shared" si="1"/>
        <v>2.8098231839999994</v>
      </c>
      <c r="H17" s="38"/>
      <c r="I17" s="805">
        <f t="shared" si="2"/>
        <v>0</v>
      </c>
      <c r="J17" s="233"/>
      <c r="K17" s="277">
        <f t="shared" si="3"/>
        <v>5.9219999999999987E-4</v>
      </c>
      <c r="L17" s="119">
        <f t="shared" si="4"/>
        <v>1.2499199999999999E-2</v>
      </c>
      <c r="M17" s="1217">
        <f t="shared" si="0"/>
        <v>59.305204223999993</v>
      </c>
    </row>
    <row r="18" spans="2:13" x14ac:dyDescent="0.25">
      <c r="B18" s="4">
        <f>VLOOKUP(C18,[1]Hoja1!$B$2:$C$260,2,FALSE)</f>
        <v>1230009</v>
      </c>
      <c r="C18" s="6" t="s">
        <v>1268</v>
      </c>
      <c r="D18" s="143">
        <v>1.4240999999999998E-3</v>
      </c>
      <c r="E18" s="1140">
        <v>2.02</v>
      </c>
      <c r="F18" s="1634">
        <f>VLOOKUP(B18,[2]Hoja1!$C$2:$E$279,3,FALSE)</f>
        <v>36960</v>
      </c>
      <c r="G18" s="1632">
        <f t="shared" si="1"/>
        <v>52.63473599999999</v>
      </c>
      <c r="H18" s="38"/>
      <c r="I18" s="805">
        <f t="shared" si="2"/>
        <v>0</v>
      </c>
      <c r="J18" s="233"/>
      <c r="K18" s="277">
        <f t="shared" si="3"/>
        <v>1.4240999999999998E-3</v>
      </c>
      <c r="L18" s="119">
        <f t="shared" si="4"/>
        <v>3.00576E-2</v>
      </c>
      <c r="M18" s="1217">
        <f t="shared" si="0"/>
        <v>1110.9288960000001</v>
      </c>
    </row>
    <row r="19" spans="2:13" x14ac:dyDescent="0.25">
      <c r="B19" s="4">
        <f>VLOOKUP(C19,[1]Hoja1!$B$2:$C$260,2,FALSE)</f>
        <v>1210004</v>
      </c>
      <c r="C19" s="154" t="s">
        <v>1131</v>
      </c>
      <c r="D19" s="143">
        <v>6.4154999999999998E-5</v>
      </c>
      <c r="E19" s="154">
        <v>9.0999999999999998E-2</v>
      </c>
      <c r="F19" s="1634">
        <f>VLOOKUP(B19,[2]Hoja1!$C$2:$E$279,3,FALSE)</f>
        <v>3841</v>
      </c>
      <c r="G19" s="1632">
        <f t="shared" si="1"/>
        <v>0.24641935500000001</v>
      </c>
      <c r="H19" s="38"/>
      <c r="I19" s="805">
        <f t="shared" si="2"/>
        <v>0</v>
      </c>
      <c r="J19" s="231"/>
      <c r="K19" s="277">
        <f t="shared" si="3"/>
        <v>6.4154999999999998E-5</v>
      </c>
      <c r="L19" s="119">
        <f t="shared" si="4"/>
        <v>1.3540799999999999E-3</v>
      </c>
      <c r="M19" s="1217">
        <f t="shared" si="0"/>
        <v>5.20102128</v>
      </c>
    </row>
    <row r="20" spans="2:13" ht="15.75" customHeight="1" x14ac:dyDescent="0.25">
      <c r="B20" s="4">
        <f>VLOOKUP(C20,[1]Hoja1!$B$2:$C$260,2,FALSE)</f>
        <v>1250009</v>
      </c>
      <c r="C20" s="154" t="s">
        <v>1279</v>
      </c>
      <c r="D20" s="1161">
        <v>2.8199999999999998E-5</v>
      </c>
      <c r="E20" s="154">
        <v>0.04</v>
      </c>
      <c r="F20" s="1634">
        <f>VLOOKUP(B20,[2]Hoja1!$C$2:$E$279,3,FALSE)</f>
        <v>83551.55</v>
      </c>
      <c r="G20" s="1632">
        <f t="shared" si="1"/>
        <v>2.3561537100000001</v>
      </c>
      <c r="H20" s="38"/>
      <c r="I20" s="805"/>
      <c r="J20" s="231"/>
      <c r="K20" s="277">
        <f t="shared" si="3"/>
        <v>2.8199999999999998E-5</v>
      </c>
      <c r="L20" s="119">
        <f t="shared" si="4"/>
        <v>5.9520000000000005E-4</v>
      </c>
      <c r="M20" s="1217">
        <f t="shared" ref="M20:M25" si="5">L20*F20</f>
        <v>49.729882560000007</v>
      </c>
    </row>
    <row r="21" spans="2:13" x14ac:dyDescent="0.25">
      <c r="B21" s="4">
        <f>VLOOKUP(C21,[1]Hoja1!$B$2:$C$260,2,FALSE)</f>
        <v>1250003</v>
      </c>
      <c r="C21" s="154" t="s">
        <v>914</v>
      </c>
      <c r="D21" s="1161">
        <v>4.2299999999999991E-5</v>
      </c>
      <c r="E21" s="154">
        <v>0.06</v>
      </c>
      <c r="F21" s="1634">
        <f>VLOOKUP(B21,[2]Hoja1!$C$2:$E$279,3,FALSE)</f>
        <v>50952.79</v>
      </c>
      <c r="G21" s="1632">
        <f t="shared" si="1"/>
        <v>2.1553030169999996</v>
      </c>
      <c r="H21" s="38"/>
      <c r="I21" s="805"/>
      <c r="J21" s="231"/>
      <c r="K21" s="277">
        <f t="shared" si="3"/>
        <v>4.2299999999999991E-5</v>
      </c>
      <c r="L21" s="119">
        <f t="shared" si="4"/>
        <v>8.9279999999999991E-4</v>
      </c>
      <c r="M21" s="1217">
        <f t="shared" si="5"/>
        <v>45.490650912</v>
      </c>
    </row>
    <row r="22" spans="2:13" x14ac:dyDescent="0.25">
      <c r="B22" s="4">
        <f>VLOOKUP(C22,[1]Hoja1!$B$2:$C$260,2,FALSE)</f>
        <v>1270009</v>
      </c>
      <c r="C22" s="154" t="s">
        <v>1225</v>
      </c>
      <c r="D22" s="1161">
        <v>4.2299999999999991E-5</v>
      </c>
      <c r="E22" s="154">
        <v>0.06</v>
      </c>
      <c r="F22" s="1634">
        <f>VLOOKUP(B22,[2]Hoja1!$C$2:$E$279,3,FALSE)</f>
        <v>57046.53</v>
      </c>
      <c r="G22" s="1632">
        <f t="shared" si="1"/>
        <v>2.4130682189999995</v>
      </c>
      <c r="H22" s="38"/>
      <c r="I22" s="805"/>
      <c r="J22" s="231"/>
      <c r="K22" s="277">
        <f t="shared" si="3"/>
        <v>4.2299999999999991E-5</v>
      </c>
      <c r="L22" s="119">
        <f t="shared" si="4"/>
        <v>8.9279999999999991E-4</v>
      </c>
      <c r="M22" s="1217">
        <f t="shared" si="5"/>
        <v>50.931141983999993</v>
      </c>
    </row>
    <row r="23" spans="2:13" x14ac:dyDescent="0.25">
      <c r="B23" s="4">
        <v>1240007</v>
      </c>
      <c r="C23" s="154" t="s">
        <v>1352</v>
      </c>
      <c r="D23" s="1161">
        <v>1.4099999999999998E-4</v>
      </c>
      <c r="E23" s="154">
        <v>0.5</v>
      </c>
      <c r="F23" s="1634">
        <f>VLOOKUP(B23,[2]Hoja1!$C$2:$E$279,3,FALSE)</f>
        <v>25921.42</v>
      </c>
      <c r="G23" s="1632">
        <f t="shared" si="1"/>
        <v>3.6549202199999993</v>
      </c>
      <c r="H23" s="38"/>
      <c r="I23" s="805"/>
      <c r="J23" s="231"/>
      <c r="K23" s="277">
        <f t="shared" si="3"/>
        <v>3.5249999999999995E-4</v>
      </c>
      <c r="L23" s="119">
        <f t="shared" si="4"/>
        <v>7.4400000000000004E-3</v>
      </c>
      <c r="M23" s="1217">
        <f t="shared" si="5"/>
        <v>192.85536479999999</v>
      </c>
    </row>
    <row r="24" spans="2:13" x14ac:dyDescent="0.25">
      <c r="B24" s="4">
        <f>VLOOKUP(C24,[1]Hoja1!$B$2:$C$260,2,FALSE)</f>
        <v>1210003</v>
      </c>
      <c r="C24" s="154" t="s">
        <v>1143</v>
      </c>
      <c r="D24" s="1161">
        <v>2.1149999999999996E-5</v>
      </c>
      <c r="E24" s="154">
        <v>0.03</v>
      </c>
      <c r="F24" s="1634">
        <f>VLOOKUP(B24,[2]Hoja1!$C$2:$E$279,3,FALSE)</f>
        <v>16235.45</v>
      </c>
      <c r="G24" s="1632">
        <f t="shared" si="1"/>
        <v>0.34337976749999993</v>
      </c>
      <c r="H24" s="38"/>
      <c r="I24" s="805"/>
      <c r="J24" s="231"/>
      <c r="K24" s="277">
        <f t="shared" si="3"/>
        <v>2.1149999999999996E-5</v>
      </c>
      <c r="L24" s="119">
        <f t="shared" si="4"/>
        <v>4.4639999999999995E-4</v>
      </c>
      <c r="M24" s="1217">
        <f t="shared" si="5"/>
        <v>7.2475048799999993</v>
      </c>
    </row>
    <row r="25" spans="2:13" x14ac:dyDescent="0.25">
      <c r="B25" s="4">
        <f>VLOOKUP(C25,[1]Hoja1!$B$2:$C$260,2,FALSE)</f>
        <v>1220014</v>
      </c>
      <c r="C25" s="154" t="s">
        <v>1146</v>
      </c>
      <c r="D25" s="1161">
        <v>7.1204999999999988E-4</v>
      </c>
      <c r="E25" s="154">
        <v>1.01</v>
      </c>
      <c r="F25" s="1634">
        <f>VLOOKUP(B25,[2]Hoja1!$C$2:$E$279,3,FALSE)</f>
        <v>14060</v>
      </c>
      <c r="G25" s="1632">
        <f t="shared" si="1"/>
        <v>10.011422999999999</v>
      </c>
      <c r="H25" s="38"/>
      <c r="I25" s="805"/>
      <c r="J25" s="231"/>
      <c r="K25" s="277">
        <f t="shared" si="3"/>
        <v>7.1204999999999988E-4</v>
      </c>
      <c r="L25" s="119">
        <f t="shared" si="4"/>
        <v>1.50288E-2</v>
      </c>
      <c r="M25" s="1217">
        <f t="shared" si="5"/>
        <v>211.30492799999999</v>
      </c>
    </row>
    <row r="26" spans="2:13" s="146" customFormat="1" x14ac:dyDescent="0.25">
      <c r="B26" s="1764" t="s">
        <v>37</v>
      </c>
      <c r="C26" s="1764"/>
      <c r="D26" s="1278">
        <f>SUM(D5:D25)</f>
        <v>7.0239855000000004E-2</v>
      </c>
      <c r="E26" s="1280">
        <f>SUM(E5:E25)</f>
        <v>99.93100000000004</v>
      </c>
      <c r="F26" s="1279"/>
      <c r="G26" s="1633">
        <f>SUM(G6:G25)</f>
        <v>505.64125979549993</v>
      </c>
      <c r="H26" s="1280"/>
      <c r="I26" s="1280">
        <f>SUM(I5:I18)</f>
        <v>0</v>
      </c>
      <c r="J26" s="1282" t="e">
        <f>((G26/I26)*100)-100</f>
        <v>#DIV/0!</v>
      </c>
      <c r="K26" s="1283"/>
      <c r="M26" s="1641">
        <f>SUM(M5:M25)</f>
        <v>10777.075566767997</v>
      </c>
    </row>
    <row r="27" spans="2:13" x14ac:dyDescent="0.25">
      <c r="G27" s="1635"/>
      <c r="J27" s="775"/>
    </row>
    <row r="28" spans="2:13" ht="25.5" x14ac:dyDescent="0.25">
      <c r="B28" s="1765" t="s">
        <v>50</v>
      </c>
      <c r="C28" s="1766"/>
      <c r="D28" s="38">
        <f>+C31+(C31*C37%)</f>
        <v>70.5</v>
      </c>
      <c r="E28" s="159"/>
      <c r="F28" s="854"/>
      <c r="G28" s="159"/>
      <c r="H28" s="159"/>
      <c r="I28" s="159"/>
      <c r="J28" s="159"/>
    </row>
    <row r="29" spans="2:13" x14ac:dyDescent="0.25">
      <c r="B29" s="1284" t="s">
        <v>38</v>
      </c>
      <c r="C29" s="161" t="s">
        <v>430</v>
      </c>
      <c r="H29" s="146"/>
    </row>
    <row r="30" spans="2:13" x14ac:dyDescent="0.25">
      <c r="B30" s="1285" t="s">
        <v>39</v>
      </c>
      <c r="C30" s="163" t="s">
        <v>431</v>
      </c>
      <c r="H30" s="146"/>
    </row>
    <row r="31" spans="2:13" x14ac:dyDescent="0.25">
      <c r="B31" s="1285" t="s">
        <v>40</v>
      </c>
      <c r="C31" s="163">
        <v>50</v>
      </c>
      <c r="H31" s="146"/>
    </row>
    <row r="32" spans="2:13" x14ac:dyDescent="0.25">
      <c r="B32" s="1285" t="s">
        <v>41</v>
      </c>
      <c r="C32" s="163">
        <v>0</v>
      </c>
      <c r="H32" s="146"/>
    </row>
    <row r="33" spans="2:11" x14ac:dyDescent="0.25">
      <c r="B33" s="1285" t="s">
        <v>42</v>
      </c>
      <c r="C33" s="163">
        <v>9</v>
      </c>
      <c r="H33" s="146"/>
    </row>
    <row r="34" spans="2:11" x14ac:dyDescent="0.25">
      <c r="B34" s="1285" t="s">
        <v>43</v>
      </c>
      <c r="C34" s="163">
        <v>2</v>
      </c>
      <c r="H34" s="146"/>
    </row>
    <row r="35" spans="2:11" x14ac:dyDescent="0.25">
      <c r="B35" s="1285" t="s">
        <v>44</v>
      </c>
      <c r="C35" s="163">
        <v>10</v>
      </c>
      <c r="H35" s="146"/>
    </row>
    <row r="36" spans="2:11" x14ac:dyDescent="0.25">
      <c r="B36" s="1285" t="s">
        <v>45</v>
      </c>
      <c r="C36" s="163">
        <v>20</v>
      </c>
      <c r="H36" s="146"/>
    </row>
    <row r="37" spans="2:11" x14ac:dyDescent="0.25">
      <c r="B37" s="1285" t="s">
        <v>46</v>
      </c>
      <c r="C37" s="163">
        <f>C36+C35+C34+C33</f>
        <v>41</v>
      </c>
      <c r="H37" s="146"/>
    </row>
    <row r="38" spans="2:11" x14ac:dyDescent="0.25">
      <c r="H38" s="159"/>
      <c r="I38" s="159"/>
    </row>
    <row r="39" spans="2:11" ht="25.5" x14ac:dyDescent="0.25">
      <c r="B39" s="1767" t="s">
        <v>47</v>
      </c>
      <c r="C39" s="1768"/>
      <c r="D39" s="1768"/>
      <c r="E39" s="1768"/>
      <c r="F39" s="1768"/>
      <c r="G39" s="1768"/>
      <c r="H39" s="1768"/>
      <c r="I39" s="1768"/>
    </row>
    <row r="40" spans="2:11" ht="25.5" x14ac:dyDescent="0.25">
      <c r="B40" s="1266" t="s">
        <v>0</v>
      </c>
      <c r="C40" s="1266" t="s">
        <v>1</v>
      </c>
      <c r="D40" s="1286" t="s">
        <v>2</v>
      </c>
      <c r="E40" s="1243" t="str">
        <f>+'CIF Y PV'!$F$4</f>
        <v xml:space="preserve">JUN-COP/UMB </v>
      </c>
      <c r="F40" s="1243" t="str">
        <f>+'CIF Y PV'!$G$4</f>
        <v>JUN-COP/APP</v>
      </c>
      <c r="G40" s="1243" t="str">
        <f>+'CIF Y PV'!$H$4</f>
        <v xml:space="preserve">MAY-COP/UMB </v>
      </c>
      <c r="H40" s="1243" t="str">
        <f>+'CIF Y PV'!$I$4</f>
        <v>MAY-COP/APP</v>
      </c>
      <c r="I40" s="1244" t="s">
        <v>3</v>
      </c>
      <c r="J40" s="146">
        <v>4194</v>
      </c>
      <c r="K40" s="178"/>
    </row>
    <row r="41" spans="2:11" x14ac:dyDescent="0.25">
      <c r="B41" s="165">
        <v>1370048</v>
      </c>
      <c r="C41" s="246" t="s">
        <v>1294</v>
      </c>
      <c r="D41" s="166">
        <v>3.5000000000000003E-2</v>
      </c>
      <c r="E41" s="883">
        <f>VLOOKUP(B41,[2]Hoja1!$C$2:$E$279,3,FALSE)</f>
        <v>1806.94</v>
      </c>
      <c r="F41" s="167">
        <f>D41*E41</f>
        <v>63.242900000000006</v>
      </c>
      <c r="G41" s="883">
        <v>1573.56</v>
      </c>
      <c r="H41" s="167">
        <f t="shared" ref="H41:H45" si="6">G41*D41</f>
        <v>55.074600000000004</v>
      </c>
      <c r="I41" s="270">
        <f>((E41/G41)*100)-100</f>
        <v>14.831337858105201</v>
      </c>
      <c r="J41" s="146">
        <f>J40*D41</f>
        <v>146.79000000000002</v>
      </c>
      <c r="K41" s="178"/>
    </row>
    <row r="42" spans="2:11" x14ac:dyDescent="0.25">
      <c r="B42" s="165">
        <f>VLOOKUP(C42,[1]Hoja1!$B$2:$C$260,2,FALSE)</f>
        <v>1380003</v>
      </c>
      <c r="C42" s="165" t="s">
        <v>1137</v>
      </c>
      <c r="D42" s="166">
        <v>1</v>
      </c>
      <c r="E42" s="883">
        <f>VLOOKUP(B42,[2]Hoja1!$C$2:$E$279,3,FALSE)</f>
        <v>56.19</v>
      </c>
      <c r="F42" s="167">
        <f>D42*E42</f>
        <v>56.19</v>
      </c>
      <c r="G42" s="24">
        <v>57.87</v>
      </c>
      <c r="H42" s="167">
        <f t="shared" si="6"/>
        <v>57.87</v>
      </c>
      <c r="I42" s="270">
        <f>((E42/G42)*100)-100</f>
        <v>-2.9030585795749175</v>
      </c>
      <c r="J42" s="146">
        <f>J41*D42</f>
        <v>146.79000000000002</v>
      </c>
      <c r="K42" s="178"/>
    </row>
    <row r="43" spans="2:11" x14ac:dyDescent="0.25">
      <c r="B43" s="165">
        <v>1310063</v>
      </c>
      <c r="C43" s="246" t="s">
        <v>1293</v>
      </c>
      <c r="D43" s="921">
        <v>1.8700000000000001E-2</v>
      </c>
      <c r="E43" s="883">
        <f>VLOOKUP(B43,[2]Hoja1!$C$2:$E$279,3,FALSE)</f>
        <v>1014</v>
      </c>
      <c r="F43" s="167">
        <f>D43*E43</f>
        <v>18.9618</v>
      </c>
      <c r="G43" s="24">
        <v>503.51</v>
      </c>
      <c r="H43" s="167">
        <f t="shared" si="6"/>
        <v>9.4156370000000003</v>
      </c>
      <c r="I43" s="270">
        <f>((E43/G43)*100)-100</f>
        <v>101.38626839586107</v>
      </c>
      <c r="J43" s="146">
        <f>J42*D43</f>
        <v>2.7449730000000008</v>
      </c>
      <c r="K43" s="178"/>
    </row>
    <row r="44" spans="2:11" x14ac:dyDescent="0.25">
      <c r="B44" s="165">
        <f>VLOOKUP(C44,[1]Hoja1!$B$2:$C$260,2,FALSE)</f>
        <v>1320004</v>
      </c>
      <c r="C44" s="918" t="s">
        <v>1141</v>
      </c>
      <c r="D44" s="921">
        <v>1.8700000000000001E-2</v>
      </c>
      <c r="E44" s="883">
        <f>VLOOKUP(B44,[2]Hoja1!$C$2:$E$279,3,FALSE)</f>
        <v>1481.51</v>
      </c>
      <c r="F44" s="167">
        <f>D44*E44</f>
        <v>27.704237000000003</v>
      </c>
      <c r="G44" s="24">
        <v>1575.9</v>
      </c>
      <c r="H44" s="167">
        <f t="shared" si="6"/>
        <v>29.469330000000003</v>
      </c>
      <c r="I44" s="270">
        <f>((E44/G44)*100)-100</f>
        <v>-5.9895932483025547</v>
      </c>
      <c r="J44" s="146">
        <f>J43*D44</f>
        <v>5.1330995100000019E-2</v>
      </c>
      <c r="K44" s="178"/>
    </row>
    <row r="45" spans="2:11" x14ac:dyDescent="0.25">
      <c r="B45" s="165">
        <f>VLOOKUP(C45,[1]Hoja1!$B$2:$C$260,2,FALSE)</f>
        <v>1380005</v>
      </c>
      <c r="C45" s="165" t="s">
        <v>1029</v>
      </c>
      <c r="D45" s="166">
        <v>0.13</v>
      </c>
      <c r="E45" s="883">
        <f>VLOOKUP(B45,[2]Hoja1!$C$2:$E$279,3,FALSE)</f>
        <v>29.02</v>
      </c>
      <c r="F45" s="167">
        <f>D45*E45</f>
        <v>3.7726000000000002</v>
      </c>
      <c r="G45" s="24">
        <v>31.68</v>
      </c>
      <c r="H45" s="167">
        <f t="shared" si="6"/>
        <v>4.1184000000000003</v>
      </c>
      <c r="I45" s="270">
        <f>((E45/G45)*100)-100</f>
        <v>-8.3964646464646506</v>
      </c>
      <c r="J45" s="146">
        <f>J42*D45</f>
        <v>19.082700000000003</v>
      </c>
    </row>
    <row r="46" spans="2:11" x14ac:dyDescent="0.25">
      <c r="B46" s="1266"/>
      <c r="C46" s="1266" t="s">
        <v>37</v>
      </c>
      <c r="D46" s="1286"/>
      <c r="E46" s="1267"/>
      <c r="F46" s="1267">
        <f>SUM(F41:F45)</f>
        <v>169.87153700000002</v>
      </c>
      <c r="G46" s="1267"/>
      <c r="H46" s="1267">
        <f>SUM(H41:H45)</f>
        <v>155.94796700000003</v>
      </c>
      <c r="I46" s="1287">
        <f>((F46/H46)*100)-100</f>
        <v>8.9283433877659775</v>
      </c>
    </row>
    <row r="47" spans="2:11" x14ac:dyDescent="0.25">
      <c r="H47" s="1" t="str">
        <f>+'CIF Y PV'!$G$1</f>
        <v>MAYO</v>
      </c>
      <c r="J47" s="146"/>
    </row>
    <row r="48" spans="2:11" x14ac:dyDescent="0.25">
      <c r="B48" s="1735" t="s">
        <v>439</v>
      </c>
      <c r="C48" s="1735"/>
      <c r="E48" s="884"/>
      <c r="F48" s="884"/>
      <c r="G48" s="884"/>
      <c r="H48" s="884">
        <f>+F46+G26</f>
        <v>675.51279679549998</v>
      </c>
      <c r="I48" s="337"/>
      <c r="J48" s="884"/>
      <c r="K48" s="337"/>
    </row>
    <row r="49" spans="2:11" x14ac:dyDescent="0.25">
      <c r="B49" s="1736" t="s">
        <v>48</v>
      </c>
      <c r="C49" s="1737"/>
      <c r="E49" s="884"/>
      <c r="F49" s="884"/>
      <c r="G49" s="884"/>
      <c r="H49" s="884">
        <f>+('CIF Y PV'!C3/1000)*50</f>
        <v>94.5</v>
      </c>
      <c r="I49" s="170"/>
      <c r="J49" s="884"/>
      <c r="K49" s="170"/>
    </row>
    <row r="50" spans="2:11" x14ac:dyDescent="0.25">
      <c r="B50" s="1736" t="s">
        <v>440</v>
      </c>
      <c r="C50" s="1737"/>
      <c r="D50" s="119">
        <v>48.53</v>
      </c>
      <c r="E50" s="884"/>
      <c r="F50" s="884"/>
      <c r="G50" s="884"/>
      <c r="H50" s="884">
        <f>+H48+H49</f>
        <v>770.01279679549998</v>
      </c>
      <c r="I50" s="338"/>
      <c r="J50" s="884"/>
      <c r="K50" s="338"/>
    </row>
    <row r="51" spans="2:11" ht="14.45" customHeight="1" x14ac:dyDescent="0.25">
      <c r="D51" s="119">
        <v>47.41</v>
      </c>
      <c r="H51" s="146"/>
      <c r="I51" s="172"/>
      <c r="J51" s="146"/>
      <c r="K51" s="172" t="e">
        <f>1-#REF!</f>
        <v>#REF!</v>
      </c>
    </row>
    <row r="52" spans="2:11" x14ac:dyDescent="0.25">
      <c r="D52" s="119">
        <v>32.65</v>
      </c>
      <c r="H52" s="146"/>
    </row>
    <row r="53" spans="2:11" x14ac:dyDescent="0.25">
      <c r="H53" s="146"/>
    </row>
  </sheetData>
  <autoFilter ref="A4:K4" xr:uid="{226CD947-C0AD-4DCF-949C-5AFD1B6970C6}"/>
  <mergeCells count="7">
    <mergeCell ref="B50:C50"/>
    <mergeCell ref="B2:I2"/>
    <mergeCell ref="B26:C26"/>
    <mergeCell ref="B28:C28"/>
    <mergeCell ref="B39:I39"/>
    <mergeCell ref="B48:C48"/>
    <mergeCell ref="B49:C49"/>
  </mergeCells>
  <pageMargins left="0.7" right="0.7" top="0.75" bottom="0.75" header="0.3" footer="0.3"/>
  <pageSetup scale="37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316D-180B-4E18-8602-6BB7BFF8972E}">
  <sheetPr codeName="Hoja132">
    <tabColor rgb="FF00B0F0"/>
  </sheetPr>
  <dimension ref="B2:K33"/>
  <sheetViews>
    <sheetView view="pageBreakPreview" topLeftCell="A5" zoomScale="90" zoomScaleNormal="100" zoomScaleSheetLayoutView="90" workbookViewId="0">
      <selection activeCell="E22" sqref="E22:E23"/>
    </sheetView>
  </sheetViews>
  <sheetFormatPr baseColWidth="10" defaultColWidth="11.5703125" defaultRowHeight="13.5" x14ac:dyDescent="0.25"/>
  <cols>
    <col min="1" max="1" width="25.42578125" style="1" bestFit="1" customWidth="1"/>
    <col min="2" max="2" width="16" style="1" customWidth="1"/>
    <col min="3" max="3" width="56.28515625" style="1" customWidth="1"/>
    <col min="4" max="4" width="11.140625" style="1" customWidth="1"/>
    <col min="5" max="6" width="13.140625" style="1" customWidth="1"/>
    <col min="7" max="7" width="14.28515625" style="1" bestFit="1" customWidth="1"/>
    <col min="8" max="8" width="11.7109375" style="1" bestFit="1" customWidth="1"/>
    <col min="9" max="9" width="12.28515625" style="1" bestFit="1" customWidth="1"/>
    <col min="10" max="16384" width="11.5703125" style="1"/>
  </cols>
  <sheetData>
    <row r="2" spans="2:10" ht="30" customHeight="1" x14ac:dyDescent="0.35">
      <c r="B2" s="1769" t="s">
        <v>1267</v>
      </c>
      <c r="C2" s="1769"/>
      <c r="D2" s="1769"/>
      <c r="E2" s="1769"/>
      <c r="F2" s="1769"/>
      <c r="G2" s="1769"/>
      <c r="H2" s="1769"/>
      <c r="I2" s="1769"/>
    </row>
    <row r="4" spans="2:10" s="3" customFormat="1" ht="25.5" x14ac:dyDescent="0.25">
      <c r="B4" s="1244" t="s">
        <v>0</v>
      </c>
      <c r="C4" s="1244" t="s">
        <v>1</v>
      </c>
      <c r="D4" s="1244" t="s">
        <v>2</v>
      </c>
      <c r="E4" s="1244" t="s">
        <v>3</v>
      </c>
      <c r="F4" s="1243" t="str">
        <f>+'CIF Y PV'!$F$2</f>
        <v xml:space="preserve">JUN-COP/Kg </v>
      </c>
      <c r="G4" s="1243" t="str">
        <f>+'CIF Y PV'!$G$2</f>
        <v>JUN-COP/APP</v>
      </c>
      <c r="H4" s="1243" t="str">
        <f>+'CIF Y PV'!$H$2</f>
        <v xml:space="preserve">MAY-COP/Kg </v>
      </c>
      <c r="I4" s="1243" t="str">
        <f>+'CIF Y PV'!$I$2</f>
        <v>MAY-COP/APP</v>
      </c>
      <c r="J4" s="1243" t="s">
        <v>3</v>
      </c>
    </row>
    <row r="5" spans="2:10" s="112" customFormat="1" ht="14.25" x14ac:dyDescent="0.3">
      <c r="B5" s="833">
        <v>30046</v>
      </c>
      <c r="C5" s="835" t="s">
        <v>1281</v>
      </c>
      <c r="D5" s="823">
        <v>3</v>
      </c>
      <c r="E5" s="848">
        <f>(D5*100)/$D$7</f>
        <v>100</v>
      </c>
      <c r="F5" s="884">
        <f>'SNACK  CERV PREM X 50 G '!H50</f>
        <v>770.01279679549998</v>
      </c>
      <c r="G5" s="825">
        <f>F5*D5</f>
        <v>2310.0383903864999</v>
      </c>
      <c r="H5" s="884">
        <v>1150.4460866634802</v>
      </c>
      <c r="I5" s="823">
        <v>6222</v>
      </c>
      <c r="J5" s="248">
        <f>((F5/H5)*100)-100</f>
        <v>-33.06832838827863</v>
      </c>
    </row>
    <row r="6" spans="2:10" hidden="1" x14ac:dyDescent="0.25">
      <c r="B6" s="834"/>
      <c r="C6" s="834"/>
      <c r="D6" s="849"/>
      <c r="E6" s="849"/>
      <c r="F6" s="849"/>
      <c r="G6" s="849"/>
      <c r="H6" s="826"/>
      <c r="I6" s="824"/>
      <c r="J6" s="233" t="e">
        <f>((F6/H6)*100)-100</f>
        <v>#DIV/0!</v>
      </c>
    </row>
    <row r="7" spans="2:10" x14ac:dyDescent="0.25">
      <c r="B7" s="1770" t="s">
        <v>37</v>
      </c>
      <c r="C7" s="1770"/>
      <c r="D7" s="1288">
        <f>SUM(D5:D5)</f>
        <v>3</v>
      </c>
      <c r="E7" s="1288">
        <f>SUM(E5:E5)</f>
        <v>100</v>
      </c>
      <c r="F7" s="1288"/>
      <c r="G7" s="1288">
        <f>SUM(G5:G6)</f>
        <v>2310.0383903864999</v>
      </c>
      <c r="H7" s="1288"/>
      <c r="I7" s="1288">
        <f>SUM(I5:I6)</f>
        <v>6222</v>
      </c>
      <c r="J7" s="1289">
        <f>((G7/I7)*100)-100</f>
        <v>-62.873057049397303</v>
      </c>
    </row>
    <row r="8" spans="2:10" x14ac:dyDescent="0.25">
      <c r="B8" s="16"/>
      <c r="C8" s="16"/>
      <c r="D8" s="17"/>
      <c r="E8" s="18"/>
      <c r="F8" s="18"/>
      <c r="G8" s="18"/>
      <c r="I8" s="19"/>
    </row>
    <row r="9" spans="2:10" ht="25.5" x14ac:dyDescent="0.35">
      <c r="B9" s="1771" t="s">
        <v>50</v>
      </c>
      <c r="C9" s="1772"/>
      <c r="D9" s="91"/>
      <c r="E9" s="91"/>
      <c r="F9" s="91"/>
      <c r="G9" s="91"/>
      <c r="H9" s="91"/>
      <c r="I9" s="91"/>
    </row>
    <row r="10" spans="2:10" x14ac:dyDescent="0.25">
      <c r="B10" s="1265" t="s">
        <v>38</v>
      </c>
      <c r="C10" s="21" t="s">
        <v>294</v>
      </c>
    </row>
    <row r="11" spans="2:10" x14ac:dyDescent="0.25">
      <c r="B11" s="1265" t="s">
        <v>39</v>
      </c>
      <c r="C11" s="21" t="s">
        <v>489</v>
      </c>
    </row>
    <row r="12" spans="2:10" x14ac:dyDescent="0.25">
      <c r="B12" s="1265" t="s">
        <v>40</v>
      </c>
      <c r="C12" s="21">
        <v>150</v>
      </c>
    </row>
    <row r="13" spans="2:10" x14ac:dyDescent="0.25">
      <c r="B13" s="1265" t="s">
        <v>41</v>
      </c>
      <c r="C13" s="21">
        <v>0</v>
      </c>
    </row>
    <row r="14" spans="2:10" x14ac:dyDescent="0.25">
      <c r="B14" s="1265" t="s">
        <v>42</v>
      </c>
      <c r="C14" s="21">
        <v>0</v>
      </c>
      <c r="I14" s="1" t="s">
        <v>85</v>
      </c>
    </row>
    <row r="15" spans="2:10" x14ac:dyDescent="0.25">
      <c r="B15" s="1265" t="s">
        <v>43</v>
      </c>
      <c r="C15" s="21">
        <v>0</v>
      </c>
    </row>
    <row r="16" spans="2:10" x14ac:dyDescent="0.25">
      <c r="B16" s="1265" t="s">
        <v>44</v>
      </c>
      <c r="C16" s="21">
        <v>0</v>
      </c>
    </row>
    <row r="17" spans="2:11" x14ac:dyDescent="0.25">
      <c r="B17" s="1265" t="s">
        <v>45</v>
      </c>
      <c r="C17" s="21">
        <v>0</v>
      </c>
    </row>
    <row r="18" spans="2:11" x14ac:dyDescent="0.25">
      <c r="B18" s="1265" t="s">
        <v>46</v>
      </c>
      <c r="C18" s="21">
        <f>C17+C16+C15+C14</f>
        <v>0</v>
      </c>
    </row>
    <row r="20" spans="2:11" ht="25.5" x14ac:dyDescent="0.35">
      <c r="B20" s="1756" t="s">
        <v>47</v>
      </c>
      <c r="C20" s="1756"/>
      <c r="D20" s="1756"/>
      <c r="E20" s="1756"/>
      <c r="F20" s="1756"/>
      <c r="G20" s="836"/>
      <c r="H20" s="827"/>
      <c r="I20" s="827"/>
    </row>
    <row r="21" spans="2:11" ht="25.5" x14ac:dyDescent="0.25">
      <c r="B21" s="1290" t="s">
        <v>0</v>
      </c>
      <c r="C21" s="1290" t="s">
        <v>1</v>
      </c>
      <c r="D21" s="1290" t="s">
        <v>2</v>
      </c>
      <c r="E21" s="1243" t="str">
        <f>+'CIF Y PV'!$F$4</f>
        <v xml:space="preserve">JUN-COP/UMB </v>
      </c>
      <c r="F21" s="1243" t="str">
        <f>+'CIF Y PV'!$G$4</f>
        <v>JUN-COP/APP</v>
      </c>
      <c r="G21" s="1243" t="str">
        <f>+'CIF Y PV'!$H$4</f>
        <v xml:space="preserve">MAY-COP/UMB </v>
      </c>
      <c r="H21" s="1243" t="str">
        <f>+'CIF Y PV'!$I$4</f>
        <v>MAY-COP/APP</v>
      </c>
      <c r="I21" s="828"/>
    </row>
    <row r="22" spans="2:11" x14ac:dyDescent="0.25">
      <c r="B22" s="831">
        <v>1310063</v>
      </c>
      <c r="C22" s="831" t="s">
        <v>1293</v>
      </c>
      <c r="D22" s="832">
        <v>0.21</v>
      </c>
      <c r="E22" s="1634">
        <f>VLOOKUP(B22,[2]Hoja1!$C$2:$E$279,3,FALSE)</f>
        <v>1014</v>
      </c>
      <c r="F22" s="832">
        <f>D22*E22</f>
        <v>212.94</v>
      </c>
      <c r="G22" s="885">
        <v>372.57</v>
      </c>
      <c r="H22" s="830">
        <f>G22*D22</f>
        <v>78.239699999999999</v>
      </c>
      <c r="I22" s="829"/>
    </row>
    <row r="23" spans="2:11" x14ac:dyDescent="0.25">
      <c r="B23" s="831">
        <v>1350017</v>
      </c>
      <c r="C23" s="831" t="s">
        <v>1289</v>
      </c>
      <c r="D23" s="832">
        <v>8.3000000000000004E-2</v>
      </c>
      <c r="E23" s="1634">
        <f>VLOOKUP(B23,[2]Hoja1!$C$2:$E$279,3,FALSE)</f>
        <v>1589.57</v>
      </c>
      <c r="F23" s="832">
        <f>D23*E23</f>
        <v>131.93431000000001</v>
      </c>
      <c r="G23" s="1196"/>
      <c r="H23" s="1642"/>
      <c r="I23" s="829"/>
    </row>
    <row r="24" spans="2:11" x14ac:dyDescent="0.25">
      <c r="B24" s="1290"/>
      <c r="C24" s="1290" t="s">
        <v>37</v>
      </c>
      <c r="D24" s="1291"/>
      <c r="E24" s="1292"/>
      <c r="F24" s="1292">
        <f>SUM(F23+F22)</f>
        <v>344.87431000000004</v>
      </c>
      <c r="G24" s="1292"/>
      <c r="H24" s="1292">
        <f>SUM(H22)</f>
        <v>78.239699999999999</v>
      </c>
      <c r="I24" s="802"/>
    </row>
    <row r="26" spans="2:11" x14ac:dyDescent="0.25">
      <c r="H26" s="1" t="str">
        <f>+'CIF Y PV'!$G$1</f>
        <v>MAYO</v>
      </c>
      <c r="I26" s="182"/>
      <c r="K26" s="182"/>
    </row>
    <row r="27" spans="2:11" x14ac:dyDescent="0.25">
      <c r="B27" s="1750" t="s">
        <v>397</v>
      </c>
      <c r="C27" s="1750"/>
      <c r="E27" s="881"/>
      <c r="F27" s="881"/>
      <c r="G27" s="881"/>
      <c r="H27" s="881">
        <f>F24+G7</f>
        <v>2654.9127003865001</v>
      </c>
      <c r="I27" s="181"/>
      <c r="J27" s="881"/>
      <c r="K27" s="181"/>
    </row>
    <row r="28" spans="2:11" x14ac:dyDescent="0.25">
      <c r="B28" s="1758" t="s">
        <v>48</v>
      </c>
      <c r="C28" s="1759"/>
      <c r="E28" s="881"/>
      <c r="F28" s="881"/>
      <c r="G28" s="881"/>
      <c r="H28" s="881">
        <v>0</v>
      </c>
      <c r="I28" s="182"/>
      <c r="J28" s="881"/>
      <c r="K28" s="182"/>
    </row>
    <row r="29" spans="2:11" x14ac:dyDescent="0.25">
      <c r="B29" s="1758" t="s">
        <v>820</v>
      </c>
      <c r="C29" s="1759"/>
      <c r="E29" s="881"/>
      <c r="F29" s="881"/>
      <c r="G29" s="881"/>
      <c r="H29" s="881">
        <f>H28+H27</f>
        <v>2654.9127003865001</v>
      </c>
      <c r="I29" s="152"/>
      <c r="J29" s="881"/>
      <c r="K29" s="152"/>
    </row>
    <row r="30" spans="2:11" x14ac:dyDescent="0.25">
      <c r="B30" s="1750" t="s">
        <v>49</v>
      </c>
      <c r="C30" s="1750"/>
      <c r="E30" s="881"/>
      <c r="F30" s="881"/>
      <c r="G30" s="881"/>
      <c r="H30" s="881">
        <f>'CIF Y PV'!C88</f>
        <v>3750</v>
      </c>
      <c r="J30" s="881"/>
      <c r="K30" s="339"/>
    </row>
    <row r="31" spans="2:11" x14ac:dyDescent="0.25">
      <c r="B31" s="1750" t="s">
        <v>805</v>
      </c>
      <c r="C31" s="1750"/>
      <c r="E31" s="881"/>
      <c r="F31" s="881"/>
      <c r="G31" s="881"/>
      <c r="H31" s="1229">
        <f>+(H30-H29)/H30</f>
        <v>0.29202327989693333</v>
      </c>
      <c r="I31" s="137"/>
      <c r="K31" s="137"/>
    </row>
    <row r="32" spans="2:11" x14ac:dyDescent="0.25">
      <c r="I32" s="182"/>
      <c r="K32" s="182"/>
    </row>
    <row r="33" spans="9:9" x14ac:dyDescent="0.25">
      <c r="I33" s="182"/>
    </row>
  </sheetData>
  <mergeCells count="9">
    <mergeCell ref="B29:C29"/>
    <mergeCell ref="B30:C30"/>
    <mergeCell ref="B31:C31"/>
    <mergeCell ref="B2:I2"/>
    <mergeCell ref="B7:C7"/>
    <mergeCell ref="B9:C9"/>
    <mergeCell ref="B20:F20"/>
    <mergeCell ref="B27:C27"/>
    <mergeCell ref="B28:C28"/>
  </mergeCells>
  <pageMargins left="0.7" right="0.7" top="0.75" bottom="0.75" header="0.3" footer="0.3"/>
  <pageSetup scale="46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6C40-8140-4478-A4F1-0168642A9C3F}">
  <sheetPr codeName="Hoja25"/>
  <dimension ref="B2:K53"/>
  <sheetViews>
    <sheetView topLeftCell="A32" zoomScaleNormal="100" workbookViewId="0">
      <selection activeCell="G5" sqref="G5"/>
    </sheetView>
  </sheetViews>
  <sheetFormatPr baseColWidth="10" defaultColWidth="11.5703125" defaultRowHeight="13.5" x14ac:dyDescent="0.25"/>
  <cols>
    <col min="1" max="1" width="6.28515625" style="120" customWidth="1"/>
    <col min="2" max="2" width="18.7109375" style="120" customWidth="1"/>
    <col min="3" max="3" width="48.7109375" style="120" customWidth="1"/>
    <col min="4" max="4" width="15.42578125" style="120" customWidth="1"/>
    <col min="5" max="5" width="13.140625" style="120" bestFit="1" customWidth="1"/>
    <col min="6" max="6" width="16.28515625" style="120" customWidth="1"/>
    <col min="7" max="7" width="17.140625" style="120" bestFit="1" customWidth="1"/>
    <col min="8" max="8" width="15.42578125" style="120" bestFit="1" customWidth="1"/>
    <col min="9" max="9" width="11.5703125" style="28"/>
    <col min="10" max="10" width="19.140625" style="120" customWidth="1"/>
    <col min="11" max="16384" width="11.5703125" style="120"/>
  </cols>
  <sheetData>
    <row r="2" spans="2:11" ht="30" customHeight="1" x14ac:dyDescent="0.25">
      <c r="B2" s="1743" t="s">
        <v>1296</v>
      </c>
      <c r="C2" s="1743"/>
      <c r="D2" s="1743"/>
      <c r="E2" s="1743"/>
      <c r="F2" s="1743"/>
      <c r="G2" s="1743"/>
      <c r="H2" s="1743"/>
    </row>
    <row r="4" spans="2:11" s="3" customFormat="1" ht="25.5" customHeight="1" x14ac:dyDescent="0.25">
      <c r="B4" s="2" t="s">
        <v>0</v>
      </c>
      <c r="C4" s="2" t="s">
        <v>1</v>
      </c>
      <c r="D4" s="2" t="s">
        <v>2</v>
      </c>
      <c r="E4" s="2" t="s">
        <v>3</v>
      </c>
      <c r="F4" s="1652" t="s">
        <v>1297</v>
      </c>
      <c r="G4" s="1652"/>
      <c r="H4" s="1653">
        <f>D29</f>
        <v>1.1384999999999998</v>
      </c>
      <c r="I4" s="1654"/>
    </row>
    <row r="5" spans="2:11" ht="16.5" x14ac:dyDescent="0.3">
      <c r="B5" s="980">
        <f>VLOOKUP(C5,[8]Hoja1!$B$2:$C$253,2,FALSE)</f>
        <v>1112001</v>
      </c>
      <c r="C5" s="553" t="s">
        <v>797</v>
      </c>
      <c r="D5" s="1001">
        <v>0.28462499999999996</v>
      </c>
      <c r="E5" s="905">
        <v>25</v>
      </c>
      <c r="F5" s="539">
        <f>VLOOKUP(B5,[2]Hoja1!$C$2:$E$279,3,FALSE)</f>
        <v>3663.96</v>
      </c>
      <c r="G5" s="905">
        <f>D5*F5</f>
        <v>1042.854615</v>
      </c>
      <c r="H5" s="1089">
        <f>$H$4*E5%</f>
        <v>0.28462499999999996</v>
      </c>
      <c r="I5" s="294"/>
    </row>
    <row r="6" spans="2:11" ht="16.5" x14ac:dyDescent="0.3">
      <c r="B6" s="980">
        <f>VLOOKUP(C6,[8]Hoja1!$B$2:$C$253,2,FALSE)</f>
        <v>1122001</v>
      </c>
      <c r="C6" s="553" t="s">
        <v>1030</v>
      </c>
      <c r="D6" s="532">
        <v>0.10246499999999999</v>
      </c>
      <c r="E6" s="905">
        <v>9</v>
      </c>
      <c r="F6" s="539">
        <f>VLOOKUP(B6,[2]Hoja1!$C$2:$E$279,3,FALSE)</f>
        <v>11506.13</v>
      </c>
      <c r="G6" s="905">
        <f t="shared" ref="G6:G23" si="0">D6*F6</f>
        <v>1178.9756104499997</v>
      </c>
      <c r="H6" s="1089">
        <f t="shared" ref="H6:H23" si="1">$H$4*E6%</f>
        <v>0.10246499999999999</v>
      </c>
      <c r="I6" s="294"/>
    </row>
    <row r="7" spans="2:11" ht="16.5" x14ac:dyDescent="0.3">
      <c r="B7" s="980">
        <v>1122008</v>
      </c>
      <c r="C7" s="553" t="s">
        <v>1142</v>
      </c>
      <c r="D7" s="532">
        <v>0.39847499999999991</v>
      </c>
      <c r="E7" s="905">
        <v>35</v>
      </c>
      <c r="F7" s="539">
        <f>VLOOKUP(B7,[2]Hoja1!$C$2:$E$279,3,FALSE)</f>
        <v>12059.2</v>
      </c>
      <c r="G7" s="905">
        <f t="shared" si="0"/>
        <v>4805.2897199999989</v>
      </c>
      <c r="H7" s="1089">
        <f t="shared" si="1"/>
        <v>0.39847499999999991</v>
      </c>
      <c r="I7" s="294"/>
    </row>
    <row r="8" spans="2:11" ht="16.5" x14ac:dyDescent="0.3">
      <c r="B8" s="980">
        <f>VLOOKUP(C8,[8]Hoja1!$B$2:$C$253,2,FALSE)</f>
        <v>1131002</v>
      </c>
      <c r="C8" s="553" t="s">
        <v>663</v>
      </c>
      <c r="D8" s="532">
        <v>0.17077499999999998</v>
      </c>
      <c r="E8" s="905">
        <v>15</v>
      </c>
      <c r="F8" s="539">
        <f>VLOOKUP(B8,[2]Hoja1!$C$2:$E$279,3,FALSE)</f>
        <v>0</v>
      </c>
      <c r="G8" s="905">
        <f t="shared" si="0"/>
        <v>0</v>
      </c>
      <c r="H8" s="1089">
        <f t="shared" si="1"/>
        <v>0.17077499999999998</v>
      </c>
      <c r="I8" s="294"/>
    </row>
    <row r="9" spans="2:11" ht="16.5" x14ac:dyDescent="0.3">
      <c r="B9" s="980">
        <v>1121009</v>
      </c>
      <c r="C9" s="553" t="s">
        <v>1272</v>
      </c>
      <c r="D9" s="532">
        <v>7.9695000000000002E-2</v>
      </c>
      <c r="E9" s="905">
        <v>7</v>
      </c>
      <c r="F9" s="539">
        <f>VLOOKUP(B9,[2]Hoja1!$C$2:$E$279,3,FALSE)</f>
        <v>8741.6200000000008</v>
      </c>
      <c r="G9" s="905">
        <f t="shared" si="0"/>
        <v>696.66340590000004</v>
      </c>
      <c r="H9" s="1089">
        <f t="shared" si="1"/>
        <v>7.9695000000000002E-2</v>
      </c>
      <c r="I9" s="294"/>
    </row>
    <row r="10" spans="2:11" ht="16.5" x14ac:dyDescent="0.3">
      <c r="B10" s="980">
        <v>1260011</v>
      </c>
      <c r="C10" s="553" t="s">
        <v>785</v>
      </c>
      <c r="D10" s="532">
        <v>4.7816999999999998E-2</v>
      </c>
      <c r="E10" s="905">
        <v>4.2</v>
      </c>
      <c r="F10" s="539">
        <f>VLOOKUP(B10,[2]Hoja1!$C$2:$E$279,3,FALSE)</f>
        <v>4450.01</v>
      </c>
      <c r="G10" s="905">
        <f t="shared" si="0"/>
        <v>212.78612817000001</v>
      </c>
      <c r="H10" s="1089">
        <f t="shared" si="1"/>
        <v>4.7816999999999998E-2</v>
      </c>
      <c r="I10" s="294"/>
    </row>
    <row r="11" spans="2:11" ht="16.5" x14ac:dyDescent="0.3">
      <c r="B11" s="980">
        <v>1210006</v>
      </c>
      <c r="C11" s="553" t="s">
        <v>909</v>
      </c>
      <c r="D11" s="532">
        <v>1.93545E-2</v>
      </c>
      <c r="E11" s="905">
        <v>1.7</v>
      </c>
      <c r="F11" s="539">
        <f>VLOOKUP(B11,[2]Hoja1!$C$2:$E$279,3,FALSE)</f>
        <v>8904.4500000000007</v>
      </c>
      <c r="G11" s="905">
        <f t="shared" si="0"/>
        <v>172.34117752500001</v>
      </c>
      <c r="H11" s="1089">
        <f t="shared" si="1"/>
        <v>1.93545E-2</v>
      </c>
      <c r="I11" s="294"/>
    </row>
    <row r="12" spans="2:11" ht="16.5" x14ac:dyDescent="0.3">
      <c r="B12" s="980">
        <f>VLOOKUP(C12,[8]Hoja1!$B$2:$C$253,2,FALSE)</f>
        <v>1220010</v>
      </c>
      <c r="C12" s="553" t="s">
        <v>1144</v>
      </c>
      <c r="D12" s="532">
        <v>1.1384999999999999E-2</v>
      </c>
      <c r="E12" s="905">
        <v>1</v>
      </c>
      <c r="F12" s="539">
        <f>VLOOKUP(B12,[2]Hoja1!$C$2:$E$279,3,FALSE)</f>
        <v>4744.72</v>
      </c>
      <c r="G12" s="905">
        <f t="shared" si="0"/>
        <v>54.018637200000001</v>
      </c>
      <c r="H12" s="1089">
        <f t="shared" si="1"/>
        <v>1.1384999999999999E-2</v>
      </c>
      <c r="I12" s="294"/>
    </row>
    <row r="13" spans="2:11" ht="16.5" x14ac:dyDescent="0.3">
      <c r="B13" s="1679">
        <v>1230025</v>
      </c>
      <c r="C13" s="553" t="s">
        <v>1298</v>
      </c>
      <c r="D13" s="532">
        <v>4.5539999999999999E-3</v>
      </c>
      <c r="E13" s="905">
        <v>0.4</v>
      </c>
      <c r="F13" s="539">
        <f>VLOOKUP(B13,[2]Hoja1!$C$2:$E$279,3,FALSE)</f>
        <v>97194.64</v>
      </c>
      <c r="G13" s="905">
        <f t="shared" si="0"/>
        <v>442.62439055999999</v>
      </c>
      <c r="H13" s="1089">
        <f t="shared" si="1"/>
        <v>4.5539999999999999E-3</v>
      </c>
      <c r="I13" s="294"/>
      <c r="K13" s="1586"/>
    </row>
    <row r="14" spans="2:11" ht="16.5" x14ac:dyDescent="0.3">
      <c r="B14" s="1680">
        <f>VLOOKUP(C14,[8]Hoja1!$B$2:$C$253,2,FALSE)</f>
        <v>1220007</v>
      </c>
      <c r="C14" s="553" t="s">
        <v>916</v>
      </c>
      <c r="D14" s="532">
        <v>3.4154999999999997E-3</v>
      </c>
      <c r="E14" s="905">
        <v>0.3</v>
      </c>
      <c r="F14" s="539">
        <f>VLOOKUP(B14,[2]Hoja1!$C$2:$E$279,3,FALSE)</f>
        <v>60081.72</v>
      </c>
      <c r="G14" s="905">
        <f t="shared" si="0"/>
        <v>205.20911465999998</v>
      </c>
      <c r="H14" s="1089">
        <f t="shared" si="1"/>
        <v>3.4154999999999997E-3</v>
      </c>
      <c r="I14" s="294"/>
    </row>
    <row r="15" spans="2:11" ht="16.5" x14ac:dyDescent="0.3">
      <c r="B15" s="1680">
        <v>1220006</v>
      </c>
      <c r="C15" s="553" t="s">
        <v>1299</v>
      </c>
      <c r="D15" s="532">
        <v>2.8462499999999998E-3</v>
      </c>
      <c r="E15" s="905">
        <v>0.25</v>
      </c>
      <c r="F15" s="539">
        <f>VLOOKUP(B15,[2]Hoja1!$C$2:$E$279,3,FALSE)</f>
        <v>73448</v>
      </c>
      <c r="G15" s="905">
        <f t="shared" si="0"/>
        <v>209.05136999999999</v>
      </c>
      <c r="H15" s="1089">
        <f t="shared" si="1"/>
        <v>2.8462499999999998E-3</v>
      </c>
      <c r="I15" s="294"/>
    </row>
    <row r="16" spans="2:11" ht="16.5" x14ac:dyDescent="0.3">
      <c r="B16" s="1680">
        <f>VLOOKUP(C16,[8]Hoja1!$B$2:$C$253,2,FALSE)</f>
        <v>1210002</v>
      </c>
      <c r="C16" s="553" t="s">
        <v>1033</v>
      </c>
      <c r="D16" s="532">
        <v>4.5539999999999999E-3</v>
      </c>
      <c r="E16" s="905">
        <v>0.4</v>
      </c>
      <c r="F16" s="539">
        <f>VLOOKUP(B16,[2]Hoja1!$C$2:$E$279,3,FALSE)</f>
        <v>12886</v>
      </c>
      <c r="G16" s="905">
        <f t="shared" si="0"/>
        <v>58.682843999999996</v>
      </c>
      <c r="H16" s="1089">
        <f t="shared" si="1"/>
        <v>4.5539999999999999E-3</v>
      </c>
      <c r="I16" s="294"/>
    </row>
    <row r="17" spans="2:10" ht="16.5" x14ac:dyDescent="0.3">
      <c r="B17" s="1680">
        <f>VLOOKUP(C17,[8]Hoja1!$B$2:$C$253,2,FALSE)</f>
        <v>1220009</v>
      </c>
      <c r="C17" s="553" t="s">
        <v>1133</v>
      </c>
      <c r="D17" s="532">
        <v>6.8309999999999994E-3</v>
      </c>
      <c r="E17" s="905">
        <v>0.6</v>
      </c>
      <c r="F17" s="539">
        <f>VLOOKUP(B17,[2]Hoja1!$C$2:$E$279,3,FALSE)</f>
        <v>21312.16</v>
      </c>
      <c r="G17" s="905">
        <f t="shared" si="0"/>
        <v>145.58336495999998</v>
      </c>
      <c r="H17" s="1089">
        <f t="shared" si="1"/>
        <v>6.8309999999999994E-3</v>
      </c>
      <c r="I17" s="294"/>
    </row>
    <row r="18" spans="2:10" ht="16.5" x14ac:dyDescent="0.3">
      <c r="B18" s="1680">
        <v>1250009</v>
      </c>
      <c r="C18" s="553" t="s">
        <v>1300</v>
      </c>
      <c r="D18" s="1655">
        <v>2.2769999999999998E-4</v>
      </c>
      <c r="E18" s="905">
        <v>0.02</v>
      </c>
      <c r="F18" s="539">
        <f>VLOOKUP(B18,[2]Hoja1!$C$2:$E$279,3,FALSE)</f>
        <v>83551.55</v>
      </c>
      <c r="G18" s="905">
        <f t="shared" si="0"/>
        <v>19.024687934999999</v>
      </c>
      <c r="H18" s="1089">
        <f t="shared" si="1"/>
        <v>2.2769999999999998E-4</v>
      </c>
      <c r="I18" s="294"/>
    </row>
    <row r="19" spans="2:10" ht="16.5" x14ac:dyDescent="0.3">
      <c r="B19" s="1680">
        <f>VLOOKUP(C19,[8]Hoja1!$B$2:$C$253,2,FALSE)</f>
        <v>1210004</v>
      </c>
      <c r="C19" s="553" t="s">
        <v>1131</v>
      </c>
      <c r="D19" s="532">
        <v>1.8215999999999998E-3</v>
      </c>
      <c r="E19" s="905">
        <v>0.16</v>
      </c>
      <c r="F19" s="539">
        <f>VLOOKUP(B19,[2]Hoja1!$C$2:$E$279,3,FALSE)</f>
        <v>3841</v>
      </c>
      <c r="G19" s="905">
        <f t="shared" si="0"/>
        <v>6.9967655999999989</v>
      </c>
      <c r="H19" s="1089">
        <f t="shared" si="1"/>
        <v>1.8215999999999998E-3</v>
      </c>
      <c r="I19" s="294"/>
    </row>
    <row r="20" spans="2:10" ht="16.5" x14ac:dyDescent="0.3">
      <c r="B20" s="1680">
        <f>VLOOKUP(C20,[8]Hoja1!$B$2:$C$253,2,FALSE)</f>
        <v>1210003</v>
      </c>
      <c r="C20" s="553" t="s">
        <v>1143</v>
      </c>
      <c r="D20" s="532">
        <v>5.6924999999999999E-4</v>
      </c>
      <c r="E20" s="905">
        <v>0.05</v>
      </c>
      <c r="F20" s="539">
        <f>VLOOKUP(B20,[2]Hoja1!$C$2:$E$279,3,FALSE)</f>
        <v>16235.45</v>
      </c>
      <c r="G20" s="905">
        <f t="shared" si="0"/>
        <v>9.2420299124999996</v>
      </c>
      <c r="H20" s="1089">
        <f t="shared" si="1"/>
        <v>5.6924999999999999E-4</v>
      </c>
      <c r="I20" s="294"/>
    </row>
    <row r="21" spans="2:10" ht="16.5" x14ac:dyDescent="0.3">
      <c r="B21" s="1679">
        <v>1230026</v>
      </c>
      <c r="C21" s="553" t="s">
        <v>1301</v>
      </c>
      <c r="D21" s="532">
        <v>2.5046999999999999E-3</v>
      </c>
      <c r="E21" s="905">
        <v>0.22</v>
      </c>
      <c r="F21" s="539">
        <f>VLOOKUP(B21,[2]Hoja1!$C$2:$E$279,3,FALSE)</f>
        <v>123823.21</v>
      </c>
      <c r="G21" s="905">
        <f t="shared" si="0"/>
        <v>310.13999408699999</v>
      </c>
      <c r="H21" s="1089">
        <f t="shared" si="1"/>
        <v>2.5046999999999999E-3</v>
      </c>
      <c r="I21" s="294"/>
    </row>
    <row r="22" spans="2:10" ht="16.5" x14ac:dyDescent="0.3">
      <c r="B22" s="1679">
        <v>1270010</v>
      </c>
      <c r="C22" s="553" t="s">
        <v>1302</v>
      </c>
      <c r="D22" s="1655">
        <v>3.4154999999999993E-4</v>
      </c>
      <c r="E22" s="905">
        <v>0.03</v>
      </c>
      <c r="F22" s="539">
        <f>VLOOKUP(B22,[2]Hoja1!$C$2:$E$279,3,FALSE)</f>
        <v>79779.53</v>
      </c>
      <c r="G22" s="905">
        <f t="shared" si="0"/>
        <v>27.248698471499992</v>
      </c>
      <c r="H22" s="1089">
        <f t="shared" si="1"/>
        <v>3.4154999999999993E-4</v>
      </c>
      <c r="I22" s="294"/>
      <c r="J22" s="1160"/>
    </row>
    <row r="23" spans="2:10" ht="16.5" x14ac:dyDescent="0.3">
      <c r="B23" s="1679">
        <v>1230020</v>
      </c>
      <c r="C23" s="553" t="s">
        <v>1303</v>
      </c>
      <c r="D23" s="532">
        <v>2.2769999999999999E-3</v>
      </c>
      <c r="E23" s="905">
        <v>0.2</v>
      </c>
      <c r="F23" s="539">
        <f>VLOOKUP(B23,[2]Hoja1!$C$2:$E$279,3,FALSE)</f>
        <v>42000</v>
      </c>
      <c r="G23" s="905">
        <f t="shared" si="0"/>
        <v>95.634</v>
      </c>
      <c r="H23" s="1089">
        <f t="shared" si="1"/>
        <v>2.2769999999999999E-3</v>
      </c>
      <c r="I23" s="294"/>
    </row>
    <row r="24" spans="2:10" ht="16.5" x14ac:dyDescent="0.25">
      <c r="B24" s="1656" t="s">
        <v>37</v>
      </c>
      <c r="C24" s="1656"/>
      <c r="D24" s="1657">
        <f>SUM(D5:D23)</f>
        <v>1.1445340499999996</v>
      </c>
      <c r="E24" s="1658">
        <f>SUM(E5:E23)</f>
        <v>100.53</v>
      </c>
      <c r="F24" s="1013"/>
      <c r="G24" s="1013">
        <f>SUM(G5:G23)</f>
        <v>9692.3665544309988</v>
      </c>
      <c r="H24" s="1659"/>
      <c r="I24" s="1660"/>
      <c r="J24" s="1160"/>
    </row>
    <row r="25" spans="2:10" x14ac:dyDescent="0.25">
      <c r="B25" s="240"/>
      <c r="C25" s="240"/>
      <c r="D25" s="254"/>
      <c r="E25" s="242"/>
      <c r="F25" s="242"/>
      <c r="G25" s="242"/>
      <c r="J25" s="1160"/>
    </row>
    <row r="26" spans="2:10" ht="25.5" x14ac:dyDescent="0.25">
      <c r="B26" s="1913" t="s">
        <v>50</v>
      </c>
      <c r="C26" s="1914"/>
      <c r="D26" s="115"/>
      <c r="E26" s="761"/>
      <c r="F26" s="761"/>
      <c r="G26" s="1661"/>
      <c r="H26" s="761"/>
      <c r="I26" s="846"/>
    </row>
    <row r="27" spans="2:10" x14ac:dyDescent="0.25">
      <c r="B27" s="1662" t="s">
        <v>38</v>
      </c>
      <c r="C27" s="1663" t="s">
        <v>123</v>
      </c>
      <c r="D27" s="386"/>
      <c r="G27" s="1217"/>
      <c r="J27" s="1664"/>
    </row>
    <row r="28" spans="2:10" x14ac:dyDescent="0.25">
      <c r="B28" s="1662" t="s">
        <v>39</v>
      </c>
      <c r="C28" s="1665" t="s">
        <v>1304</v>
      </c>
      <c r="D28" s="386"/>
      <c r="G28" s="1635"/>
    </row>
    <row r="29" spans="2:10" x14ac:dyDescent="0.25">
      <c r="B29" s="1662" t="s">
        <v>40</v>
      </c>
      <c r="C29" s="1666">
        <v>0.99</v>
      </c>
      <c r="D29" s="386">
        <f>C29*1.15</f>
        <v>1.1384999999999998</v>
      </c>
    </row>
    <row r="30" spans="2:10" x14ac:dyDescent="0.25">
      <c r="B30" s="1662" t="s">
        <v>41</v>
      </c>
      <c r="C30" s="1665">
        <v>0</v>
      </c>
      <c r="D30" s="386"/>
    </row>
    <row r="31" spans="2:10" x14ac:dyDescent="0.25">
      <c r="B31" s="1662" t="s">
        <v>42</v>
      </c>
      <c r="C31" s="1665">
        <v>9</v>
      </c>
      <c r="D31" s="386"/>
    </row>
    <row r="32" spans="2:10" x14ac:dyDescent="0.25">
      <c r="B32" s="1662" t="s">
        <v>43</v>
      </c>
      <c r="C32" s="1665">
        <v>1</v>
      </c>
      <c r="D32" s="386"/>
    </row>
    <row r="33" spans="2:11" x14ac:dyDescent="0.25">
      <c r="B33" s="1662" t="s">
        <v>44</v>
      </c>
      <c r="C33" s="1665">
        <v>1</v>
      </c>
      <c r="D33" s="386"/>
    </row>
    <row r="34" spans="2:11" x14ac:dyDescent="0.25">
      <c r="B34" s="1662" t="s">
        <v>45</v>
      </c>
      <c r="C34" s="1665">
        <v>1</v>
      </c>
      <c r="D34" s="386"/>
    </row>
    <row r="35" spans="2:11" x14ac:dyDescent="0.25">
      <c r="B35" s="1662" t="s">
        <v>46</v>
      </c>
      <c r="C35" s="1665">
        <f>C34+C33+C32+C31</f>
        <v>12</v>
      </c>
      <c r="D35" s="386"/>
      <c r="H35" s="1160"/>
      <c r="I35" s="1667"/>
    </row>
    <row r="36" spans="2:11" x14ac:dyDescent="0.25">
      <c r="D36" s="386"/>
      <c r="E36" s="281">
        <f>0.21*9</f>
        <v>1.89</v>
      </c>
    </row>
    <row r="37" spans="2:11" ht="25.5" x14ac:dyDescent="0.25">
      <c r="B37" s="1915" t="s">
        <v>47</v>
      </c>
      <c r="C37" s="1916"/>
      <c r="D37" s="1916"/>
      <c r="E37" s="1916"/>
      <c r="F37" s="1916"/>
    </row>
    <row r="38" spans="2:11" ht="25.5" x14ac:dyDescent="0.25">
      <c r="B38" s="767" t="s">
        <v>0</v>
      </c>
      <c r="C38" s="767" t="s">
        <v>1</v>
      </c>
      <c r="D38" s="768" t="s">
        <v>2</v>
      </c>
      <c r="E38" s="1652" t="str">
        <f>+'[9]CIF Y PV'!$F$4</f>
        <v xml:space="preserve">JUL-COP/UMB </v>
      </c>
      <c r="F38" s="1652" t="str">
        <f>+'[9]CIF Y PV'!$G$4</f>
        <v>JUL-COP/APP</v>
      </c>
      <c r="J38" s="28" t="s">
        <v>1305</v>
      </c>
      <c r="K38" s="28" t="s">
        <v>1306</v>
      </c>
    </row>
    <row r="39" spans="2:11" x14ac:dyDescent="0.25">
      <c r="B39" s="1602">
        <v>1370029</v>
      </c>
      <c r="C39" s="154" t="s">
        <v>1314</v>
      </c>
      <c r="D39" s="143">
        <v>1.89</v>
      </c>
      <c r="E39" s="106">
        <f>VLOOKUP(B39,[2]Hoja1!$C$2:$E$279,3,FALSE)</f>
        <v>580</v>
      </c>
      <c r="F39" s="106">
        <f>E39*D39</f>
        <v>1096.2</v>
      </c>
      <c r="J39" s="120">
        <v>461.54</v>
      </c>
      <c r="K39" s="1217">
        <f>J39*3750</f>
        <v>1730775</v>
      </c>
    </row>
    <row r="40" spans="2:11" x14ac:dyDescent="0.25">
      <c r="B40" s="1602">
        <v>1310066</v>
      </c>
      <c r="C40" s="154" t="s">
        <v>1291</v>
      </c>
      <c r="D40" s="143">
        <v>7.4999999999999997E-2</v>
      </c>
      <c r="E40" s="106">
        <f>VLOOKUP(B40,[2]Hoja1!$C$2:$E$279,3,FALSE)</f>
        <v>765.19</v>
      </c>
      <c r="F40" s="106">
        <f>E40*D40</f>
        <v>57.389250000000004</v>
      </c>
      <c r="J40" s="1635">
        <f>K39/2926</f>
        <v>591.51572112098427</v>
      </c>
    </row>
    <row r="41" spans="2:11" x14ac:dyDescent="0.25">
      <c r="B41" s="1602">
        <v>1310017</v>
      </c>
      <c r="C41" s="154" t="s">
        <v>1307</v>
      </c>
      <c r="D41" s="143">
        <v>7.4999999999999997E-2</v>
      </c>
      <c r="E41" s="106">
        <f>VLOOKUP(B41,[2]Hoja1!$C$2:$E$279,3,FALSE)</f>
        <v>698.26</v>
      </c>
      <c r="F41" s="106">
        <f>E41*D41</f>
        <v>52.369499999999995</v>
      </c>
    </row>
    <row r="42" spans="2:11" x14ac:dyDescent="0.25">
      <c r="B42" s="1602">
        <f>VLOOKUP(C42,[8]Hoja1!$B$2:$C$253,2,FALSE)</f>
        <v>1330022</v>
      </c>
      <c r="C42" s="154" t="s">
        <v>943</v>
      </c>
      <c r="D42" s="143">
        <v>1</v>
      </c>
      <c r="E42" s="106">
        <f>VLOOKUP(B42,[2]Hoja1!$C$2:$E$279,3,FALSE)</f>
        <v>40.869999999999997</v>
      </c>
      <c r="F42" s="106">
        <f>E42*D42</f>
        <v>40.869999999999997</v>
      </c>
    </row>
    <row r="43" spans="2:11" x14ac:dyDescent="0.25">
      <c r="B43" s="1602">
        <f>VLOOKUP(C43,[8]Hoja1!$B$2:$C$253,2,FALSE)</f>
        <v>1330022</v>
      </c>
      <c r="C43" s="154" t="s">
        <v>943</v>
      </c>
      <c r="D43" s="143">
        <v>1</v>
      </c>
      <c r="E43" s="106">
        <f>VLOOKUP(B43,[2]Hoja1!$C$2:$E$279,3,FALSE)</f>
        <v>40.869999999999997</v>
      </c>
      <c r="F43" s="106">
        <f>E43*D43</f>
        <v>40.869999999999997</v>
      </c>
    </row>
    <row r="44" spans="2:11" x14ac:dyDescent="0.25">
      <c r="B44" s="1668"/>
      <c r="C44" s="1668" t="s">
        <v>37</v>
      </c>
      <c r="D44" s="1669"/>
      <c r="E44" s="1670"/>
      <c r="F44" s="1670">
        <f>SUM(F39:F43)</f>
        <v>1287.6987499999998</v>
      </c>
    </row>
    <row r="45" spans="2:11" x14ac:dyDescent="0.25">
      <c r="F45" s="890"/>
      <c r="G45" s="890"/>
      <c r="H45" s="1671"/>
    </row>
    <row r="46" spans="2:11" s="1" customFormat="1" x14ac:dyDescent="0.25">
      <c r="B46" s="1902" t="s">
        <v>1308</v>
      </c>
      <c r="C46" s="1903"/>
      <c r="D46" s="1907">
        <f>F44+G24</f>
        <v>10980.065304430998</v>
      </c>
      <c r="E46" s="1908"/>
      <c r="F46" s="1909"/>
      <c r="G46" s="187"/>
      <c r="H46" s="1672"/>
      <c r="I46" s="268"/>
    </row>
    <row r="47" spans="2:11" s="1" customFormat="1" x14ac:dyDescent="0.25">
      <c r="B47" s="1902" t="s">
        <v>48</v>
      </c>
      <c r="C47" s="1903"/>
      <c r="D47" s="1907">
        <f>+('CIF Y PV'!C3/1000)*990</f>
        <v>1871.1</v>
      </c>
      <c r="E47" s="1908"/>
      <c r="F47" s="1909"/>
      <c r="G47" s="188"/>
      <c r="H47" s="1673"/>
      <c r="I47" s="268"/>
    </row>
    <row r="48" spans="2:11" s="1" customFormat="1" x14ac:dyDescent="0.25">
      <c r="B48" s="1902" t="s">
        <v>1309</v>
      </c>
      <c r="C48" s="1903"/>
      <c r="D48" s="1907">
        <f>+D47+D46</f>
        <v>12851.165304430999</v>
      </c>
      <c r="E48" s="1908"/>
      <c r="F48" s="1909"/>
      <c r="G48" s="1674"/>
      <c r="H48" s="1675"/>
      <c r="I48" s="268"/>
    </row>
    <row r="49" spans="2:9" s="1" customFormat="1" x14ac:dyDescent="0.25">
      <c r="B49" s="1902" t="s">
        <v>49</v>
      </c>
      <c r="C49" s="1903"/>
      <c r="D49" s="1907">
        <f>'CIF Y PV'!C89</f>
        <v>22118</v>
      </c>
      <c r="E49" s="1908"/>
      <c r="F49" s="1909"/>
      <c r="G49" s="402"/>
      <c r="H49" s="1676"/>
      <c r="I49" s="268"/>
    </row>
    <row r="50" spans="2:9" s="1" customFormat="1" x14ac:dyDescent="0.25">
      <c r="B50" s="1902" t="s">
        <v>1310</v>
      </c>
      <c r="C50" s="1903"/>
      <c r="D50" s="1910">
        <f>(D49-D48)/D49</f>
        <v>0.41897254252504751</v>
      </c>
      <c r="E50" s="1911"/>
      <c r="F50" s="1912"/>
      <c r="G50" s="333"/>
      <c r="H50" s="1677"/>
      <c r="I50" s="268"/>
    </row>
    <row r="51" spans="2:9" s="1" customFormat="1" x14ac:dyDescent="0.25">
      <c r="B51" s="1902" t="s">
        <v>1311</v>
      </c>
      <c r="C51" s="1903"/>
      <c r="D51" s="1904">
        <f>D49/1000</f>
        <v>22.117999999999999</v>
      </c>
      <c r="E51" s="1905"/>
      <c r="F51" s="1906"/>
      <c r="H51" s="1678"/>
      <c r="I51" s="268"/>
    </row>
    <row r="52" spans="2:9" s="1" customFormat="1" x14ac:dyDescent="0.25">
      <c r="H52" s="1678"/>
      <c r="I52" s="268"/>
    </row>
    <row r="53" spans="2:9" x14ac:dyDescent="0.25">
      <c r="F53" s="890"/>
      <c r="G53" s="890"/>
      <c r="H53" s="890"/>
    </row>
  </sheetData>
  <autoFilter ref="B4:H4" xr:uid="{0446D426-7A64-43C1-AE64-850F8367E050}">
    <sortState xmlns:xlrd2="http://schemas.microsoft.com/office/spreadsheetml/2017/richdata2" ref="B5:H23">
      <sortCondition descending="1" ref="D4"/>
    </sortState>
  </autoFilter>
  <mergeCells count="15">
    <mergeCell ref="B47:C47"/>
    <mergeCell ref="D47:F47"/>
    <mergeCell ref="B2:H2"/>
    <mergeCell ref="B26:C26"/>
    <mergeCell ref="B37:F37"/>
    <mergeCell ref="B46:C46"/>
    <mergeCell ref="D46:F46"/>
    <mergeCell ref="B51:C51"/>
    <mergeCell ref="D51:F51"/>
    <mergeCell ref="B48:C48"/>
    <mergeCell ref="D48:F48"/>
    <mergeCell ref="B49:C49"/>
    <mergeCell ref="D49:F49"/>
    <mergeCell ref="B50:C50"/>
    <mergeCell ref="D50:F50"/>
  </mergeCells>
  <pageMargins left="0.7" right="0.7" top="0.75" bottom="0.75" header="0.3" footer="0.3"/>
  <legacy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5AC2-3CAD-4341-9720-B50EF71BF19E}">
  <sheetPr codeName="Hoja69"/>
  <dimension ref="B2:L49"/>
  <sheetViews>
    <sheetView view="pageBreakPreview" topLeftCell="A6" zoomScale="80" zoomScaleNormal="100" zoomScaleSheetLayoutView="80" workbookViewId="0">
      <selection activeCell="F22" sqref="F22"/>
    </sheetView>
  </sheetViews>
  <sheetFormatPr baseColWidth="10" defaultColWidth="11.5703125" defaultRowHeight="16.5" x14ac:dyDescent="0.3"/>
  <cols>
    <col min="1" max="1" width="15.42578125" style="527" customWidth="1"/>
    <col min="2" max="2" width="16.140625" style="527" customWidth="1"/>
    <col min="3" max="3" width="58.28515625" style="527" customWidth="1"/>
    <col min="4" max="4" width="11.5703125" style="693" customWidth="1"/>
    <col min="5" max="6" width="13.140625" style="527" customWidth="1"/>
    <col min="7" max="7" width="13.7109375" style="527" customWidth="1"/>
    <col min="8" max="8" width="11.7109375" style="527" customWidth="1"/>
    <col min="9" max="9" width="12.85546875" style="527" customWidth="1"/>
    <col min="10" max="10" width="17.42578125" style="693" customWidth="1"/>
    <col min="11" max="11" width="12.85546875" style="697" customWidth="1"/>
    <col min="12" max="12" width="13.42578125" style="527" customWidth="1"/>
    <col min="13" max="13" width="19.5703125" style="527" customWidth="1"/>
    <col min="14" max="16384" width="11.5703125" style="527"/>
  </cols>
  <sheetData>
    <row r="2" spans="2:11" ht="22.5" x14ac:dyDescent="0.3">
      <c r="B2" s="1861" t="s">
        <v>1335</v>
      </c>
      <c r="C2" s="1861"/>
      <c r="D2" s="1861"/>
      <c r="E2" s="1861"/>
      <c r="F2" s="1861"/>
      <c r="G2" s="1861"/>
      <c r="H2" s="1861"/>
      <c r="I2" s="1861"/>
      <c r="K2" s="527"/>
    </row>
    <row r="3" spans="2:11" ht="10.5" customHeight="1" x14ac:dyDescent="0.3">
      <c r="B3" s="1847"/>
      <c r="C3" s="1847"/>
      <c r="D3" s="1847"/>
      <c r="E3" s="1847"/>
      <c r="F3" s="1847"/>
      <c r="G3" s="1847"/>
      <c r="H3" s="1847"/>
      <c r="I3" s="1847"/>
      <c r="K3" s="527"/>
    </row>
    <row r="4" spans="2:11" s="979" customFormat="1" ht="28.5" x14ac:dyDescent="0.25">
      <c r="B4" s="1348" t="s">
        <v>0</v>
      </c>
      <c r="C4" s="1348" t="s">
        <v>1</v>
      </c>
      <c r="D4" s="1453" t="s">
        <v>2</v>
      </c>
      <c r="E4" s="1691" t="s">
        <v>3</v>
      </c>
      <c r="F4" s="1335" t="str">
        <f>+'[5]CIF Y PV'!$F$2</f>
        <v xml:space="preserve">DIC-COP/Kg </v>
      </c>
      <c r="G4" s="1335" t="str">
        <f>+'[5]CIF Y PV'!$G$2</f>
        <v>DIC-COP/APP</v>
      </c>
      <c r="H4" s="1454">
        <f>+D25/1000</f>
        <v>4.9050000000000002</v>
      </c>
      <c r="I4" s="1432">
        <v>1600</v>
      </c>
      <c r="J4" s="1432"/>
    </row>
    <row r="5" spans="2:11" x14ac:dyDescent="0.3">
      <c r="B5" s="1479">
        <v>1112002</v>
      </c>
      <c r="C5" s="1692" t="s">
        <v>1336</v>
      </c>
      <c r="D5" s="554">
        <v>0.88290000000000002</v>
      </c>
      <c r="E5" s="1693">
        <v>18</v>
      </c>
      <c r="F5" s="982">
        <f>VLOOKUP(B5,[2]Hoja1!$C$2:$E$279,3,FALSE)</f>
        <v>3575.02</v>
      </c>
      <c r="G5" s="1023">
        <f>F5*D5</f>
        <v>3156.385158</v>
      </c>
      <c r="H5" s="525">
        <f t="shared" ref="H5:H22" si="0">$H$4*E5%</f>
        <v>0.88290000000000002</v>
      </c>
      <c r="I5" s="1175">
        <f>$I$4*E5%</f>
        <v>288</v>
      </c>
      <c r="J5" s="1220">
        <f>I5*F5</f>
        <v>1029605.76</v>
      </c>
      <c r="K5" s="527"/>
    </row>
    <row r="6" spans="2:11" x14ac:dyDescent="0.3">
      <c r="B6" s="1479">
        <v>2906001</v>
      </c>
      <c r="C6" s="1692" t="s">
        <v>831</v>
      </c>
      <c r="D6" s="554">
        <v>1.1281500000000002</v>
      </c>
      <c r="E6" s="1693">
        <v>23</v>
      </c>
      <c r="F6" s="982">
        <f>VLOOKUP(B6,[2]Hoja1!$C$2:$E$279,3,FALSE)</f>
        <v>1956.71</v>
      </c>
      <c r="G6" s="1023">
        <f t="shared" ref="G6:G22" si="1">F6*D6</f>
        <v>2207.4623865000003</v>
      </c>
      <c r="H6" s="525">
        <f t="shared" si="0"/>
        <v>1.1281500000000002</v>
      </c>
      <c r="I6" s="1175">
        <f>$I$4*E6%</f>
        <v>368</v>
      </c>
      <c r="J6" s="1220">
        <f>I6*F6</f>
        <v>720069.28</v>
      </c>
      <c r="K6" s="527"/>
    </row>
    <row r="7" spans="2:11" x14ac:dyDescent="0.3">
      <c r="B7" s="1479">
        <v>1111002</v>
      </c>
      <c r="C7" s="1692" t="s">
        <v>1337</v>
      </c>
      <c r="D7" s="554">
        <v>0.73575000000000002</v>
      </c>
      <c r="E7" s="1693">
        <v>15</v>
      </c>
      <c r="F7" s="982">
        <f>VLOOKUP(B7,[2]Hoja1!$C$2:$E$279,3,FALSE)</f>
        <v>2800</v>
      </c>
      <c r="G7" s="1023">
        <f t="shared" si="1"/>
        <v>2060.1</v>
      </c>
      <c r="H7" s="525">
        <f t="shared" si="0"/>
        <v>0.73575000000000002</v>
      </c>
      <c r="I7" s="1175">
        <f>$I$4*E7%</f>
        <v>240</v>
      </c>
      <c r="J7" s="1220">
        <f>I7*F7</f>
        <v>672000</v>
      </c>
      <c r="K7" s="527"/>
    </row>
    <row r="8" spans="2:11" x14ac:dyDescent="0.3">
      <c r="B8" s="1479">
        <v>1122007</v>
      </c>
      <c r="C8" s="1692" t="s">
        <v>1067</v>
      </c>
      <c r="D8" s="554">
        <v>0.58860000000000001</v>
      </c>
      <c r="E8" s="1693">
        <v>12</v>
      </c>
      <c r="F8" s="982">
        <f>VLOOKUP(B8,[2]Hoja1!$C$2:$E$279,3,FALSE)</f>
        <v>11229.33</v>
      </c>
      <c r="G8" s="1023">
        <f t="shared" si="1"/>
        <v>6609.5836380000001</v>
      </c>
      <c r="H8" s="525">
        <f t="shared" si="0"/>
        <v>0.58860000000000001</v>
      </c>
      <c r="I8" s="1175"/>
      <c r="J8" s="1220"/>
      <c r="K8" s="527"/>
    </row>
    <row r="9" spans="2:11" x14ac:dyDescent="0.3">
      <c r="B9" s="1479"/>
      <c r="C9" s="1692" t="s">
        <v>1338</v>
      </c>
      <c r="D9" s="554">
        <v>0.88290000000000002</v>
      </c>
      <c r="E9" s="1693">
        <v>18</v>
      </c>
      <c r="F9" s="982">
        <v>0</v>
      </c>
      <c r="G9" s="1023">
        <f t="shared" si="1"/>
        <v>0</v>
      </c>
      <c r="H9" s="525">
        <f t="shared" si="0"/>
        <v>0.88290000000000002</v>
      </c>
      <c r="I9" s="1175">
        <f t="shared" ref="I9:I22" si="2">$I$4*E9%</f>
        <v>288</v>
      </c>
      <c r="J9" s="1220">
        <f t="shared" ref="J9:J15" si="3">I9*F9</f>
        <v>0</v>
      </c>
      <c r="K9" s="527"/>
    </row>
    <row r="10" spans="2:11" x14ac:dyDescent="0.3">
      <c r="B10" s="1479">
        <v>1210005</v>
      </c>
      <c r="C10" s="1692" t="s">
        <v>1339</v>
      </c>
      <c r="D10" s="554">
        <v>9.3195E-2</v>
      </c>
      <c r="E10" s="1693">
        <v>1.9</v>
      </c>
      <c r="F10" s="982">
        <f>VLOOKUP(B10,[2]Hoja1!$C$2:$E$279,3,FALSE)</f>
        <v>1356</v>
      </c>
      <c r="G10" s="1023">
        <f t="shared" si="1"/>
        <v>126.37242000000001</v>
      </c>
      <c r="H10" s="525">
        <f t="shared" si="0"/>
        <v>9.3195E-2</v>
      </c>
      <c r="I10" s="1175">
        <f t="shared" si="2"/>
        <v>30.4</v>
      </c>
      <c r="J10" s="1220">
        <f t="shared" si="3"/>
        <v>41222.400000000001</v>
      </c>
      <c r="K10" s="527"/>
    </row>
    <row r="11" spans="2:11" x14ac:dyDescent="0.3">
      <c r="B11" s="1479">
        <v>1210002</v>
      </c>
      <c r="C11" s="1692" t="s">
        <v>1033</v>
      </c>
      <c r="D11" s="554">
        <v>1.9620000000000002E-2</v>
      </c>
      <c r="E11" s="1693">
        <v>0.4</v>
      </c>
      <c r="F11" s="982">
        <f>VLOOKUP(B11,[2]Hoja1!$C$2:$E$279,3,FALSE)</f>
        <v>12886</v>
      </c>
      <c r="G11" s="1023">
        <f t="shared" si="1"/>
        <v>252.82332000000002</v>
      </c>
      <c r="H11" s="525">
        <f t="shared" si="0"/>
        <v>1.9620000000000002E-2</v>
      </c>
      <c r="I11" s="1175">
        <f t="shared" si="2"/>
        <v>6.4</v>
      </c>
      <c r="J11" s="1220">
        <f t="shared" si="3"/>
        <v>82470.400000000009</v>
      </c>
      <c r="K11" s="527"/>
    </row>
    <row r="12" spans="2:11" x14ac:dyDescent="0.3">
      <c r="B12" s="1479">
        <v>1210004</v>
      </c>
      <c r="C12" s="1692" t="s">
        <v>1131</v>
      </c>
      <c r="D12" s="554">
        <v>9.810000000000001E-3</v>
      </c>
      <c r="E12" s="1693">
        <v>0.2</v>
      </c>
      <c r="F12" s="982">
        <f>VLOOKUP(B12,[2]Hoja1!$C$2:$E$279,3,FALSE)</f>
        <v>3841</v>
      </c>
      <c r="G12" s="1023">
        <f t="shared" si="1"/>
        <v>37.680210000000002</v>
      </c>
      <c r="H12" s="525">
        <f t="shared" si="0"/>
        <v>9.810000000000001E-3</v>
      </c>
      <c r="I12" s="1175">
        <f t="shared" si="2"/>
        <v>3.2</v>
      </c>
      <c r="J12" s="1220">
        <f t="shared" si="3"/>
        <v>12291.2</v>
      </c>
      <c r="K12" s="527"/>
    </row>
    <row r="13" spans="2:11" x14ac:dyDescent="0.3">
      <c r="B13" s="1479">
        <v>1220005</v>
      </c>
      <c r="C13" s="1692" t="s">
        <v>1135</v>
      </c>
      <c r="D13" s="554">
        <v>1.2262500000000001E-2</v>
      </c>
      <c r="E13" s="1693">
        <v>0.25</v>
      </c>
      <c r="F13" s="982">
        <f>VLOOKUP(B13,[2]Hoja1!$C$2:$E$279,3,FALSE)</f>
        <v>17429.990000000002</v>
      </c>
      <c r="G13" s="1023">
        <f t="shared" si="1"/>
        <v>213.73525237500004</v>
      </c>
      <c r="H13" s="525">
        <f t="shared" si="0"/>
        <v>1.2262500000000001E-2</v>
      </c>
      <c r="I13" s="1175">
        <f t="shared" si="2"/>
        <v>4</v>
      </c>
      <c r="J13" s="1220">
        <f t="shared" si="3"/>
        <v>69719.960000000006</v>
      </c>
      <c r="K13" s="527"/>
    </row>
    <row r="14" spans="2:11" x14ac:dyDescent="0.3">
      <c r="B14" s="1479">
        <v>1220004</v>
      </c>
      <c r="C14" s="1692" t="s">
        <v>1340</v>
      </c>
      <c r="D14" s="554">
        <v>2.6487000000000004E-2</v>
      </c>
      <c r="E14" s="1693">
        <v>0.54</v>
      </c>
      <c r="F14" s="982">
        <f>VLOOKUP(B14,[2]Hoja1!$C$2:$E$279,3,FALSE)</f>
        <v>4632</v>
      </c>
      <c r="G14" s="1023">
        <f t="shared" si="1"/>
        <v>122.68778400000002</v>
      </c>
      <c r="H14" s="525">
        <f t="shared" si="0"/>
        <v>2.6487000000000004E-2</v>
      </c>
      <c r="I14" s="1175">
        <f t="shared" si="2"/>
        <v>8.64</v>
      </c>
      <c r="J14" s="1220">
        <f t="shared" si="3"/>
        <v>40020.480000000003</v>
      </c>
      <c r="K14" s="527"/>
    </row>
    <row r="15" spans="2:11" x14ac:dyDescent="0.3">
      <c r="B15" s="1479">
        <v>1260015</v>
      </c>
      <c r="C15" s="1692" t="s">
        <v>785</v>
      </c>
      <c r="D15" s="554">
        <v>0.24525000000000002</v>
      </c>
      <c r="E15" s="1693">
        <v>5</v>
      </c>
      <c r="F15" s="982">
        <f>VLOOKUP(B15,[2]Hoja1!$C$2:$E$279,3,FALSE)</f>
        <v>3450.01</v>
      </c>
      <c r="G15" s="1023">
        <f t="shared" si="1"/>
        <v>846.11495250000019</v>
      </c>
      <c r="H15" s="525">
        <f t="shared" si="0"/>
        <v>0.24525000000000002</v>
      </c>
      <c r="I15" s="1175">
        <f t="shared" si="2"/>
        <v>80</v>
      </c>
      <c r="J15" s="1220">
        <f t="shared" si="3"/>
        <v>276000.80000000005</v>
      </c>
      <c r="K15" s="527"/>
    </row>
    <row r="16" spans="2:11" x14ac:dyDescent="0.3">
      <c r="B16" s="1479">
        <v>1260009</v>
      </c>
      <c r="C16" s="1692" t="s">
        <v>1027</v>
      </c>
      <c r="D16" s="554">
        <v>0.24525000000000002</v>
      </c>
      <c r="E16" s="1693">
        <v>5</v>
      </c>
      <c r="F16" s="982">
        <f>VLOOKUP(B16,[2]Hoja1!$C$2:$E$279,3,FALSE)</f>
        <v>7033.69</v>
      </c>
      <c r="G16" s="1023">
        <f t="shared" si="1"/>
        <v>1725.0124725000001</v>
      </c>
      <c r="H16" s="525">
        <f t="shared" si="0"/>
        <v>0.24525000000000002</v>
      </c>
      <c r="I16" s="1175">
        <f t="shared" si="2"/>
        <v>80</v>
      </c>
      <c r="J16" s="1220"/>
      <c r="K16" s="527"/>
    </row>
    <row r="17" spans="2:11" x14ac:dyDescent="0.3">
      <c r="B17" s="1479">
        <v>1220001</v>
      </c>
      <c r="C17" s="1692" t="s">
        <v>1156</v>
      </c>
      <c r="D17" s="554">
        <v>4.9050000000000005E-3</v>
      </c>
      <c r="E17" s="1693">
        <v>0.1</v>
      </c>
      <c r="F17" s="982">
        <f>VLOOKUP(B17,[2]Hoja1!$C$2:$E$279,3,FALSE)</f>
        <v>85579.98</v>
      </c>
      <c r="G17" s="1023">
        <f t="shared" si="1"/>
        <v>419.7698019</v>
      </c>
      <c r="H17" s="525">
        <f t="shared" si="0"/>
        <v>4.9050000000000005E-3</v>
      </c>
      <c r="I17" s="1175">
        <f t="shared" si="2"/>
        <v>1.6</v>
      </c>
      <c r="J17" s="1220"/>
      <c r="K17" s="527"/>
    </row>
    <row r="18" spans="2:11" x14ac:dyDescent="0.3">
      <c r="B18" s="1479">
        <v>1220009</v>
      </c>
      <c r="C18" s="1692" t="s">
        <v>917</v>
      </c>
      <c r="D18" s="554">
        <v>7.3575000000000003E-3</v>
      </c>
      <c r="E18" s="562">
        <v>0.15</v>
      </c>
      <c r="F18" s="982">
        <f>VLOOKUP(B18,[2]Hoja1!$C$2:$E$279,3,FALSE)</f>
        <v>21312.16</v>
      </c>
      <c r="G18" s="1023">
        <f t="shared" si="1"/>
        <v>156.80421720000001</v>
      </c>
      <c r="H18" s="525">
        <f t="shared" si="0"/>
        <v>7.3575000000000003E-3</v>
      </c>
      <c r="I18" s="1175">
        <f t="shared" si="2"/>
        <v>2.4</v>
      </c>
      <c r="J18" s="1220">
        <f>I18*F18</f>
        <v>51149.184000000001</v>
      </c>
      <c r="K18" s="527"/>
    </row>
    <row r="19" spans="2:11" x14ac:dyDescent="0.3">
      <c r="B19" s="1479">
        <v>1210003</v>
      </c>
      <c r="C19" s="1692" t="s">
        <v>741</v>
      </c>
      <c r="D19" s="554">
        <v>2.4525000000000003E-3</v>
      </c>
      <c r="E19" s="1693">
        <v>0.05</v>
      </c>
      <c r="F19" s="982">
        <f>VLOOKUP(B19,[2]Hoja1!$C$2:$E$279,3,FALSE)</f>
        <v>16235.45</v>
      </c>
      <c r="G19" s="1023">
        <f t="shared" si="1"/>
        <v>39.817441125000009</v>
      </c>
      <c r="H19" s="525">
        <f t="shared" si="0"/>
        <v>2.4525000000000003E-3</v>
      </c>
      <c r="I19" s="1175">
        <f t="shared" si="2"/>
        <v>0.8</v>
      </c>
      <c r="J19" s="1220">
        <f>I19*F19</f>
        <v>12988.36</v>
      </c>
      <c r="K19" s="527"/>
    </row>
    <row r="20" spans="2:11" x14ac:dyDescent="0.3">
      <c r="B20" s="1694">
        <v>1250005</v>
      </c>
      <c r="C20" s="1695" t="s">
        <v>1152</v>
      </c>
      <c r="D20" s="1696">
        <v>9.810000000000001E-3</v>
      </c>
      <c r="E20" s="1697">
        <v>0.2</v>
      </c>
      <c r="F20" s="982">
        <f>VLOOKUP(B20,[2]Hoja1!$C$2:$E$279,3,FALSE)</f>
        <v>66921.05</v>
      </c>
      <c r="G20" s="1023">
        <f t="shared" si="1"/>
        <v>656.49550050000005</v>
      </c>
      <c r="H20" s="525">
        <f t="shared" si="0"/>
        <v>9.810000000000001E-3</v>
      </c>
      <c r="I20" s="1175">
        <f t="shared" si="2"/>
        <v>3.2</v>
      </c>
      <c r="J20" s="1220">
        <f>I20*F20</f>
        <v>214147.36000000002</v>
      </c>
      <c r="K20" s="527"/>
    </row>
    <row r="21" spans="2:11" x14ac:dyDescent="0.3">
      <c r="B21" s="1694">
        <v>1250002</v>
      </c>
      <c r="C21" s="1695" t="s">
        <v>1341</v>
      </c>
      <c r="D21" s="1696">
        <v>1.2262500000000001E-2</v>
      </c>
      <c r="E21" s="1697">
        <v>0.25</v>
      </c>
      <c r="F21" s="982">
        <f>VLOOKUP(B21,[2]Hoja1!$C$2:$E$279,3,FALSE)</f>
        <v>44120.54</v>
      </c>
      <c r="G21" s="1023">
        <f t="shared" si="1"/>
        <v>541.02812175000008</v>
      </c>
      <c r="H21" s="525">
        <f t="shared" si="0"/>
        <v>1.2262500000000001E-2</v>
      </c>
      <c r="I21" s="1175">
        <f t="shared" si="2"/>
        <v>4</v>
      </c>
      <c r="J21" s="1220">
        <f>I21*F21</f>
        <v>176482.16</v>
      </c>
      <c r="K21" s="527"/>
    </row>
    <row r="22" spans="2:11" x14ac:dyDescent="0.3">
      <c r="B22" s="1694">
        <v>1270003</v>
      </c>
      <c r="C22" s="1695" t="s">
        <v>1342</v>
      </c>
      <c r="D22" s="1696">
        <v>2.9429999999999999E-3</v>
      </c>
      <c r="E22" s="1697">
        <v>0.06</v>
      </c>
      <c r="F22" s="982">
        <f>VLOOKUP(B22,[2]Hoja1!$C$2:$E$279,3,FALSE)</f>
        <v>16126.04</v>
      </c>
      <c r="G22" s="1023">
        <f t="shared" si="1"/>
        <v>47.458935719999999</v>
      </c>
      <c r="H22" s="525">
        <f t="shared" si="0"/>
        <v>2.9429999999999999E-3</v>
      </c>
      <c r="I22" s="1175">
        <f t="shared" si="2"/>
        <v>0.96</v>
      </c>
      <c r="J22" s="1220"/>
      <c r="K22" s="527"/>
    </row>
    <row r="23" spans="2:11" x14ac:dyDescent="0.3">
      <c r="B23" s="1917" t="s">
        <v>37</v>
      </c>
      <c r="C23" s="1917"/>
      <c r="D23" s="1433">
        <f>SUM(D5:D21)</f>
        <v>4.9069620000000018</v>
      </c>
      <c r="E23" s="1435">
        <f>SUM(E5:E22)</f>
        <v>100.10000000000002</v>
      </c>
      <c r="F23" s="1435"/>
      <c r="G23" s="1455">
        <f>SUM(G5:G22)</f>
        <v>19219.33161207</v>
      </c>
      <c r="H23" s="1482"/>
      <c r="I23" s="1483">
        <f>SUM(I5:I22)</f>
        <v>1409.6000000000004</v>
      </c>
      <c r="J23" s="1484">
        <f>SUM(J5:J21)</f>
        <v>3398167.344</v>
      </c>
      <c r="K23" s="527"/>
    </row>
    <row r="24" spans="2:11" x14ac:dyDescent="0.3">
      <c r="B24" s="991"/>
      <c r="C24" s="991"/>
      <c r="D24" s="992"/>
      <c r="E24" s="993"/>
      <c r="F24" s="993"/>
      <c r="G24" s="993"/>
      <c r="I24" s="994"/>
      <c r="J24" s="1047"/>
    </row>
    <row r="25" spans="2:11" ht="27" customHeight="1" x14ac:dyDescent="0.3">
      <c r="B25" s="1855" t="s">
        <v>50</v>
      </c>
      <c r="C25" s="1856"/>
      <c r="D25" s="693">
        <f>+C28+(C28*C34%)</f>
        <v>4905</v>
      </c>
      <c r="E25" s="966"/>
      <c r="F25" s="966"/>
      <c r="G25" s="1698"/>
      <c r="H25" s="966"/>
      <c r="I25" s="966"/>
    </row>
    <row r="26" spans="2:11" x14ac:dyDescent="0.3">
      <c r="B26" s="1390" t="s">
        <v>38</v>
      </c>
      <c r="C26" s="997" t="s">
        <v>1343</v>
      </c>
      <c r="G26" s="526"/>
    </row>
    <row r="27" spans="2:11" x14ac:dyDescent="0.3">
      <c r="B27" s="1390" t="s">
        <v>39</v>
      </c>
      <c r="C27" s="997" t="s">
        <v>1344</v>
      </c>
    </row>
    <row r="28" spans="2:11" x14ac:dyDescent="0.3">
      <c r="B28" s="1390" t="s">
        <v>40</v>
      </c>
      <c r="C28" s="997">
        <v>4500</v>
      </c>
    </row>
    <row r="29" spans="2:11" x14ac:dyDescent="0.3">
      <c r="B29" s="1390" t="s">
        <v>41</v>
      </c>
      <c r="C29" s="997">
        <v>0</v>
      </c>
    </row>
    <row r="30" spans="2:11" x14ac:dyDescent="0.3">
      <c r="B30" s="1390" t="s">
        <v>42</v>
      </c>
      <c r="C30" s="997"/>
    </row>
    <row r="31" spans="2:11" x14ac:dyDescent="0.3">
      <c r="B31" s="1390" t="s">
        <v>43</v>
      </c>
      <c r="C31" s="997">
        <v>0.5</v>
      </c>
    </row>
    <row r="32" spans="2:11" x14ac:dyDescent="0.3">
      <c r="B32" s="1390" t="s">
        <v>44</v>
      </c>
      <c r="C32" s="997">
        <v>1</v>
      </c>
      <c r="J32" s="693" t="s">
        <v>85</v>
      </c>
    </row>
    <row r="33" spans="2:12" x14ac:dyDescent="0.3">
      <c r="B33" s="1390" t="s">
        <v>45</v>
      </c>
      <c r="C33" s="997">
        <v>2</v>
      </c>
      <c r="L33" s="1175">
        <f>D39*11</f>
        <v>1.54</v>
      </c>
    </row>
    <row r="34" spans="2:12" x14ac:dyDescent="0.3">
      <c r="B34" s="1390" t="s">
        <v>46</v>
      </c>
      <c r="C34" s="997">
        <v>9</v>
      </c>
      <c r="E34" s="527">
        <v>393.24</v>
      </c>
      <c r="L34" s="1699">
        <f>L33*E39</f>
        <v>750.08780000000002</v>
      </c>
    </row>
    <row r="35" spans="2:12" x14ac:dyDescent="0.3">
      <c r="C35" s="1787" t="s">
        <v>1345</v>
      </c>
      <c r="D35" s="1787"/>
      <c r="E35" s="1787"/>
      <c r="F35" s="1700">
        <v>380.02227340769991</v>
      </c>
    </row>
    <row r="36" spans="2:12" x14ac:dyDescent="0.3">
      <c r="B36" s="1851" t="s">
        <v>1346</v>
      </c>
      <c r="C36" s="1852"/>
      <c r="D36" s="1852"/>
      <c r="E36" s="1852"/>
      <c r="F36" s="1852"/>
      <c r="G36" s="1852"/>
      <c r="H36" s="1852"/>
      <c r="I36" s="1852"/>
    </row>
    <row r="37" spans="2:12" ht="28.5" x14ac:dyDescent="0.3">
      <c r="B37" s="1391" t="s">
        <v>0</v>
      </c>
      <c r="C37" s="1391" t="s">
        <v>1</v>
      </c>
      <c r="D37" s="1393" t="s">
        <v>2</v>
      </c>
      <c r="E37" s="1335" t="str">
        <f>+'[5]CIF Y PV'!$F$4</f>
        <v xml:space="preserve">DIC-COP/UMB </v>
      </c>
      <c r="F37" s="1701" t="str">
        <f>+'[5]CIF Y PV'!$G$4</f>
        <v>DIC-COP/APP</v>
      </c>
      <c r="G37" s="1702"/>
      <c r="H37" s="1702"/>
      <c r="I37" s="1702"/>
      <c r="J37" s="693">
        <v>300000</v>
      </c>
      <c r="L37" s="527" t="s">
        <v>1347</v>
      </c>
    </row>
    <row r="38" spans="2:12" x14ac:dyDescent="0.3">
      <c r="B38" s="563">
        <v>1330022</v>
      </c>
      <c r="C38" s="563" t="s">
        <v>1348</v>
      </c>
      <c r="D38" s="582">
        <v>0.02</v>
      </c>
      <c r="E38" s="582">
        <f>VLOOKUP(B38,[2]Hoja1!$C$2:$E$279,3,FALSE)</f>
        <v>40.869999999999997</v>
      </c>
      <c r="F38" s="1703">
        <f>E38*D38</f>
        <v>0.81740000000000002</v>
      </c>
      <c r="G38" s="1192"/>
      <c r="H38" s="1704"/>
      <c r="I38" s="1192"/>
      <c r="J38" s="693">
        <f>J37*D38</f>
        <v>6000</v>
      </c>
      <c r="L38" s="1705">
        <f>300000*D39</f>
        <v>42000.000000000007</v>
      </c>
    </row>
    <row r="39" spans="2:12" x14ac:dyDescent="0.3">
      <c r="B39" s="563">
        <v>1370009</v>
      </c>
      <c r="C39" s="563" t="s">
        <v>1154</v>
      </c>
      <c r="D39" s="1001">
        <v>0.14000000000000001</v>
      </c>
      <c r="E39" s="582">
        <f>VLOOKUP(B39,[2]Hoja1!$C$2:$E$279,3,FALSE)</f>
        <v>487.07</v>
      </c>
      <c r="F39" s="1703">
        <f>E39*D39</f>
        <v>68.189800000000005</v>
      </c>
      <c r="G39" s="1706"/>
      <c r="H39" s="1704"/>
      <c r="I39" s="1192"/>
      <c r="J39" s="693">
        <f>J37*D39</f>
        <v>42000.000000000007</v>
      </c>
    </row>
    <row r="40" spans="2:12" x14ac:dyDescent="0.3">
      <c r="B40" s="563">
        <v>1310066</v>
      </c>
      <c r="C40" s="563" t="s">
        <v>1291</v>
      </c>
      <c r="D40" s="1001">
        <v>6.0000000000000001E-3</v>
      </c>
      <c r="E40" s="582">
        <f>VLOOKUP(B40,[2]Hoja1!$C$2:$E$279,3,FALSE)</f>
        <v>765.19</v>
      </c>
      <c r="F40" s="1703">
        <f>E40*D40</f>
        <v>4.5911400000000002</v>
      </c>
      <c r="G40" s="1706"/>
      <c r="H40" s="1704"/>
      <c r="I40" s="1192"/>
      <c r="J40" s="693">
        <f>J37*D40</f>
        <v>1800</v>
      </c>
    </row>
    <row r="41" spans="2:12" x14ac:dyDescent="0.3">
      <c r="B41" s="527">
        <v>1320012</v>
      </c>
      <c r="C41" s="527" t="s">
        <v>1307</v>
      </c>
      <c r="D41" s="1191">
        <v>6.0000000000000001E-3</v>
      </c>
      <c r="E41" s="582">
        <f>VLOOKUP(B41,[2]Hoja1!$C$2:$E$279,3,FALSE)</f>
        <v>2131.09</v>
      </c>
      <c r="F41" s="1703">
        <f>E41*D41</f>
        <v>12.78654</v>
      </c>
      <c r="G41" s="1706"/>
      <c r="H41" s="1704"/>
      <c r="I41" s="1192"/>
      <c r="L41" s="1175">
        <f>30000*D39</f>
        <v>4200</v>
      </c>
    </row>
    <row r="42" spans="2:12" x14ac:dyDescent="0.3">
      <c r="B42" s="1391"/>
      <c r="C42" s="1391" t="s">
        <v>37</v>
      </c>
      <c r="D42" s="1393"/>
      <c r="E42" s="1393"/>
      <c r="F42" s="1393">
        <f>SUM(F38:F41)</f>
        <v>86.38488000000001</v>
      </c>
      <c r="G42" s="1707"/>
      <c r="H42" s="1707"/>
      <c r="I42" s="1708"/>
    </row>
    <row r="43" spans="2:12" x14ac:dyDescent="0.3">
      <c r="L43" s="1175">
        <f>23000*D39</f>
        <v>3220.0000000000005</v>
      </c>
    </row>
    <row r="44" spans="2:12" x14ac:dyDescent="0.3">
      <c r="J44" s="527"/>
      <c r="K44" s="527"/>
    </row>
    <row r="45" spans="2:12" x14ac:dyDescent="0.3">
      <c r="B45" s="1807" t="s">
        <v>1349</v>
      </c>
      <c r="C45" s="1807"/>
      <c r="E45" s="1059"/>
      <c r="F45" s="1059"/>
      <c r="G45" s="1059"/>
      <c r="H45" s="1059">
        <f>+F42+G23</f>
        <v>19305.716492070002</v>
      </c>
      <c r="I45" s="1032"/>
      <c r="J45" s="1709"/>
      <c r="K45" s="1710"/>
      <c r="L45" s="1220"/>
    </row>
    <row r="46" spans="2:12" x14ac:dyDescent="0.3">
      <c r="B46" s="1808" t="s">
        <v>48</v>
      </c>
      <c r="C46" s="1809"/>
      <c r="E46" s="1059"/>
      <c r="F46" s="1059"/>
      <c r="G46" s="1059"/>
      <c r="H46" s="1059">
        <f>+(1894/1000)*90</f>
        <v>170.45999999999998</v>
      </c>
      <c r="I46" s="1004"/>
      <c r="J46" s="1709"/>
      <c r="K46" s="1220"/>
      <c r="L46" s="1220"/>
    </row>
    <row r="47" spans="2:12" x14ac:dyDescent="0.3">
      <c r="B47" s="1808" t="s">
        <v>1350</v>
      </c>
      <c r="C47" s="1809"/>
      <c r="E47" s="1059"/>
      <c r="F47" s="1059"/>
      <c r="G47" s="1059"/>
      <c r="H47" s="1059">
        <f>+H46+H45</f>
        <v>19476.176492070001</v>
      </c>
      <c r="I47" s="1004"/>
      <c r="J47" s="1709"/>
      <c r="K47" s="1220"/>
      <c r="L47" s="1220"/>
    </row>
    <row r="48" spans="2:12" x14ac:dyDescent="0.3">
      <c r="B48" s="1807" t="s">
        <v>49</v>
      </c>
      <c r="C48" s="1807"/>
      <c r="E48" s="1059"/>
      <c r="F48" s="1059"/>
      <c r="G48" s="1059"/>
      <c r="H48" s="1059"/>
      <c r="J48" s="1709"/>
      <c r="K48" s="1055"/>
    </row>
    <row r="49" spans="2:12" x14ac:dyDescent="0.3">
      <c r="B49" s="1807" t="s">
        <v>805</v>
      </c>
      <c r="C49" s="1807"/>
      <c r="E49" s="1059"/>
      <c r="F49" s="1059"/>
      <c r="G49" s="1059"/>
      <c r="H49" s="976">
        <f>'MB FEB'!D38</f>
        <v>0</v>
      </c>
      <c r="I49" s="1060"/>
      <c r="J49" s="527"/>
      <c r="K49" s="1060"/>
      <c r="L49" s="697"/>
    </row>
  </sheetData>
  <autoFilter ref="A4:K4" xr:uid="{00000000-0009-0000-0000-000000000000}">
    <sortState xmlns:xlrd2="http://schemas.microsoft.com/office/spreadsheetml/2017/richdata2" ref="A5:K24">
      <sortCondition descending="1" ref="D4"/>
    </sortState>
  </autoFilter>
  <mergeCells count="11">
    <mergeCell ref="B45:C45"/>
    <mergeCell ref="B46:C46"/>
    <mergeCell ref="B47:C47"/>
    <mergeCell ref="B48:C48"/>
    <mergeCell ref="B49:C49"/>
    <mergeCell ref="B36:I36"/>
    <mergeCell ref="B2:I2"/>
    <mergeCell ref="B3:I3"/>
    <mergeCell ref="B23:C23"/>
    <mergeCell ref="B25:C25"/>
    <mergeCell ref="C35:E35"/>
  </mergeCells>
  <pageMargins left="0.7" right="0.7" top="0.75" bottom="0.75" header="0.3" footer="0.3"/>
  <pageSetup scale="36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5A87-B3D2-4DBC-80C2-26E62FE347BE}">
  <sheetPr codeName="Hoja110">
    <tabColor theme="6"/>
  </sheetPr>
  <dimension ref="A2:M54"/>
  <sheetViews>
    <sheetView view="pageBreakPreview" topLeftCell="A35" zoomScale="80" zoomScaleNormal="100" zoomScaleSheetLayoutView="80" workbookViewId="0">
      <selection activeCell="C11" sqref="C11"/>
    </sheetView>
  </sheetViews>
  <sheetFormatPr baseColWidth="10" defaultColWidth="11.5703125" defaultRowHeight="13.5" x14ac:dyDescent="0.25"/>
  <cols>
    <col min="1" max="1" width="8.7109375" style="1" customWidth="1"/>
    <col min="2" max="2" width="11.5703125" style="1"/>
    <col min="3" max="3" width="67.42578125" style="1" bestFit="1" customWidth="1"/>
    <col min="4" max="5" width="11.5703125" style="1"/>
    <col min="6" max="6" width="12.85546875" style="107" bestFit="1" customWidth="1"/>
    <col min="7" max="7" width="13.85546875" style="1" customWidth="1"/>
    <col min="8" max="8" width="12.5703125" style="1" bestFit="1" customWidth="1"/>
    <col min="9" max="9" width="16.42578125" style="1" customWidth="1"/>
    <col min="10" max="10" width="13.42578125" style="1" bestFit="1" customWidth="1"/>
    <col min="11" max="16384" width="11.5703125" style="1"/>
  </cols>
  <sheetData>
    <row r="2" spans="1:13" s="42" customFormat="1" ht="26.25" customHeight="1" x14ac:dyDescent="0.25">
      <c r="B2" s="1743" t="s">
        <v>1324</v>
      </c>
      <c r="C2" s="1743"/>
      <c r="D2" s="1743"/>
      <c r="E2" s="1743"/>
      <c r="F2" s="1743"/>
      <c r="G2" s="1743"/>
      <c r="H2" s="1743"/>
      <c r="I2" s="1743"/>
      <c r="J2" s="89"/>
      <c r="K2" s="89"/>
      <c r="L2" s="89"/>
      <c r="M2" s="89"/>
    </row>
    <row r="4" spans="1:13" s="180" customFormat="1" ht="26.25" customHeight="1" x14ac:dyDescent="0.25">
      <c r="B4" s="1242" t="s">
        <v>0</v>
      </c>
      <c r="C4" s="1242" t="s">
        <v>1</v>
      </c>
      <c r="D4" s="1242" t="s">
        <v>2</v>
      </c>
      <c r="E4" s="1242" t="s">
        <v>3</v>
      </c>
      <c r="F4" s="1243" t="str">
        <f>+'[10]CIF Y PV'!$F$2</f>
        <v xml:space="preserve">DIC-COP/Kg </v>
      </c>
      <c r="G4" s="1243" t="str">
        <f>+'[10]CIF Y PV'!$G$2</f>
        <v>DIC-COP/APP</v>
      </c>
      <c r="H4" s="1243">
        <v>1600</v>
      </c>
      <c r="I4" s="1243"/>
      <c r="J4" s="1244"/>
      <c r="K4" s="1388">
        <f>+D29/1000</f>
        <v>0.44</v>
      </c>
    </row>
    <row r="5" spans="1:13" s="42" customFormat="1" ht="16.5" x14ac:dyDescent="0.25">
      <c r="A5" s="1"/>
      <c r="B5" s="4">
        <f>VLOOKUP(C5,[11]Hoja1!$B$2:$C$260,2,FALSE)</f>
        <v>1112001</v>
      </c>
      <c r="C5" s="70" t="s">
        <v>797</v>
      </c>
      <c r="D5" s="869">
        <v>8.8000000000000009E-2</v>
      </c>
      <c r="E5" s="495">
        <v>20</v>
      </c>
      <c r="F5" s="1687">
        <f>VLOOKUP(B5,[2]Hoja1!$C$2:$E$279,3,FALSE)</f>
        <v>3663.96</v>
      </c>
      <c r="G5" s="72">
        <f>F5*D5</f>
        <v>322.42848000000004</v>
      </c>
      <c r="H5" s="1688">
        <f>$H$4*E5%</f>
        <v>320</v>
      </c>
      <c r="I5" s="73">
        <f>H5*F5</f>
        <v>1172467.2</v>
      </c>
      <c r="J5" s="566"/>
      <c r="K5" s="336">
        <f>$K$4*E5%</f>
        <v>8.8000000000000009E-2</v>
      </c>
    </row>
    <row r="6" spans="1:13" s="42" customFormat="1" ht="16.5" x14ac:dyDescent="0.25">
      <c r="A6" s="1"/>
      <c r="B6" s="4">
        <f>VLOOKUP(C6,[11]Hoja1!$B$2:$C$260,2,FALSE)</f>
        <v>2903003</v>
      </c>
      <c r="C6" s="70" t="s">
        <v>1039</v>
      </c>
      <c r="D6" s="543">
        <v>3.6519985392005849E-2</v>
      </c>
      <c r="E6" s="72">
        <v>8.2999966800013283</v>
      </c>
      <c r="F6" s="1687">
        <f>VLOOKUP(B6,[2]Hoja1!$C$2:$E$279,3,FALSE)</f>
        <v>11506.13</v>
      </c>
      <c r="G6" s="72">
        <f t="shared" ref="G6:G21" si="0">F6*D6</f>
        <v>420.20369951852024</v>
      </c>
      <c r="H6" s="1688">
        <f t="shared" ref="H6:H26" si="1">$H$4*E6%</f>
        <v>132.79994688002125</v>
      </c>
      <c r="I6" s="73">
        <f t="shared" ref="I6:I26" si="2">H6*F6</f>
        <v>1528013.4527946189</v>
      </c>
      <c r="J6" s="560"/>
      <c r="K6" s="336">
        <f t="shared" ref="K6:K26" si="3">$K$4*E6%</f>
        <v>3.6519985392005849E-2</v>
      </c>
    </row>
    <row r="7" spans="1:13" s="42" customFormat="1" ht="16.5" x14ac:dyDescent="0.25">
      <c r="A7" s="1"/>
      <c r="B7" s="4"/>
      <c r="C7" s="70" t="s">
        <v>1318</v>
      </c>
      <c r="D7" s="543">
        <v>3.0799987680004932E-2</v>
      </c>
      <c r="E7" s="72">
        <v>6.999997200001121</v>
      </c>
      <c r="F7" s="1687">
        <v>0</v>
      </c>
      <c r="G7" s="72">
        <f t="shared" si="0"/>
        <v>0</v>
      </c>
      <c r="H7" s="1688">
        <f t="shared" si="1"/>
        <v>111.99995520001794</v>
      </c>
      <c r="I7" s="73">
        <f t="shared" si="2"/>
        <v>0</v>
      </c>
      <c r="J7" s="560"/>
      <c r="K7" s="336">
        <f t="shared" si="3"/>
        <v>3.0799987680004932E-2</v>
      </c>
    </row>
    <row r="8" spans="1:13" s="42" customFormat="1" ht="16.5" x14ac:dyDescent="0.25">
      <c r="A8" s="1"/>
      <c r="B8" s="4">
        <f>VLOOKUP(C8,[11]Hoja1!$B$2:$C$260,2,FALSE)</f>
        <v>2906001</v>
      </c>
      <c r="C8" s="70" t="s">
        <v>831</v>
      </c>
      <c r="D8" s="543">
        <v>6.5339999999999995E-2</v>
      </c>
      <c r="E8" s="72">
        <v>14.85</v>
      </c>
      <c r="F8" s="1687">
        <f>VLOOKUP(B8,[2]Hoja1!$C$2:$E$279,3,FALSE)</f>
        <v>1956.71</v>
      </c>
      <c r="G8" s="72">
        <f t="shared" si="0"/>
        <v>127.8514314</v>
      </c>
      <c r="H8" s="1688">
        <f t="shared" si="1"/>
        <v>237.6</v>
      </c>
      <c r="I8" s="73">
        <f t="shared" si="2"/>
        <v>464914.29599999997</v>
      </c>
      <c r="J8" s="560"/>
      <c r="K8" s="336">
        <f t="shared" si="3"/>
        <v>6.5339999999999995E-2</v>
      </c>
    </row>
    <row r="9" spans="1:13" s="42" customFormat="1" ht="16.5" x14ac:dyDescent="0.25">
      <c r="A9" s="1"/>
      <c r="B9" s="4">
        <v>1131001</v>
      </c>
      <c r="C9" s="70" t="s">
        <v>1163</v>
      </c>
      <c r="D9" s="543">
        <v>2.2000000000000002E-2</v>
      </c>
      <c r="E9" s="72">
        <v>5</v>
      </c>
      <c r="F9" s="1687">
        <f>VLOOKUP(B9,[2]Hoja1!$C$2:$E$279,3,FALSE)</f>
        <v>386.9</v>
      </c>
      <c r="G9" s="72">
        <f t="shared" si="0"/>
        <v>8.5118000000000009</v>
      </c>
      <c r="H9" s="1688">
        <f t="shared" si="1"/>
        <v>80</v>
      </c>
      <c r="I9" s="73">
        <f t="shared" si="2"/>
        <v>30952</v>
      </c>
      <c r="J9" s="560"/>
      <c r="K9" s="336">
        <f t="shared" si="3"/>
        <v>2.2000000000000002E-2</v>
      </c>
    </row>
    <row r="10" spans="1:13" s="42" customFormat="1" ht="16.5" x14ac:dyDescent="0.25">
      <c r="A10" s="1"/>
      <c r="B10" s="4">
        <f>VLOOKUP(C10,[11]Hoja1!$B$2:$C$260,2,FALSE)</f>
        <v>1131002</v>
      </c>
      <c r="C10" s="70" t="s">
        <v>663</v>
      </c>
      <c r="D10" s="867">
        <v>0.11792000000000001</v>
      </c>
      <c r="E10" s="72">
        <v>26.8</v>
      </c>
      <c r="F10" s="1687">
        <f>VLOOKUP(B10,[2]Hoja1!$C$2:$E$279,3,FALSE)</f>
        <v>0</v>
      </c>
      <c r="G10" s="72">
        <f t="shared" si="0"/>
        <v>0</v>
      </c>
      <c r="H10" s="1688">
        <f t="shared" si="1"/>
        <v>428.8</v>
      </c>
      <c r="I10" s="73">
        <f t="shared" si="2"/>
        <v>0</v>
      </c>
      <c r="J10" s="560"/>
      <c r="K10" s="336">
        <f t="shared" si="3"/>
        <v>0.11792000000000001</v>
      </c>
    </row>
    <row r="11" spans="1:13" s="42" customFormat="1" ht="16.5" x14ac:dyDescent="0.25">
      <c r="A11" s="1"/>
      <c r="B11" s="4">
        <f>VLOOKUP(C11,[11]Hoja1!$B$2:$C$260,2,FALSE)</f>
        <v>1260022</v>
      </c>
      <c r="C11" s="70" t="s">
        <v>974</v>
      </c>
      <c r="D11" s="543">
        <v>4.3999982400007038E-3</v>
      </c>
      <c r="E11" s="72">
        <v>0.99999960000015997</v>
      </c>
      <c r="F11" s="1687">
        <f>VLOOKUP(B11,[2]Hoja1!$C$2:$E$279,3,FALSE)</f>
        <v>22988.01</v>
      </c>
      <c r="G11" s="72">
        <f t="shared" si="0"/>
        <v>101.14720354111857</v>
      </c>
      <c r="H11" s="1688">
        <f t="shared" si="1"/>
        <v>15.99999360000256</v>
      </c>
      <c r="I11" s="73">
        <f t="shared" si="2"/>
        <v>367808.01287679479</v>
      </c>
      <c r="J11" s="560"/>
      <c r="K11" s="336">
        <f t="shared" si="3"/>
        <v>4.3999982400007038E-3</v>
      </c>
    </row>
    <row r="12" spans="1:13" s="42" customFormat="1" ht="16.5" x14ac:dyDescent="0.25">
      <c r="A12" s="1"/>
      <c r="B12" s="4">
        <f>VLOOKUP(C12,[11]Hoja1!$B$2:$C$260,2,FALSE)</f>
        <v>1250009</v>
      </c>
      <c r="C12" s="70" t="s">
        <v>1279</v>
      </c>
      <c r="D12" s="867">
        <v>1.93599922560031E-5</v>
      </c>
      <c r="E12" s="193">
        <v>4.3999982400007047E-3</v>
      </c>
      <c r="F12" s="1687">
        <f>VLOOKUP(B12,[2]Hoja1!$C$2:$E$279,3,FALSE)</f>
        <v>83551.55</v>
      </c>
      <c r="G12" s="72">
        <f t="shared" si="0"/>
        <v>1.6175573609770559</v>
      </c>
      <c r="H12" s="1688">
        <f t="shared" si="1"/>
        <v>7.0399971840011275E-2</v>
      </c>
      <c r="I12" s="73">
        <f t="shared" si="2"/>
        <v>5882.0267671892943</v>
      </c>
      <c r="J12" s="560"/>
      <c r="K12" s="336">
        <f t="shared" si="3"/>
        <v>1.93599922560031E-5</v>
      </c>
    </row>
    <row r="13" spans="1:13" s="42" customFormat="1" ht="16.5" x14ac:dyDescent="0.25">
      <c r="A13" s="1"/>
      <c r="B13" s="4">
        <f>VLOOKUP(C13,[11]Hoja1!$B$2:$C$260,2,FALSE)</f>
        <v>1210005</v>
      </c>
      <c r="C13" s="70" t="s">
        <v>1155</v>
      </c>
      <c r="D13" s="543">
        <v>6.5560000000000002E-3</v>
      </c>
      <c r="E13" s="72">
        <v>1.49</v>
      </c>
      <c r="F13" s="1687">
        <f>VLOOKUP(B13,[2]Hoja1!$C$2:$E$279,3,FALSE)</f>
        <v>1356</v>
      </c>
      <c r="G13" s="72">
        <f t="shared" si="0"/>
        <v>8.8899360000000005</v>
      </c>
      <c r="H13" s="1688">
        <f t="shared" si="1"/>
        <v>23.84</v>
      </c>
      <c r="I13" s="73">
        <f t="shared" si="2"/>
        <v>32327.040000000001</v>
      </c>
      <c r="J13" s="560"/>
      <c r="K13" s="336">
        <f t="shared" si="3"/>
        <v>6.5560000000000002E-3</v>
      </c>
    </row>
    <row r="14" spans="1:13" s="42" customFormat="1" ht="16.5" x14ac:dyDescent="0.25">
      <c r="A14" s="1"/>
      <c r="B14" s="4">
        <f>VLOOKUP(C14,[11]Hoja1!$B$2:$C$260,2,FALSE)</f>
        <v>1210004</v>
      </c>
      <c r="C14" s="70" t="s">
        <v>1131</v>
      </c>
      <c r="D14" s="543">
        <v>7.9199999999999995E-4</v>
      </c>
      <c r="E14" s="72">
        <v>0.18</v>
      </c>
      <c r="F14" s="1687">
        <f>VLOOKUP(B14,[2]Hoja1!$C$2:$E$279,3,FALSE)</f>
        <v>3841</v>
      </c>
      <c r="G14" s="72">
        <f t="shared" si="0"/>
        <v>3.0420719999999997</v>
      </c>
      <c r="H14" s="1688">
        <f t="shared" si="1"/>
        <v>2.88</v>
      </c>
      <c r="I14" s="73">
        <f t="shared" si="2"/>
        <v>11062.08</v>
      </c>
      <c r="J14" s="560"/>
      <c r="K14" s="336">
        <f t="shared" si="3"/>
        <v>7.9199999999999995E-4</v>
      </c>
    </row>
    <row r="15" spans="1:13" s="42" customFormat="1" ht="16.5" x14ac:dyDescent="0.25">
      <c r="A15" s="1"/>
      <c r="B15" s="4">
        <f>VLOOKUP(C15,[11]Hoja1!$B$2:$C$260,2,FALSE)</f>
        <v>121007</v>
      </c>
      <c r="C15" s="70" t="s">
        <v>821</v>
      </c>
      <c r="D15" s="543">
        <v>1.7599992960002817E-3</v>
      </c>
      <c r="E15" s="72">
        <v>0.39999984000006406</v>
      </c>
      <c r="F15" s="1687">
        <f>VLOOKUP(B15,[2]Hoja1!$C$2:$E$279,3,FALSE)</f>
        <v>16905</v>
      </c>
      <c r="G15" s="72">
        <f t="shared" si="0"/>
        <v>29.752788098884764</v>
      </c>
      <c r="H15" s="1688">
        <f t="shared" si="1"/>
        <v>6.3999974400010249</v>
      </c>
      <c r="I15" s="73">
        <f t="shared" si="2"/>
        <v>108191.95672321733</v>
      </c>
      <c r="J15" s="560"/>
      <c r="K15" s="336">
        <f t="shared" si="3"/>
        <v>1.7599992960002817E-3</v>
      </c>
    </row>
    <row r="16" spans="1:13" s="42" customFormat="1" ht="16.5" x14ac:dyDescent="0.25">
      <c r="A16" s="1"/>
      <c r="B16" s="4">
        <f>VLOOKUP(C16,[11]Hoja1!$B$2:$C$260,2,FALSE)</f>
        <v>1210003</v>
      </c>
      <c r="C16" s="70" t="s">
        <v>1143</v>
      </c>
      <c r="D16" s="543">
        <v>2.2000000000000001E-4</v>
      </c>
      <c r="E16" s="72">
        <v>0.05</v>
      </c>
      <c r="F16" s="1687">
        <f>VLOOKUP(B16,[2]Hoja1!$C$2:$E$279,3,FALSE)</f>
        <v>16235.45</v>
      </c>
      <c r="G16" s="72">
        <f t="shared" si="0"/>
        <v>3.5717990000000004</v>
      </c>
      <c r="H16" s="1688">
        <f t="shared" si="1"/>
        <v>0.8</v>
      </c>
      <c r="I16" s="73">
        <f t="shared" si="2"/>
        <v>12988.36</v>
      </c>
      <c r="J16" s="560"/>
      <c r="K16" s="336">
        <f t="shared" si="3"/>
        <v>2.2000000000000001E-4</v>
      </c>
    </row>
    <row r="17" spans="1:11" s="42" customFormat="1" ht="16.5" x14ac:dyDescent="0.25">
      <c r="A17" s="1"/>
      <c r="B17" s="4">
        <v>1240007</v>
      </c>
      <c r="C17" s="70" t="s">
        <v>1352</v>
      </c>
      <c r="D17" s="543">
        <v>2.2000000000000001E-3</v>
      </c>
      <c r="E17" s="72">
        <v>0.5</v>
      </c>
      <c r="F17" s="1687">
        <f>VLOOKUP(B17,[2]Hoja1!$C$2:$E$279,3,FALSE)</f>
        <v>25921.42</v>
      </c>
      <c r="G17" s="72">
        <f t="shared" si="0"/>
        <v>57.027124000000001</v>
      </c>
      <c r="H17" s="1688">
        <f t="shared" si="1"/>
        <v>8</v>
      </c>
      <c r="I17" s="73">
        <f t="shared" si="2"/>
        <v>207371.36</v>
      </c>
      <c r="J17" s="560"/>
      <c r="K17" s="336">
        <f t="shared" si="3"/>
        <v>2.2000000000000001E-3</v>
      </c>
    </row>
    <row r="18" spans="1:11" s="42" customFormat="1" ht="16.5" x14ac:dyDescent="0.25">
      <c r="A18" s="1"/>
      <c r="B18" s="4">
        <f>VLOOKUP(C18,[11]Hoja1!$B$2:$C$260,2,FALSE)</f>
        <v>1230008</v>
      </c>
      <c r="C18" s="70" t="s">
        <v>1183</v>
      </c>
      <c r="D18" s="867">
        <v>3.2999986800005283E-3</v>
      </c>
      <c r="E18" s="72">
        <v>0.74999970000012006</v>
      </c>
      <c r="F18" s="1687">
        <f>VLOOKUP(B18,[2]Hoja1!$C$2:$E$279,3,FALSE)</f>
        <v>26735</v>
      </c>
      <c r="G18" s="72">
        <f t="shared" si="0"/>
        <v>88.225464709814119</v>
      </c>
      <c r="H18" s="1688">
        <f t="shared" si="1"/>
        <v>11.999995200001921</v>
      </c>
      <c r="I18" s="73">
        <f t="shared" si="2"/>
        <v>320819.87167205138</v>
      </c>
      <c r="J18" s="560"/>
      <c r="K18" s="336">
        <f t="shared" si="3"/>
        <v>3.2999986800005283E-3</v>
      </c>
    </row>
    <row r="19" spans="1:11" s="42" customFormat="1" ht="16.5" x14ac:dyDescent="0.25">
      <c r="A19" s="1"/>
      <c r="B19" s="4">
        <f>VLOOKUP(C19,[11]Hoja1!$B$2:$C$260,2,FALSE)</f>
        <v>1230010</v>
      </c>
      <c r="C19" s="70" t="s">
        <v>1164</v>
      </c>
      <c r="D19" s="867">
        <v>1.7599992960002817E-3</v>
      </c>
      <c r="E19" s="72">
        <v>0.39999984000006406</v>
      </c>
      <c r="F19" s="1687">
        <f>VLOOKUP(B19,[2]Hoja1!$C$2:$E$279,3,FALSE)</f>
        <v>53831</v>
      </c>
      <c r="G19" s="72">
        <f t="shared" si="0"/>
        <v>94.74252210299116</v>
      </c>
      <c r="H19" s="1688">
        <f t="shared" si="1"/>
        <v>6.3999974400010249</v>
      </c>
      <c r="I19" s="73">
        <f t="shared" si="2"/>
        <v>344518.26219269517</v>
      </c>
      <c r="J19" s="560"/>
      <c r="K19" s="336">
        <f t="shared" si="3"/>
        <v>1.7599992960002817E-3</v>
      </c>
    </row>
    <row r="20" spans="1:11" s="42" customFormat="1" ht="16.5" x14ac:dyDescent="0.25">
      <c r="A20" s="1"/>
      <c r="B20" s="4">
        <f>VLOOKUP(C20,[11]Hoja1!$B$2:$C$260,2,FALSE)</f>
        <v>1220010</v>
      </c>
      <c r="C20" s="70" t="s">
        <v>1144</v>
      </c>
      <c r="D20" s="543">
        <v>2.1999991200003519E-3</v>
      </c>
      <c r="E20" s="72">
        <v>0.49999980000007999</v>
      </c>
      <c r="F20" s="1687">
        <f>VLOOKUP(B20,[2]Hoja1!$C$2:$E$279,3,FALSE)</f>
        <v>4744.72</v>
      </c>
      <c r="G20" s="72">
        <f t="shared" si="0"/>
        <v>10.43837982464807</v>
      </c>
      <c r="H20" s="1688">
        <f t="shared" si="1"/>
        <v>7.9999968000012798</v>
      </c>
      <c r="I20" s="73">
        <f t="shared" si="2"/>
        <v>37957.744816902072</v>
      </c>
      <c r="J20" s="560"/>
      <c r="K20" s="336">
        <f t="shared" si="3"/>
        <v>2.1999991200003519E-3</v>
      </c>
    </row>
    <row r="21" spans="1:11" s="42" customFormat="1" ht="16.5" x14ac:dyDescent="0.25">
      <c r="A21" s="1"/>
      <c r="B21" s="4">
        <f>VLOOKUP(C21,[11]Hoja1!$B$2:$C$260,2,FALSE)</f>
        <v>1270009</v>
      </c>
      <c r="C21" s="70" t="s">
        <v>1319</v>
      </c>
      <c r="D21" s="543">
        <v>2.6399989440004226E-4</v>
      </c>
      <c r="E21" s="72">
        <v>5.99999760000096E-2</v>
      </c>
      <c r="F21" s="1687">
        <f>VLOOKUP(B21,[2]Hoja1!$C$2:$E$279,3,FALSE)</f>
        <v>57046.53</v>
      </c>
      <c r="G21" s="72">
        <f t="shared" si="0"/>
        <v>15.060277895888843</v>
      </c>
      <c r="H21" s="1688">
        <f t="shared" si="1"/>
        <v>0.9599996160001536</v>
      </c>
      <c r="I21" s="73">
        <f t="shared" si="2"/>
        <v>54764.646894141239</v>
      </c>
      <c r="J21" s="560"/>
      <c r="K21" s="336">
        <f t="shared" si="3"/>
        <v>2.6399989440004226E-4</v>
      </c>
    </row>
    <row r="22" spans="1:11" s="42" customFormat="1" ht="16.5" x14ac:dyDescent="0.25">
      <c r="A22" s="1"/>
      <c r="B22" s="4">
        <f>VLOOKUP(C22,[11]Hoja1!$B$2:$C$260,2,FALSE)</f>
        <v>1260009</v>
      </c>
      <c r="C22" s="1513" t="s">
        <v>1027</v>
      </c>
      <c r="D22" s="543">
        <v>2.3539999999999998E-2</v>
      </c>
      <c r="E22" s="72">
        <v>5.35</v>
      </c>
      <c r="F22" s="1687">
        <f>VLOOKUP(B22,[2]Hoja1!$C$2:$E$279,3,FALSE)</f>
        <v>7033.69</v>
      </c>
      <c r="G22" s="72">
        <f>F22*D22</f>
        <v>165.57306259999999</v>
      </c>
      <c r="H22" s="1688">
        <f t="shared" si="1"/>
        <v>85.6</v>
      </c>
      <c r="I22" s="73">
        <f t="shared" si="2"/>
        <v>602083.86399999994</v>
      </c>
      <c r="J22" s="560"/>
      <c r="K22" s="336">
        <f t="shared" si="3"/>
        <v>2.3539999999999998E-2</v>
      </c>
    </row>
    <row r="23" spans="1:11" s="42" customFormat="1" ht="16.5" x14ac:dyDescent="0.25">
      <c r="A23" s="1"/>
      <c r="B23" s="4">
        <f>VLOOKUP(C23,[11]Hoja1!$B$2:$C$260,2,FALSE)</f>
        <v>1260011</v>
      </c>
      <c r="C23" s="1513" t="s">
        <v>739</v>
      </c>
      <c r="D23" s="543">
        <v>2.2000000000000002E-2</v>
      </c>
      <c r="E23" s="72">
        <v>5</v>
      </c>
      <c r="F23" s="1687">
        <f>VLOOKUP(B23,[2]Hoja1!$C$2:$E$279,3,FALSE)</f>
        <v>4450.01</v>
      </c>
      <c r="G23" s="72">
        <f>F23*D23</f>
        <v>97.900220000000019</v>
      </c>
      <c r="H23" s="1688">
        <f t="shared" si="1"/>
        <v>80</v>
      </c>
      <c r="I23" s="73">
        <f t="shared" si="2"/>
        <v>356000.80000000005</v>
      </c>
      <c r="J23" s="560"/>
      <c r="K23" s="336">
        <f t="shared" si="3"/>
        <v>2.2000000000000002E-2</v>
      </c>
    </row>
    <row r="24" spans="1:11" s="42" customFormat="1" ht="16.5" x14ac:dyDescent="0.25">
      <c r="A24" s="1"/>
      <c r="B24" s="4">
        <f>VLOOKUP(C24,[11]Hoja1!$B$2:$C$260,2,FALSE)</f>
        <v>1260005</v>
      </c>
      <c r="C24" s="1513" t="s">
        <v>811</v>
      </c>
      <c r="D24" s="543">
        <v>6.5999973600010566E-3</v>
      </c>
      <c r="E24" s="72">
        <v>1.4999994000002401</v>
      </c>
      <c r="F24" s="1687">
        <f>VLOOKUP(B24,[2]Hoja1!$C$2:$E$279,3,FALSE)</f>
        <v>26429</v>
      </c>
      <c r="G24" s="72">
        <f>F24*D24</f>
        <v>174.43133022746792</v>
      </c>
      <c r="H24" s="1688">
        <f t="shared" si="1"/>
        <v>23.999990400003842</v>
      </c>
      <c r="I24" s="73">
        <f t="shared" si="2"/>
        <v>634295.74628170149</v>
      </c>
      <c r="J24" s="560"/>
      <c r="K24" s="336">
        <f>$K$4*E24%</f>
        <v>6.5999973600010566E-3</v>
      </c>
    </row>
    <row r="25" spans="1:11" s="42" customFormat="1" ht="16.5" x14ac:dyDescent="0.25">
      <c r="A25" s="1"/>
      <c r="B25" s="4">
        <f>VLOOKUP(C25,[11]Hoja1!$B$2:$C$260,2,FALSE)</f>
        <v>1250003</v>
      </c>
      <c r="C25" s="1513" t="s">
        <v>914</v>
      </c>
      <c r="D25" s="543">
        <v>2.8687988524804601E-4</v>
      </c>
      <c r="E25" s="72">
        <v>6.5199973920010451E-2</v>
      </c>
      <c r="F25" s="1687">
        <f>VLOOKUP(B25,[2]Hoja1!$C$2:$E$279,3,FALSE)</f>
        <v>50952.79</v>
      </c>
      <c r="G25" s="72">
        <f t="shared" ref="G25:G26" si="4">F25*D25</f>
        <v>14.617330548267786</v>
      </c>
      <c r="H25" s="1688">
        <f t="shared" si="1"/>
        <v>1.0431995827201672</v>
      </c>
      <c r="I25" s="73">
        <f t="shared" si="2"/>
        <v>53153.929266428313</v>
      </c>
      <c r="J25" s="560"/>
      <c r="K25" s="336">
        <f t="shared" si="3"/>
        <v>2.8687988524804601E-4</v>
      </c>
    </row>
    <row r="26" spans="1:11" s="42" customFormat="1" ht="16.5" x14ac:dyDescent="0.25">
      <c r="A26" s="1"/>
      <c r="B26" s="4">
        <f>VLOOKUP(C26,[11]Hoja1!$B$2:$C$260,2,FALSE)</f>
        <v>1260014</v>
      </c>
      <c r="C26" s="1513" t="s">
        <v>825</v>
      </c>
      <c r="D26" s="543">
        <v>4.3999982400007047E-3</v>
      </c>
      <c r="E26" s="72">
        <v>0.99999960000016019</v>
      </c>
      <c r="F26" s="1687">
        <f>VLOOKUP(B26,[2]Hoja1!$C$2:$E$279,3,FALSE)</f>
        <v>28083.42</v>
      </c>
      <c r="G26" s="72">
        <f t="shared" si="4"/>
        <v>123.56699857320058</v>
      </c>
      <c r="H26" s="1688">
        <f t="shared" si="1"/>
        <v>15.999993600002563</v>
      </c>
      <c r="I26" s="73">
        <f t="shared" si="2"/>
        <v>449334.54026618396</v>
      </c>
      <c r="J26" s="560"/>
      <c r="K26" s="336">
        <f t="shared" si="3"/>
        <v>4.3999982400007047E-3</v>
      </c>
    </row>
    <row r="27" spans="1:11" s="42" customFormat="1" ht="16.5" x14ac:dyDescent="0.25">
      <c r="B27" s="1777"/>
      <c r="C27" s="1778"/>
      <c r="D27" s="1381">
        <f>SUM(D5:D26)</f>
        <v>0.44087820307591885</v>
      </c>
      <c r="E27" s="1382">
        <f>SUM(E5:E26)</f>
        <v>100.19959160816337</v>
      </c>
      <c r="F27" s="1354"/>
      <c r="G27" s="1382">
        <f>SUM(G5:G26)</f>
        <v>1868.5994774017793</v>
      </c>
      <c r="H27" s="1383"/>
      <c r="I27" s="1354">
        <f>SUM(I5:I26)</f>
        <v>6794907.1905519236</v>
      </c>
      <c r="J27" s="1384"/>
      <c r="K27" s="1337"/>
    </row>
    <row r="28" spans="1:11" x14ac:dyDescent="0.25">
      <c r="J28" s="873"/>
    </row>
    <row r="29" spans="1:11" ht="25.5" x14ac:dyDescent="0.35">
      <c r="B29" s="1760" t="s">
        <v>50</v>
      </c>
      <c r="C29" s="1754"/>
      <c r="D29" s="38">
        <f>+C32+(C32*C38%)</f>
        <v>440</v>
      </c>
      <c r="E29" s="91"/>
      <c r="F29" s="186"/>
      <c r="G29" s="91"/>
      <c r="H29" s="91"/>
      <c r="I29" s="91"/>
    </row>
    <row r="30" spans="1:11" ht="16.5" x14ac:dyDescent="0.3">
      <c r="B30" s="1389" t="s">
        <v>38</v>
      </c>
      <c r="C30" s="1115" t="s">
        <v>113</v>
      </c>
      <c r="D30" s="38"/>
      <c r="H30" s="38"/>
    </row>
    <row r="31" spans="1:11" ht="16.5" x14ac:dyDescent="0.3">
      <c r="B31" s="1390" t="s">
        <v>39</v>
      </c>
      <c r="C31" s="997" t="s">
        <v>1323</v>
      </c>
      <c r="D31" s="38"/>
      <c r="H31" s="38"/>
    </row>
    <row r="32" spans="1:11" ht="16.5" x14ac:dyDescent="0.3">
      <c r="B32" s="1390" t="s">
        <v>40</v>
      </c>
      <c r="C32" s="997">
        <v>400</v>
      </c>
      <c r="D32" s="38"/>
      <c r="H32" s="38"/>
    </row>
    <row r="33" spans="2:12" ht="16.5" x14ac:dyDescent="0.3">
      <c r="B33" s="1390" t="s">
        <v>41</v>
      </c>
      <c r="C33" s="997">
        <v>0</v>
      </c>
      <c r="D33" s="38"/>
      <c r="H33" s="38"/>
    </row>
    <row r="34" spans="2:12" ht="16.5" x14ac:dyDescent="0.3">
      <c r="B34" s="1390" t="s">
        <v>42</v>
      </c>
      <c r="C34" s="997">
        <v>0.5</v>
      </c>
      <c r="D34" s="38"/>
      <c r="H34" s="38"/>
    </row>
    <row r="35" spans="2:12" ht="16.5" x14ac:dyDescent="0.3">
      <c r="B35" s="1390" t="s">
        <v>43</v>
      </c>
      <c r="C35" s="997">
        <v>0.5</v>
      </c>
      <c r="D35" s="38"/>
      <c r="H35" s="38"/>
    </row>
    <row r="36" spans="2:12" ht="16.5" x14ac:dyDescent="0.3">
      <c r="B36" s="1390" t="s">
        <v>44</v>
      </c>
      <c r="C36" s="997">
        <v>7</v>
      </c>
      <c r="D36" s="38"/>
      <c r="H36" s="38"/>
    </row>
    <row r="37" spans="2:12" ht="16.5" x14ac:dyDescent="0.3">
      <c r="B37" s="1390" t="s">
        <v>45</v>
      </c>
      <c r="C37" s="997">
        <v>2</v>
      </c>
      <c r="D37" s="38"/>
      <c r="E37" s="1">
        <f>1/24</f>
        <v>4.1666666666666664E-2</v>
      </c>
      <c r="H37" s="38"/>
    </row>
    <row r="38" spans="2:12" ht="16.5" x14ac:dyDescent="0.3">
      <c r="B38" s="1390" t="s">
        <v>46</v>
      </c>
      <c r="C38" s="997">
        <f>C37+C36+C35+C34</f>
        <v>10</v>
      </c>
      <c r="D38" s="38"/>
      <c r="H38" s="38"/>
    </row>
    <row r="40" spans="2:12" ht="25.5" x14ac:dyDescent="0.35">
      <c r="B40" s="1805" t="s">
        <v>47</v>
      </c>
      <c r="C40" s="1806"/>
      <c r="D40" s="1806"/>
      <c r="E40" s="1806"/>
      <c r="F40" s="1806"/>
      <c r="G40" s="1806"/>
      <c r="H40" s="1806"/>
      <c r="I40" s="1806"/>
    </row>
    <row r="41" spans="2:12" ht="25.5" x14ac:dyDescent="0.25">
      <c r="B41" s="1256" t="s">
        <v>0</v>
      </c>
      <c r="C41" s="1256" t="s">
        <v>1</v>
      </c>
      <c r="D41" s="1318" t="s">
        <v>2</v>
      </c>
      <c r="E41" s="1243" t="str">
        <f>+'[10]CIF Y PV'!$F$4</f>
        <v xml:space="preserve">DIC-COP/UMB </v>
      </c>
      <c r="F41" s="1243" t="str">
        <f>+'[10]CIF Y PV'!$G$4</f>
        <v>DIC-COP/APP</v>
      </c>
      <c r="G41" s="1243" t="str">
        <f>+'[10]CIF Y PV'!$H$4</f>
        <v xml:space="preserve">NOV-COP/UMB </v>
      </c>
      <c r="H41" s="1243" t="str">
        <f>+'[10]CIF Y PV'!$I$4</f>
        <v>NOV-COP/APP</v>
      </c>
      <c r="I41" s="1326" t="s">
        <v>3</v>
      </c>
      <c r="J41" s="38">
        <v>1155</v>
      </c>
    </row>
    <row r="42" spans="2:12" ht="16.5" x14ac:dyDescent="0.3">
      <c r="B42" s="563">
        <v>1370051</v>
      </c>
      <c r="C42" s="1689" t="s">
        <v>1320</v>
      </c>
      <c r="D42" s="1001">
        <v>4.2999999999999997E-2</v>
      </c>
      <c r="E42" s="1031">
        <v>5325.93</v>
      </c>
      <c r="F42" s="582">
        <f>E42*D42</f>
        <v>229.01498999999998</v>
      </c>
      <c r="G42" s="582">
        <v>4879.67</v>
      </c>
      <c r="H42" s="582">
        <f t="shared" ref="H42:H46" si="5">G42*D42</f>
        <v>209.82580999999999</v>
      </c>
      <c r="I42" s="560">
        <f>((E42/G42)*100)-100</f>
        <v>9.1452905626814953</v>
      </c>
      <c r="J42" s="38">
        <f>J41*D42</f>
        <v>49.664999999999999</v>
      </c>
      <c r="L42" s="728">
        <f>50000*D42</f>
        <v>2150</v>
      </c>
    </row>
    <row r="43" spans="2:12" ht="16.5" x14ac:dyDescent="0.3">
      <c r="B43" s="563">
        <v>1380002</v>
      </c>
      <c r="C43" s="563" t="s">
        <v>1051</v>
      </c>
      <c r="D43" s="1001">
        <v>8.5999999999999993E-2</v>
      </c>
      <c r="E43" s="1031">
        <f>VLOOKUP(B43,[2]Hoja1!$C$2:$E$279,3,FALSE)</f>
        <v>73.33</v>
      </c>
      <c r="F43" s="582">
        <f t="shared" ref="F43:F46" si="6">E43*D43</f>
        <v>6.306379999999999</v>
      </c>
      <c r="G43" s="582">
        <v>76.61</v>
      </c>
      <c r="H43" s="582">
        <f t="shared" si="5"/>
        <v>6.5884599999999995</v>
      </c>
      <c r="I43" s="560">
        <f>((E43/G43)*100)-100</f>
        <v>-4.281425401383629</v>
      </c>
      <c r="J43" s="38">
        <f>J41*D43</f>
        <v>99.33</v>
      </c>
    </row>
    <row r="44" spans="2:12" ht="16.5" x14ac:dyDescent="0.3">
      <c r="B44" s="563">
        <v>1350018</v>
      </c>
      <c r="C44" s="563" t="s">
        <v>1321</v>
      </c>
      <c r="D44" s="1001">
        <v>4.1599999999999998E-2</v>
      </c>
      <c r="E44" s="1031">
        <f>VLOOKUP(B44,[2]Hoja1!$C$2:$E$279,3,FALSE)</f>
        <v>3281</v>
      </c>
      <c r="F44" s="582">
        <f t="shared" si="6"/>
        <v>136.4896</v>
      </c>
      <c r="G44" s="1238">
        <v>82.65</v>
      </c>
      <c r="H44" s="582">
        <f t="shared" si="5"/>
        <v>3.43824</v>
      </c>
      <c r="I44" s="560">
        <f>((E44/G44)*100)-100</f>
        <v>3869.7519661222018</v>
      </c>
      <c r="J44" s="38"/>
    </row>
    <row r="45" spans="2:12" ht="16.5" x14ac:dyDescent="0.3">
      <c r="B45" s="563">
        <v>1310068</v>
      </c>
      <c r="C45" s="563" t="s">
        <v>1322</v>
      </c>
      <c r="D45" s="1001">
        <v>4.7E-2</v>
      </c>
      <c r="E45" s="1031">
        <f>VLOOKUP(B45,[2]Hoja1!$C$2:$E$279,3,FALSE)</f>
        <v>752</v>
      </c>
      <c r="F45" s="582">
        <f t="shared" si="6"/>
        <v>35.344000000000001</v>
      </c>
      <c r="G45" s="1546">
        <v>144.44999999999999</v>
      </c>
      <c r="H45" s="582">
        <f t="shared" si="5"/>
        <v>6.7891499999999994</v>
      </c>
      <c r="I45" s="560"/>
      <c r="J45" s="38"/>
    </row>
    <row r="46" spans="2:12" ht="16.5" x14ac:dyDescent="0.3">
      <c r="B46" s="563">
        <v>1320006</v>
      </c>
      <c r="C46" s="563" t="s">
        <v>1228</v>
      </c>
      <c r="D46" s="1001">
        <v>4.7E-2</v>
      </c>
      <c r="E46" s="1031">
        <f>VLOOKUP(B46,[2]Hoja1!$C$2:$E$279,3,FALSE)</f>
        <v>963.65</v>
      </c>
      <c r="F46" s="582">
        <f t="shared" si="6"/>
        <v>45.291550000000001</v>
      </c>
      <c r="G46" s="582">
        <v>771.15</v>
      </c>
      <c r="H46" s="582">
        <f t="shared" si="5"/>
        <v>36.244050000000001</v>
      </c>
      <c r="I46" s="560">
        <f>((E46/G46)*100)-100</f>
        <v>24.962718018543725</v>
      </c>
      <c r="J46" s="38">
        <f>J41*D46</f>
        <v>54.284999999999997</v>
      </c>
    </row>
    <row r="47" spans="2:12" ht="16.5" x14ac:dyDescent="0.3">
      <c r="B47" s="563"/>
      <c r="C47" s="1142"/>
      <c r="D47" s="1001"/>
      <c r="E47" s="1031"/>
      <c r="F47" s="582"/>
      <c r="G47" s="582"/>
      <c r="H47" s="582"/>
      <c r="I47" s="560"/>
      <c r="J47" s="38">
        <f>J41*D47</f>
        <v>0</v>
      </c>
    </row>
    <row r="48" spans="2:12" ht="16.5" x14ac:dyDescent="0.25">
      <c r="B48" s="1391"/>
      <c r="C48" s="1391" t="s">
        <v>37</v>
      </c>
      <c r="D48" s="1392"/>
      <c r="E48" s="1393"/>
      <c r="F48" s="1393">
        <f>SUM(F42:F47)</f>
        <v>452.44651999999996</v>
      </c>
      <c r="G48" s="1393"/>
      <c r="H48" s="1393">
        <f>SUM(H42:H47)</f>
        <v>262.88571000000002</v>
      </c>
      <c r="I48" s="1394">
        <f>((F48/H48)*100)-100</f>
        <v>72.107688926872413</v>
      </c>
    </row>
    <row r="50" spans="2:11" ht="16.5" x14ac:dyDescent="0.3">
      <c r="B50" s="1807" t="s">
        <v>196</v>
      </c>
      <c r="C50" s="1807"/>
      <c r="D50" s="527"/>
      <c r="E50" s="1005"/>
      <c r="F50" s="1005"/>
      <c r="G50" s="1005"/>
      <c r="H50" s="1005">
        <f>+F48+G27</f>
        <v>2321.0459974017795</v>
      </c>
      <c r="I50" s="181"/>
      <c r="J50" s="881"/>
      <c r="K50" s="181"/>
    </row>
    <row r="51" spans="2:11" ht="16.5" x14ac:dyDescent="0.3">
      <c r="B51" s="1808" t="s">
        <v>48</v>
      </c>
      <c r="C51" s="1809"/>
      <c r="D51" s="527"/>
      <c r="E51" s="1005"/>
      <c r="F51" s="1005"/>
      <c r="G51" s="1005"/>
      <c r="H51" s="1005">
        <f>+('[10]CIF Y PV'!C3/1000)*400</f>
        <v>680</v>
      </c>
      <c r="I51" s="182"/>
      <c r="J51" s="881"/>
      <c r="K51" s="182"/>
    </row>
    <row r="52" spans="2:11" ht="16.5" x14ac:dyDescent="0.3">
      <c r="B52" s="1808" t="s">
        <v>197</v>
      </c>
      <c r="C52" s="1809"/>
      <c r="D52" s="527"/>
      <c r="E52" s="1005"/>
      <c r="F52" s="1005"/>
      <c r="G52" s="1005"/>
      <c r="H52" s="1005">
        <f>+H51+H50</f>
        <v>3001.0459974017795</v>
      </c>
      <c r="I52" s="152"/>
      <c r="J52" s="881"/>
      <c r="K52" s="152"/>
    </row>
    <row r="53" spans="2:11" ht="16.5" x14ac:dyDescent="0.3">
      <c r="B53" s="1807" t="s">
        <v>49</v>
      </c>
      <c r="C53" s="1807"/>
      <c r="D53" s="527"/>
      <c r="E53" s="1005"/>
      <c r="F53" s="1005"/>
      <c r="G53" s="1005"/>
      <c r="H53" s="1005">
        <v>4250</v>
      </c>
      <c r="J53" s="881"/>
      <c r="K53" s="339"/>
    </row>
    <row r="54" spans="2:11" ht="16.5" x14ac:dyDescent="0.3">
      <c r="B54" s="1807" t="s">
        <v>805</v>
      </c>
      <c r="C54" s="1807"/>
      <c r="D54" s="527"/>
      <c r="E54" s="1005"/>
      <c r="F54" s="1005"/>
      <c r="G54" s="1005"/>
      <c r="H54" s="976">
        <f>+(H53-H52)/H53</f>
        <v>0.29387153002311073</v>
      </c>
      <c r="I54" s="137"/>
      <c r="J54" s="38"/>
      <c r="K54" s="137">
        <f>1-K53</f>
        <v>1</v>
      </c>
    </row>
  </sheetData>
  <mergeCells count="9">
    <mergeCell ref="B52:C52"/>
    <mergeCell ref="B53:C53"/>
    <mergeCell ref="B54:C54"/>
    <mergeCell ref="B2:I2"/>
    <mergeCell ref="B27:C27"/>
    <mergeCell ref="B29:C29"/>
    <mergeCell ref="B40:I40"/>
    <mergeCell ref="B50:C50"/>
    <mergeCell ref="B51:C51"/>
  </mergeCells>
  <pageMargins left="0.7" right="0.7" top="0.75" bottom="0.75" header="0.3" footer="0.3"/>
  <pageSetup scale="42" orientation="portrait" r:id="rId1"/>
  <colBreaks count="1" manualBreakCount="1">
    <brk id="12" max="47" man="1"/>
  </colBreaks>
  <legacy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02D3-577E-454D-B1A0-955B4AC33F1A}">
  <sheetPr codeName="Hoja133"/>
  <dimension ref="A2:M48"/>
  <sheetViews>
    <sheetView view="pageBreakPreview" topLeftCell="A3" zoomScale="90" zoomScaleNormal="100" zoomScaleSheetLayoutView="90" workbookViewId="0">
      <selection activeCell="F16" sqref="F16"/>
    </sheetView>
  </sheetViews>
  <sheetFormatPr baseColWidth="10" defaultColWidth="11.5703125" defaultRowHeight="13.5" x14ac:dyDescent="0.25"/>
  <cols>
    <col min="1" max="1" width="20.5703125" style="1" customWidth="1"/>
    <col min="2" max="2" width="11.5703125" style="1" customWidth="1"/>
    <col min="3" max="3" width="67.42578125" style="1" bestFit="1" customWidth="1"/>
    <col min="4" max="4" width="12.28515625" style="1" customWidth="1"/>
    <col min="5" max="5" width="11.5703125" style="1" customWidth="1"/>
    <col min="6" max="6" width="12.85546875" style="107" customWidth="1"/>
    <col min="7" max="7" width="14.28515625" style="1" customWidth="1"/>
    <col min="8" max="8" width="12.5703125" style="1" customWidth="1"/>
    <col min="9" max="9" width="14.42578125" style="1" customWidth="1"/>
    <col min="10" max="10" width="11.5703125" style="38" customWidth="1"/>
    <col min="11" max="12" width="11.5703125" style="1"/>
    <col min="13" max="13" width="14.42578125" style="1" bestFit="1" customWidth="1"/>
    <col min="14" max="16384" width="11.5703125" style="1"/>
  </cols>
  <sheetData>
    <row r="2" spans="1:13" s="42" customFormat="1" ht="26.25" customHeight="1" x14ac:dyDescent="0.25">
      <c r="B2" s="1743" t="s">
        <v>1073</v>
      </c>
      <c r="C2" s="1743"/>
      <c r="D2" s="1743"/>
      <c r="E2" s="1743"/>
      <c r="F2" s="1743"/>
      <c r="G2" s="1743"/>
      <c r="H2" s="1743"/>
      <c r="I2" s="1743"/>
      <c r="J2" s="730"/>
      <c r="K2" s="89"/>
      <c r="L2" s="89"/>
    </row>
    <row r="4" spans="1:13" s="42" customFormat="1" ht="26.25" customHeight="1" x14ac:dyDescent="0.25">
      <c r="B4" s="128" t="s">
        <v>0</v>
      </c>
      <c r="C4" s="128" t="s">
        <v>1</v>
      </c>
      <c r="D4" s="128" t="s">
        <v>2</v>
      </c>
      <c r="E4" s="128" t="s">
        <v>3</v>
      </c>
      <c r="F4" s="129" t="str">
        <f>+'CIF Y PV'!$F$2</f>
        <v xml:space="preserve">JUN-COP/Kg </v>
      </c>
      <c r="G4" s="129" t="str">
        <f>+'CIF Y PV'!$G$2</f>
        <v>JUN-COP/APP</v>
      </c>
      <c r="H4" s="129" t="str">
        <f>+'CIF Y PV'!$H$2</f>
        <v xml:space="preserve">MAY-COP/Kg </v>
      </c>
      <c r="I4" s="129" t="str">
        <f>+'CIF Y PV'!$I$2</f>
        <v>MAY-COP/APP</v>
      </c>
      <c r="J4" s="138" t="s">
        <v>3</v>
      </c>
      <c r="K4" s="42">
        <f>+D20/1000</f>
        <v>0.66500000000000004</v>
      </c>
      <c r="L4" s="42">
        <v>350</v>
      </c>
    </row>
    <row r="5" spans="1:13" s="42" customFormat="1" ht="16.5" x14ac:dyDescent="0.25">
      <c r="A5" s="1"/>
      <c r="B5" s="4">
        <v>1122002</v>
      </c>
      <c r="C5" s="4" t="s">
        <v>242</v>
      </c>
      <c r="D5" s="869">
        <v>0.53200000000000003</v>
      </c>
      <c r="E5" s="495">
        <v>80</v>
      </c>
      <c r="F5" s="879">
        <f>VLOOKUP(B5,[2]Hoja1!$C$2:$E$279,3,FALSE)</f>
        <v>12500</v>
      </c>
      <c r="G5" s="72">
        <f>F5*D5</f>
        <v>6650</v>
      </c>
      <c r="H5" s="879">
        <v>15000</v>
      </c>
      <c r="I5" s="73">
        <f>H5*D5</f>
        <v>7980</v>
      </c>
      <c r="J5" s="566">
        <f>((F5/H5)*100)-100</f>
        <v>-16.666666666666657</v>
      </c>
      <c r="K5" s="282">
        <f>$K$4*E5%</f>
        <v>0.53200000000000003</v>
      </c>
      <c r="L5" s="336">
        <f>$L$4*E5%</f>
        <v>280</v>
      </c>
      <c r="M5" s="42">
        <f>L5*F5</f>
        <v>3500000</v>
      </c>
    </row>
    <row r="6" spans="1:13" s="42" customFormat="1" ht="16.5" x14ac:dyDescent="0.25">
      <c r="A6" s="1"/>
      <c r="B6" s="4">
        <v>1131001</v>
      </c>
      <c r="C6" s="4" t="s">
        <v>1048</v>
      </c>
      <c r="D6" s="543">
        <v>1.6359000000000002E-2</v>
      </c>
      <c r="E6" s="72">
        <v>2.46</v>
      </c>
      <c r="F6" s="879">
        <f>VLOOKUP(B6,[2]Hoja1!$C$2:$E$279,3,FALSE)</f>
        <v>386.9</v>
      </c>
      <c r="G6" s="72">
        <f t="shared" ref="G6:G17" si="0">F6*D6</f>
        <v>6.3292971000000007</v>
      </c>
      <c r="H6" s="38">
        <v>365</v>
      </c>
      <c r="I6" s="73">
        <f t="shared" ref="I6:I16" si="1">H6*D6</f>
        <v>5.9710350000000005</v>
      </c>
      <c r="J6" s="560">
        <f t="shared" ref="J6:J16" si="2">((F6/H6)*100)-100</f>
        <v>5.9999999999999858</v>
      </c>
      <c r="K6" s="282">
        <f t="shared" ref="K6:K17" si="3">$K$4*E6%</f>
        <v>1.6359000000000002E-2</v>
      </c>
      <c r="L6" s="336">
        <f t="shared" ref="L6:L16" si="4">$L$4*E6%</f>
        <v>8.61</v>
      </c>
      <c r="M6" s="42">
        <f t="shared" ref="M6:M16" si="5">L6*F6</f>
        <v>3331.2089999999994</v>
      </c>
    </row>
    <row r="7" spans="1:13" s="42" customFormat="1" ht="16.5" x14ac:dyDescent="0.25">
      <c r="A7" s="1"/>
      <c r="B7" s="4">
        <v>1131002</v>
      </c>
      <c r="C7" s="4" t="s">
        <v>663</v>
      </c>
      <c r="D7" s="543">
        <v>7.9799999999999996E-2</v>
      </c>
      <c r="E7" s="72">
        <v>11.99</v>
      </c>
      <c r="F7" s="879">
        <f>VLOOKUP(B7,[2]Hoja1!$C$2:$E$279,3,FALSE)</f>
        <v>0</v>
      </c>
      <c r="G7" s="72">
        <f t="shared" si="0"/>
        <v>0</v>
      </c>
      <c r="H7" s="72">
        <v>0</v>
      </c>
      <c r="I7" s="73">
        <f t="shared" si="1"/>
        <v>0</v>
      </c>
      <c r="J7" s="560" t="e">
        <f t="shared" si="2"/>
        <v>#DIV/0!</v>
      </c>
      <c r="K7" s="282">
        <f t="shared" si="3"/>
        <v>7.9733500000000013E-2</v>
      </c>
      <c r="L7" s="336">
        <f t="shared" si="4"/>
        <v>41.965000000000003</v>
      </c>
      <c r="M7" s="42">
        <f t="shared" si="5"/>
        <v>0</v>
      </c>
    </row>
    <row r="8" spans="1:13" s="42" customFormat="1" ht="16.5" x14ac:dyDescent="0.25">
      <c r="A8" s="1"/>
      <c r="B8" s="4">
        <v>1210005</v>
      </c>
      <c r="C8" s="4" t="s">
        <v>1040</v>
      </c>
      <c r="D8" s="543">
        <v>7.980000000000001E-3</v>
      </c>
      <c r="E8" s="72">
        <v>1.2</v>
      </c>
      <c r="F8" s="879">
        <f>VLOOKUP(B8,[2]Hoja1!$C$2:$E$279,3,FALSE)</f>
        <v>1356</v>
      </c>
      <c r="G8" s="72">
        <f t="shared" si="0"/>
        <v>10.820880000000001</v>
      </c>
      <c r="H8" s="896">
        <v>1360</v>
      </c>
      <c r="I8" s="73">
        <f t="shared" si="1"/>
        <v>10.852800000000002</v>
      </c>
      <c r="J8" s="560">
        <f t="shared" si="2"/>
        <v>-0.29411764705882604</v>
      </c>
      <c r="K8" s="282">
        <f t="shared" si="3"/>
        <v>7.980000000000001E-3</v>
      </c>
      <c r="L8" s="336">
        <f t="shared" si="4"/>
        <v>4.2</v>
      </c>
      <c r="M8" s="42">
        <f t="shared" si="5"/>
        <v>5695.2</v>
      </c>
    </row>
    <row r="9" spans="1:13" s="42" customFormat="1" ht="16.5" x14ac:dyDescent="0.25">
      <c r="A9" s="1"/>
      <c r="B9" s="4">
        <v>121007</v>
      </c>
      <c r="C9" s="4" t="s">
        <v>821</v>
      </c>
      <c r="D9" s="543">
        <v>2.66E-3</v>
      </c>
      <c r="E9" s="72">
        <v>0.4</v>
      </c>
      <c r="F9" s="879">
        <f>VLOOKUP(B9,[2]Hoja1!$C$2:$E$279,3,FALSE)</f>
        <v>16905</v>
      </c>
      <c r="G9" s="72">
        <f t="shared" si="0"/>
        <v>44.967300000000002</v>
      </c>
      <c r="H9" s="95">
        <v>16100</v>
      </c>
      <c r="I9" s="73">
        <f t="shared" si="1"/>
        <v>42.826000000000001</v>
      </c>
      <c r="J9" s="560">
        <f t="shared" si="2"/>
        <v>5</v>
      </c>
      <c r="K9" s="282">
        <f t="shared" si="3"/>
        <v>2.66E-3</v>
      </c>
      <c r="L9" s="336">
        <f t="shared" si="4"/>
        <v>1.4000000000000001</v>
      </c>
      <c r="M9" s="42">
        <f t="shared" si="5"/>
        <v>23667.000000000004</v>
      </c>
    </row>
    <row r="10" spans="1:13" s="42" customFormat="1" ht="16.5" x14ac:dyDescent="0.25">
      <c r="A10" s="1"/>
      <c r="B10" s="4">
        <v>1210003</v>
      </c>
      <c r="C10" s="4" t="s">
        <v>741</v>
      </c>
      <c r="D10" s="543">
        <v>3.325E-4</v>
      </c>
      <c r="E10" s="72">
        <v>0.05</v>
      </c>
      <c r="F10" s="879">
        <f>VLOOKUP(B10,[2]Hoja1!$C$2:$E$279,3,FALSE)</f>
        <v>16235.45</v>
      </c>
      <c r="G10" s="72">
        <f t="shared" si="0"/>
        <v>5.3982871250000004</v>
      </c>
      <c r="H10" s="237">
        <v>12852.58</v>
      </c>
      <c r="I10" s="73">
        <f t="shared" si="1"/>
        <v>4.2734828499999997</v>
      </c>
      <c r="J10" s="560">
        <f t="shared" si="2"/>
        <v>26.320551982559152</v>
      </c>
      <c r="K10" s="282">
        <f t="shared" si="3"/>
        <v>3.325E-4</v>
      </c>
      <c r="L10" s="336">
        <f t="shared" si="4"/>
        <v>0.17500000000000002</v>
      </c>
      <c r="M10" s="42">
        <f t="shared" si="5"/>
        <v>2841.2037500000006</v>
      </c>
    </row>
    <row r="11" spans="1:13" s="42" customFormat="1" ht="16.5" x14ac:dyDescent="0.25">
      <c r="A11" s="1"/>
      <c r="B11" s="4">
        <v>1220014</v>
      </c>
      <c r="C11" s="4" t="s">
        <v>822</v>
      </c>
      <c r="D11" s="867">
        <v>1.7290000000000001E-3</v>
      </c>
      <c r="E11" s="72">
        <v>0.26</v>
      </c>
      <c r="F11" s="879">
        <f>VLOOKUP(B11,[2]Hoja1!$C$2:$E$279,3,FALSE)</f>
        <v>14060</v>
      </c>
      <c r="G11" s="72">
        <f t="shared" si="0"/>
        <v>24.309740000000001</v>
      </c>
      <c r="H11" s="880">
        <v>13300.01</v>
      </c>
      <c r="I11" s="73">
        <f t="shared" si="1"/>
        <v>22.995717290000002</v>
      </c>
      <c r="J11" s="560">
        <f t="shared" si="2"/>
        <v>5.7142062299201086</v>
      </c>
      <c r="K11" s="282">
        <f t="shared" si="3"/>
        <v>1.7290000000000001E-3</v>
      </c>
      <c r="L11" s="336">
        <f t="shared" si="4"/>
        <v>0.90999999999999992</v>
      </c>
      <c r="M11" s="42">
        <f t="shared" si="5"/>
        <v>12794.599999999999</v>
      </c>
    </row>
    <row r="12" spans="1:13" s="42" customFormat="1" ht="16.5" x14ac:dyDescent="0.25">
      <c r="A12" s="1"/>
      <c r="B12" s="4">
        <v>1240002</v>
      </c>
      <c r="C12" s="4" t="s">
        <v>1016</v>
      </c>
      <c r="D12" s="543">
        <v>3.3250000000000003E-3</v>
      </c>
      <c r="E12" s="72">
        <v>0.5</v>
      </c>
      <c r="F12" s="879">
        <f>VLOOKUP(B12,[2]Hoja1!$C$2:$E$279,3,FALSE)</f>
        <v>66115.8</v>
      </c>
      <c r="G12" s="72">
        <f t="shared" si="0"/>
        <v>219.83503500000003</v>
      </c>
      <c r="H12" s="914">
        <v>70840.75</v>
      </c>
      <c r="I12" s="73">
        <f t="shared" si="1"/>
        <v>235.54549375000002</v>
      </c>
      <c r="J12" s="560">
        <f t="shared" si="2"/>
        <v>-6.6698192777461998</v>
      </c>
      <c r="K12" s="282">
        <f t="shared" si="3"/>
        <v>3.3250000000000003E-3</v>
      </c>
      <c r="L12" s="336">
        <f t="shared" si="4"/>
        <v>1.75</v>
      </c>
      <c r="M12" s="42">
        <f t="shared" si="5"/>
        <v>115702.65000000001</v>
      </c>
    </row>
    <row r="13" spans="1:13" s="42" customFormat="1" ht="16.5" x14ac:dyDescent="0.25">
      <c r="A13" s="1"/>
      <c r="B13" s="4">
        <v>1230008</v>
      </c>
      <c r="C13" s="4" t="s">
        <v>1049</v>
      </c>
      <c r="D13" s="867">
        <v>3.5245000000000003E-3</v>
      </c>
      <c r="E13" s="72">
        <v>0.53</v>
      </c>
      <c r="F13" s="879">
        <f>VLOOKUP(B13,[2]Hoja1!$C$2:$E$279,3,FALSE)</f>
        <v>26735</v>
      </c>
      <c r="G13" s="72">
        <f t="shared" si="0"/>
        <v>94.227507500000002</v>
      </c>
      <c r="H13" s="880">
        <v>25396</v>
      </c>
      <c r="I13" s="73">
        <f t="shared" si="1"/>
        <v>89.508202000000011</v>
      </c>
      <c r="J13" s="560">
        <f t="shared" si="2"/>
        <v>5.2724838557253122</v>
      </c>
      <c r="K13" s="282">
        <f t="shared" si="3"/>
        <v>3.5245000000000003E-3</v>
      </c>
      <c r="L13" s="336">
        <f t="shared" si="4"/>
        <v>1.855</v>
      </c>
      <c r="M13" s="42">
        <f t="shared" si="5"/>
        <v>49593.425000000003</v>
      </c>
    </row>
    <row r="14" spans="1:13" s="42" customFormat="1" ht="16.5" x14ac:dyDescent="0.25">
      <c r="A14" s="1"/>
      <c r="B14" s="4">
        <v>1230010</v>
      </c>
      <c r="C14" s="4" t="s">
        <v>1050</v>
      </c>
      <c r="D14" s="543">
        <v>2.66E-3</v>
      </c>
      <c r="E14" s="72">
        <v>0.4</v>
      </c>
      <c r="F14" s="879">
        <f>VLOOKUP(B14,[2]Hoja1!$C$2:$E$279,3,FALSE)</f>
        <v>53831</v>
      </c>
      <c r="G14" s="72">
        <f t="shared" si="0"/>
        <v>143.19046</v>
      </c>
      <c r="H14" s="914">
        <v>50310</v>
      </c>
      <c r="I14" s="73">
        <f t="shared" si="1"/>
        <v>133.8246</v>
      </c>
      <c r="J14" s="560">
        <f t="shared" si="2"/>
        <v>6.9986086265156047</v>
      </c>
      <c r="K14" s="282">
        <f t="shared" si="3"/>
        <v>2.66E-3</v>
      </c>
      <c r="L14" s="336">
        <f t="shared" si="4"/>
        <v>1.4000000000000001</v>
      </c>
      <c r="M14" s="42">
        <f t="shared" si="5"/>
        <v>75363.400000000009</v>
      </c>
    </row>
    <row r="15" spans="1:13" s="42" customFormat="1" ht="16.5" x14ac:dyDescent="0.25">
      <c r="A15" s="1"/>
      <c r="B15" s="4">
        <v>1260017</v>
      </c>
      <c r="C15" s="4" t="s">
        <v>832</v>
      </c>
      <c r="D15" s="543">
        <v>1.45635E-2</v>
      </c>
      <c r="E15" s="72">
        <v>2.19</v>
      </c>
      <c r="F15" s="879">
        <f>VLOOKUP(B15,[2]Hoja1!$C$2:$E$279,3,FALSE)</f>
        <v>4500</v>
      </c>
      <c r="G15" s="72">
        <f t="shared" si="0"/>
        <v>65.535750000000007</v>
      </c>
      <c r="H15" s="914">
        <v>4500</v>
      </c>
      <c r="I15" s="73">
        <f t="shared" si="1"/>
        <v>65.535750000000007</v>
      </c>
      <c r="J15" s="560">
        <f t="shared" si="2"/>
        <v>0</v>
      </c>
      <c r="K15" s="282">
        <f t="shared" si="3"/>
        <v>1.45635E-2</v>
      </c>
      <c r="L15" s="336">
        <f t="shared" si="4"/>
        <v>7.665</v>
      </c>
      <c r="M15" s="42">
        <f t="shared" si="5"/>
        <v>34492.5</v>
      </c>
    </row>
    <row r="16" spans="1:13" s="42" customFormat="1" ht="16.5" x14ac:dyDescent="0.25">
      <c r="A16" s="1"/>
      <c r="B16" s="4">
        <v>1220008</v>
      </c>
      <c r="C16" s="4" t="s">
        <v>915</v>
      </c>
      <c r="D16" s="543">
        <v>1.3300000000000001E-4</v>
      </c>
      <c r="E16" s="72">
        <v>0.02</v>
      </c>
      <c r="F16" s="879">
        <f>VLOOKUP(B16,[2]Hoja1!$C$2:$E$279,3,FALSE)</f>
        <v>50476.2</v>
      </c>
      <c r="G16" s="72">
        <f t="shared" si="0"/>
        <v>6.7133345999999996</v>
      </c>
      <c r="H16" s="25">
        <v>48608.39</v>
      </c>
      <c r="I16" s="73">
        <f t="shared" si="1"/>
        <v>6.4649158700000005</v>
      </c>
      <c r="J16" s="560">
        <f t="shared" si="2"/>
        <v>3.8425670959272509</v>
      </c>
      <c r="K16" s="282">
        <f t="shared" si="3"/>
        <v>1.3300000000000001E-4</v>
      </c>
      <c r="L16" s="336">
        <f t="shared" si="4"/>
        <v>7.0000000000000007E-2</v>
      </c>
      <c r="M16" s="42">
        <f t="shared" si="5"/>
        <v>3533.3340000000003</v>
      </c>
    </row>
    <row r="17" spans="1:13" s="42" customFormat="1" ht="16.5" x14ac:dyDescent="0.25">
      <c r="A17" s="1"/>
      <c r="B17" s="4"/>
      <c r="C17" s="70"/>
      <c r="D17" s="543"/>
      <c r="E17" s="72"/>
      <c r="F17" s="879"/>
      <c r="G17" s="72">
        <f t="shared" si="0"/>
        <v>0</v>
      </c>
      <c r="H17" s="95"/>
      <c r="I17" s="73"/>
      <c r="J17" s="560"/>
      <c r="K17" s="282">
        <f t="shared" si="3"/>
        <v>0</v>
      </c>
      <c r="M17" s="345">
        <f>SUM(M5:M16)</f>
        <v>3827014.5217499994</v>
      </c>
    </row>
    <row r="18" spans="1:13" s="42" customFormat="1" ht="16.5" x14ac:dyDescent="0.25">
      <c r="B18" s="1814"/>
      <c r="C18" s="1815"/>
      <c r="D18" s="104">
        <f>SUM(D5:D17)</f>
        <v>0.6650665</v>
      </c>
      <c r="E18" s="75">
        <f>SUM(E5:E17)</f>
        <v>100</v>
      </c>
      <c r="F18" s="90"/>
      <c r="G18" s="865">
        <f>SUM(G5:G17)</f>
        <v>7271.327591325</v>
      </c>
      <c r="H18" s="76"/>
      <c r="I18" s="1206">
        <f>SUM(I5:I17)</f>
        <v>8597.7979967599986</v>
      </c>
      <c r="J18" s="904">
        <f>((G18/I18)*100)-100</f>
        <v>-15.428024779540834</v>
      </c>
      <c r="K18" s="336"/>
    </row>
    <row r="20" spans="1:13" ht="25.5" x14ac:dyDescent="0.35">
      <c r="B20" s="1881" t="s">
        <v>50</v>
      </c>
      <c r="C20" s="1882"/>
      <c r="D20" s="38">
        <f>+C23+(C23*C29%)</f>
        <v>665</v>
      </c>
      <c r="E20" s="91"/>
      <c r="F20" s="186"/>
      <c r="G20" s="91"/>
      <c r="H20" s="91"/>
      <c r="I20" s="91"/>
    </row>
    <row r="21" spans="1:13" x14ac:dyDescent="0.25">
      <c r="B21" s="92" t="s">
        <v>38</v>
      </c>
      <c r="C21" s="93" t="s">
        <v>113</v>
      </c>
      <c r="D21" s="38"/>
      <c r="H21" s="38"/>
    </row>
    <row r="22" spans="1:13" x14ac:dyDescent="0.25">
      <c r="B22" s="20" t="s">
        <v>39</v>
      </c>
      <c r="C22" s="21" t="s">
        <v>1078</v>
      </c>
      <c r="D22" s="38"/>
      <c r="H22" s="38"/>
    </row>
    <row r="23" spans="1:13" x14ac:dyDescent="0.25">
      <c r="B23" s="20" t="s">
        <v>40</v>
      </c>
      <c r="C23" s="21">
        <v>500</v>
      </c>
      <c r="D23" s="38"/>
      <c r="H23" s="38"/>
    </row>
    <row r="24" spans="1:13" x14ac:dyDescent="0.25">
      <c r="B24" s="20" t="s">
        <v>41</v>
      </c>
      <c r="C24" s="21">
        <v>0</v>
      </c>
      <c r="D24" s="38"/>
      <c r="H24" s="38"/>
    </row>
    <row r="25" spans="1:13" x14ac:dyDescent="0.25">
      <c r="B25" s="20" t="s">
        <v>42</v>
      </c>
      <c r="C25" s="21">
        <v>9</v>
      </c>
      <c r="D25" s="38"/>
      <c r="H25" s="38"/>
    </row>
    <row r="26" spans="1:13" x14ac:dyDescent="0.25">
      <c r="B26" s="20" t="s">
        <v>43</v>
      </c>
      <c r="C26" s="21">
        <v>2</v>
      </c>
      <c r="D26" s="38"/>
      <c r="H26" s="38"/>
    </row>
    <row r="27" spans="1:13" x14ac:dyDescent="0.25">
      <c r="B27" s="20" t="s">
        <v>44</v>
      </c>
      <c r="C27" s="21">
        <v>2</v>
      </c>
      <c r="D27" s="38"/>
      <c r="H27" s="38"/>
    </row>
    <row r="28" spans="1:13" x14ac:dyDescent="0.25">
      <c r="B28" s="20" t="s">
        <v>45</v>
      </c>
      <c r="C28" s="21">
        <v>20</v>
      </c>
      <c r="D28" s="38"/>
      <c r="H28" s="38"/>
    </row>
    <row r="29" spans="1:13" x14ac:dyDescent="0.25">
      <c r="B29" s="20" t="s">
        <v>46</v>
      </c>
      <c r="C29" s="21">
        <f>SUM(C24:C28)</f>
        <v>33</v>
      </c>
      <c r="D29" s="38"/>
      <c r="H29" s="38"/>
    </row>
    <row r="31" spans="1:13" ht="25.5" x14ac:dyDescent="0.35">
      <c r="B31" s="1839" t="s">
        <v>47</v>
      </c>
      <c r="C31" s="1840"/>
      <c r="D31" s="1840"/>
      <c r="E31" s="1840"/>
      <c r="F31" s="1840"/>
      <c r="G31" s="1840"/>
      <c r="H31" s="1840"/>
      <c r="I31" s="1840"/>
    </row>
    <row r="32" spans="1:13" s="120" customFormat="1" ht="25.5" x14ac:dyDescent="0.25">
      <c r="B32" s="132" t="s">
        <v>0</v>
      </c>
      <c r="C32" s="132" t="s">
        <v>1</v>
      </c>
      <c r="D32" s="164" t="s">
        <v>2</v>
      </c>
      <c r="E32" s="129" t="str">
        <f>+'CIF Y PV'!$F$4</f>
        <v xml:space="preserve">JUN-COP/UMB </v>
      </c>
      <c r="F32" s="129" t="str">
        <f>+'CIF Y PV'!$G$4</f>
        <v>JUN-COP/APP</v>
      </c>
      <c r="G32" s="129" t="str">
        <f>+'CIF Y PV'!$H$4</f>
        <v xml:space="preserve">MAY-COP/UMB </v>
      </c>
      <c r="H32" s="129" t="str">
        <f>+'CIF Y PV'!$I$4</f>
        <v>MAY-COP/APP</v>
      </c>
      <c r="I32" s="2" t="s">
        <v>3</v>
      </c>
      <c r="J32" s="146">
        <v>2310</v>
      </c>
    </row>
    <row r="33" spans="2:11" x14ac:dyDescent="0.25">
      <c r="B33" s="4">
        <v>1380002</v>
      </c>
      <c r="C33" s="4" t="s">
        <v>1051</v>
      </c>
      <c r="D33" s="103">
        <v>4</v>
      </c>
      <c r="E33" s="24">
        <f>VLOOKUP(B33,[3]Hoja1!$C$2:$E$295,3,FALSE)</f>
        <v>74.11</v>
      </c>
      <c r="F33" s="103">
        <f t="shared" ref="F33:F38" si="6">E33*D33</f>
        <v>296.44</v>
      </c>
      <c r="G33" s="24">
        <v>76.61</v>
      </c>
      <c r="H33" s="24">
        <f t="shared" ref="H33:H38" si="7">G33*D33</f>
        <v>306.44</v>
      </c>
      <c r="I33" s="643">
        <f>((F33/H33)*100)-100</f>
        <v>-3.2632815559326502</v>
      </c>
      <c r="J33" s="38">
        <f>J32*D33</f>
        <v>9240</v>
      </c>
    </row>
    <row r="34" spans="2:11" x14ac:dyDescent="0.25">
      <c r="B34" s="4">
        <v>1220020</v>
      </c>
      <c r="C34" s="4" t="s">
        <v>1077</v>
      </c>
      <c r="D34" s="103">
        <v>0.08</v>
      </c>
      <c r="E34" s="24">
        <f>VLOOKUP(B34,[3]Hoja1!$C$2:$E$295,3,FALSE)</f>
        <v>8200</v>
      </c>
      <c r="F34" s="103">
        <f t="shared" si="6"/>
        <v>656</v>
      </c>
      <c r="G34" s="24">
        <v>7475</v>
      </c>
      <c r="H34" s="24">
        <f t="shared" si="7"/>
        <v>598</v>
      </c>
      <c r="I34" s="643">
        <f>((F34/H34)*100)-100</f>
        <v>9.6989966555183855</v>
      </c>
      <c r="J34" s="38">
        <f>J32*D34</f>
        <v>184.8</v>
      </c>
    </row>
    <row r="35" spans="2:11" x14ac:dyDescent="0.25">
      <c r="B35" s="4">
        <v>1340010</v>
      </c>
      <c r="C35" s="4" t="s">
        <v>1076</v>
      </c>
      <c r="D35" s="103">
        <v>1</v>
      </c>
      <c r="E35" s="24">
        <f>VLOOKUP(B35,[3]Hoja1!$C$2:$E$295,3,FALSE)</f>
        <v>306.42</v>
      </c>
      <c r="F35" s="103">
        <f t="shared" si="6"/>
        <v>306.42</v>
      </c>
      <c r="G35" s="24">
        <v>306.42</v>
      </c>
      <c r="H35" s="24">
        <f t="shared" si="7"/>
        <v>306.42</v>
      </c>
      <c r="I35" s="643">
        <f>((F35/H35)*100)-100</f>
        <v>0</v>
      </c>
    </row>
    <row r="36" spans="2:11" x14ac:dyDescent="0.25">
      <c r="B36" s="4">
        <v>1370026</v>
      </c>
      <c r="C36" s="4" t="s">
        <v>1075</v>
      </c>
      <c r="D36" s="103">
        <v>0.2</v>
      </c>
      <c r="E36" s="24">
        <f>VLOOKUP(B36,[3]Hoja1!$C$2:$E$295,3,FALSE)</f>
        <v>10084.84</v>
      </c>
      <c r="F36" s="103">
        <f t="shared" si="6"/>
        <v>2016.9680000000001</v>
      </c>
      <c r="G36" s="24">
        <v>11479.43</v>
      </c>
      <c r="H36" s="24">
        <f t="shared" si="7"/>
        <v>2295.886</v>
      </c>
      <c r="I36" s="643">
        <f>((F36/H36)*100)-100</f>
        <v>-12.148599712703501</v>
      </c>
      <c r="J36" s="38">
        <f>J32*D36</f>
        <v>462</v>
      </c>
    </row>
    <row r="37" spans="2:11" x14ac:dyDescent="0.25">
      <c r="B37" s="4">
        <v>1370027</v>
      </c>
      <c r="C37" s="4" t="s">
        <v>1074</v>
      </c>
      <c r="D37" s="103">
        <v>0.28000000000000003</v>
      </c>
      <c r="E37" s="24">
        <f>VLOOKUP(B37,[3]Hoja1!$C$2:$E$295,3,FALSE)</f>
        <v>3530.34</v>
      </c>
      <c r="F37" s="103">
        <f t="shared" si="6"/>
        <v>988.49520000000018</v>
      </c>
      <c r="G37" s="24">
        <v>3800.72</v>
      </c>
      <c r="H37" s="24">
        <f t="shared" si="7"/>
        <v>1064.2016000000001</v>
      </c>
      <c r="I37" s="643">
        <f>((F37/H37)*100)-100</f>
        <v>-7.1139152581616116</v>
      </c>
      <c r="J37" s="38">
        <f>J32*D37</f>
        <v>646.80000000000007</v>
      </c>
    </row>
    <row r="38" spans="2:11" x14ac:dyDescent="0.25">
      <c r="B38" s="4">
        <v>1330085</v>
      </c>
      <c r="C38" s="1" t="s">
        <v>1292</v>
      </c>
      <c r="D38" s="307">
        <v>1</v>
      </c>
      <c r="E38" s="24">
        <f>VLOOKUP(B38,[3]Hoja1!$C$2:$E$295,3,FALSE)</f>
        <v>128.9</v>
      </c>
      <c r="F38" s="103">
        <f t="shared" si="6"/>
        <v>128.9</v>
      </c>
      <c r="G38" s="115">
        <v>40.200000000000003</v>
      </c>
      <c r="H38" s="24">
        <f t="shared" si="7"/>
        <v>40.200000000000003</v>
      </c>
      <c r="I38" s="886"/>
    </row>
    <row r="39" spans="2:11" ht="16.899999999999999" customHeight="1" x14ac:dyDescent="0.25">
      <c r="B39" s="22"/>
      <c r="C39" s="22" t="s">
        <v>37</v>
      </c>
      <c r="D39" s="102"/>
      <c r="E39" s="23"/>
      <c r="F39" s="868">
        <f>SUM(F33:F38)</f>
        <v>4393.2232000000004</v>
      </c>
      <c r="G39" s="651"/>
      <c r="H39" s="651">
        <f>SUM(H33:H38)</f>
        <v>4611.1476000000002</v>
      </c>
      <c r="I39" s="802">
        <f>((F39/H39)*100)-100</f>
        <v>-4.7260339269989942</v>
      </c>
    </row>
    <row r="40" spans="2:11" x14ac:dyDescent="0.25">
      <c r="H40" s="1" t="str">
        <f>+'CIF Y PV'!$G$1</f>
        <v>MAYO</v>
      </c>
      <c r="J40" s="1"/>
    </row>
    <row r="41" spans="2:11" x14ac:dyDescent="0.25">
      <c r="B41" s="1825" t="s">
        <v>410</v>
      </c>
      <c r="C41" s="1825"/>
      <c r="E41" s="881"/>
      <c r="F41" s="881"/>
      <c r="G41" s="881"/>
      <c r="H41" s="881">
        <f>+F39+G18</f>
        <v>11664.550791325</v>
      </c>
      <c r="I41" s="181"/>
      <c r="J41" s="881"/>
      <c r="K41" s="181"/>
    </row>
    <row r="42" spans="2:11" x14ac:dyDescent="0.25">
      <c r="B42" s="1830" t="s">
        <v>48</v>
      </c>
      <c r="C42" s="1831"/>
      <c r="E42" s="881"/>
      <c r="F42" s="881"/>
      <c r="G42" s="881"/>
      <c r="H42" s="881">
        <f>+('CIF Y PV'!C3/1000)*500</f>
        <v>945</v>
      </c>
      <c r="I42" s="182"/>
      <c r="J42" s="881"/>
      <c r="K42" s="182"/>
    </row>
    <row r="43" spans="2:11" x14ac:dyDescent="0.25">
      <c r="B43" s="1830" t="s">
        <v>92</v>
      </c>
      <c r="C43" s="1831"/>
      <c r="E43" s="881"/>
      <c r="F43" s="881"/>
      <c r="G43" s="881"/>
      <c r="H43" s="881">
        <f>+H42+H41</f>
        <v>12609.550791325</v>
      </c>
      <c r="I43" s="152"/>
      <c r="J43" s="881"/>
      <c r="K43" s="152"/>
    </row>
    <row r="44" spans="2:11" x14ac:dyDescent="0.25">
      <c r="B44" s="1825" t="s">
        <v>49</v>
      </c>
      <c r="C44" s="1825"/>
      <c r="E44" s="881"/>
      <c r="F44" s="881"/>
      <c r="G44" s="881"/>
      <c r="H44" s="1215">
        <f>'CIF Y PV'!C71</f>
        <v>27050</v>
      </c>
      <c r="J44" s="881"/>
      <c r="K44" s="339"/>
    </row>
    <row r="45" spans="2:11" x14ac:dyDescent="0.25">
      <c r="B45" s="1825" t="s">
        <v>805</v>
      </c>
      <c r="C45" s="1825"/>
      <c r="E45" s="881"/>
      <c r="F45" s="881"/>
      <c r="G45" s="881"/>
      <c r="H45" s="928">
        <f>+(H44-H43)/H44</f>
        <v>0.53384285429482436</v>
      </c>
      <c r="I45" s="137"/>
      <c r="K45" s="137"/>
    </row>
    <row r="48" spans="2:11" x14ac:dyDescent="0.25">
      <c r="F48" s="107" t="s">
        <v>85</v>
      </c>
    </row>
  </sheetData>
  <mergeCells count="9">
    <mergeCell ref="B43:C43"/>
    <mergeCell ref="B44:C44"/>
    <mergeCell ref="B45:C45"/>
    <mergeCell ref="B2:I2"/>
    <mergeCell ref="B18:C18"/>
    <mergeCell ref="B20:C20"/>
    <mergeCell ref="B31:I31"/>
    <mergeCell ref="B41:C41"/>
    <mergeCell ref="B42:C42"/>
  </mergeCells>
  <pageMargins left="0.7" right="0.7" top="0.75" bottom="0.75" header="0.3" footer="0.3"/>
  <pageSetup scale="38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71DE-CC44-43E1-B21A-069ED2AE947E}">
  <sheetPr codeName="Hoja134"/>
  <dimension ref="B2:N85"/>
  <sheetViews>
    <sheetView view="pageBreakPreview" topLeftCell="B61" zoomScale="80" zoomScaleNormal="100" zoomScaleSheetLayoutView="80" workbookViewId="0">
      <selection activeCell="G77" sqref="G77"/>
    </sheetView>
  </sheetViews>
  <sheetFormatPr baseColWidth="10" defaultColWidth="11.42578125" defaultRowHeight="16.5" x14ac:dyDescent="0.25"/>
  <cols>
    <col min="1" max="1" width="7.85546875" style="42" customWidth="1"/>
    <col min="2" max="2" width="16.28515625" style="42" customWidth="1"/>
    <col min="3" max="3" width="58.42578125" style="42" customWidth="1"/>
    <col min="4" max="4" width="60" style="42" customWidth="1"/>
    <col min="5" max="5" width="16.42578125" style="42" customWidth="1"/>
    <col min="6" max="6" width="13.42578125" style="42" customWidth="1"/>
    <col min="7" max="7" width="14.42578125" style="42" bestFit="1" customWidth="1"/>
    <col min="8" max="9" width="14.42578125" style="42" customWidth="1"/>
    <col min="10" max="16384" width="11.42578125" style="42"/>
  </cols>
  <sheetData>
    <row r="2" spans="3:14" ht="26.25" customHeight="1" x14ac:dyDescent="0.25">
      <c r="C2" s="1743" t="s">
        <v>927</v>
      </c>
      <c r="D2" s="1743"/>
      <c r="E2" s="1743"/>
      <c r="F2" s="1743"/>
      <c r="G2" s="89"/>
      <c r="H2" s="89"/>
      <c r="I2" s="89"/>
      <c r="J2" s="89"/>
      <c r="K2" s="89"/>
      <c r="L2" s="89"/>
      <c r="M2" s="89"/>
      <c r="N2" s="89"/>
    </row>
    <row r="3" spans="3:14" ht="26.25" customHeight="1" x14ac:dyDescent="0.25">
      <c r="C3" s="43"/>
      <c r="D3" s="43"/>
      <c r="E3" s="43"/>
    </row>
    <row r="4" spans="3:14" x14ac:dyDescent="0.25">
      <c r="C4" s="44" t="s">
        <v>604</v>
      </c>
      <c r="D4" s="45"/>
      <c r="E4" s="45"/>
    </row>
    <row r="5" spans="3:14" x14ac:dyDescent="0.25">
      <c r="C5" s="46" t="s">
        <v>605</v>
      </c>
      <c r="E5" s="47"/>
      <c r="F5" s="42" t="s">
        <v>606</v>
      </c>
    </row>
    <row r="6" spans="3:14" x14ac:dyDescent="0.25">
      <c r="C6" s="46" t="s">
        <v>109</v>
      </c>
    </row>
    <row r="7" spans="3:14" x14ac:dyDescent="0.25">
      <c r="C7" s="47"/>
      <c r="D7" s="48"/>
      <c r="E7" s="48"/>
    </row>
    <row r="8" spans="3:14" x14ac:dyDescent="0.25">
      <c r="C8" s="1207" t="s">
        <v>607</v>
      </c>
      <c r="D8" s="1208"/>
      <c r="E8" s="50"/>
    </row>
    <row r="9" spans="3:14" x14ac:dyDescent="0.25">
      <c r="C9" s="49" t="s">
        <v>608</v>
      </c>
      <c r="D9" s="1138"/>
      <c r="E9" s="50"/>
    </row>
    <row r="10" spans="3:14" x14ac:dyDescent="0.25">
      <c r="C10" s="51"/>
      <c r="D10" s="52"/>
      <c r="E10" s="50"/>
    </row>
    <row r="11" spans="3:14" x14ac:dyDescent="0.25">
      <c r="C11" s="53" t="s">
        <v>110</v>
      </c>
      <c r="D11" s="54"/>
      <c r="E11" s="55"/>
      <c r="N11" s="42" t="s">
        <v>85</v>
      </c>
    </row>
    <row r="12" spans="3:14" x14ac:dyDescent="0.25">
      <c r="C12" s="56" t="s">
        <v>609</v>
      </c>
      <c r="D12" s="621"/>
      <c r="E12" s="622"/>
    </row>
    <row r="13" spans="3:14" hidden="1" x14ac:dyDescent="0.25">
      <c r="C13" s="56"/>
      <c r="D13" s="57"/>
      <c r="E13" s="58"/>
    </row>
    <row r="14" spans="3:14" x14ac:dyDescent="0.25">
      <c r="C14" s="59" t="s">
        <v>37</v>
      </c>
      <c r="D14" s="60"/>
      <c r="E14" s="61"/>
    </row>
    <row r="15" spans="3:14" x14ac:dyDescent="0.25">
      <c r="C15" s="62"/>
      <c r="D15" s="63"/>
      <c r="E15" s="63"/>
    </row>
    <row r="16" spans="3:14" x14ac:dyDescent="0.25">
      <c r="C16" s="62"/>
      <c r="D16" s="63"/>
      <c r="E16" s="63"/>
    </row>
    <row r="17" spans="3:9" hidden="1" x14ac:dyDescent="0.25"/>
    <row r="18" spans="3:9" hidden="1" x14ac:dyDescent="0.25">
      <c r="C18" s="51"/>
      <c r="D18" s="64"/>
      <c r="E18" s="65"/>
    </row>
    <row r="19" spans="3:9" x14ac:dyDescent="0.25">
      <c r="C19" s="53" t="s">
        <v>610</v>
      </c>
      <c r="D19" s="54"/>
      <c r="E19" s="54"/>
      <c r="F19" s="42" t="s">
        <v>611</v>
      </c>
      <c r="G19" s="46">
        <v>140</v>
      </c>
      <c r="H19" s="46"/>
      <c r="I19" s="46"/>
    </row>
    <row r="20" spans="3:9" x14ac:dyDescent="0.25">
      <c r="C20" s="56" t="s">
        <v>448</v>
      </c>
      <c r="D20" s="1137"/>
      <c r="E20" s="449"/>
      <c r="F20" s="66">
        <v>84.398499582229647</v>
      </c>
      <c r="G20" s="67">
        <f>$G$19*F20</f>
        <v>11815.78994151215</v>
      </c>
      <c r="H20" s="67"/>
      <c r="I20" s="67"/>
    </row>
    <row r="21" spans="3:9" x14ac:dyDescent="0.25">
      <c r="C21" s="56" t="s">
        <v>742</v>
      </c>
      <c r="D21" s="1137"/>
      <c r="E21" s="449"/>
      <c r="F21" s="66">
        <v>4.6683614513519762</v>
      </c>
      <c r="G21" s="67">
        <f>$G$19*F21</f>
        <v>653.57060318927665</v>
      </c>
      <c r="H21" s="67"/>
      <c r="I21" s="67"/>
    </row>
    <row r="22" spans="3:9" x14ac:dyDescent="0.25">
      <c r="C22" s="56" t="s">
        <v>929</v>
      </c>
      <c r="D22" s="1137"/>
      <c r="E22" s="449"/>
      <c r="F22" s="66">
        <v>4.4443654335034042</v>
      </c>
      <c r="G22" s="67">
        <f>$G$19*F22</f>
        <v>622.21116069047662</v>
      </c>
      <c r="H22" s="67"/>
      <c r="I22" s="67"/>
    </row>
    <row r="23" spans="3:9" ht="25.5" x14ac:dyDescent="0.25">
      <c r="C23" s="56" t="s">
        <v>762</v>
      </c>
      <c r="D23" s="43"/>
      <c r="E23" s="43"/>
      <c r="F23" s="43"/>
      <c r="G23" s="67">
        <f>$G$19*F23</f>
        <v>0</v>
      </c>
      <c r="H23" s="67"/>
      <c r="I23" s="67"/>
    </row>
    <row r="24" spans="3:9" x14ac:dyDescent="0.25">
      <c r="C24" s="56" t="s">
        <v>930</v>
      </c>
      <c r="D24" s="1137">
        <v>0.5</v>
      </c>
      <c r="E24" s="449" t="e">
        <f>(D24*100)/$D$32</f>
        <v>#DIV/0!</v>
      </c>
      <c r="F24" s="66">
        <v>2.1700000000000001E-2</v>
      </c>
      <c r="G24" s="67"/>
      <c r="H24" s="67"/>
      <c r="I24" s="67"/>
    </row>
    <row r="25" spans="3:9" x14ac:dyDescent="0.25">
      <c r="C25" s="56" t="s">
        <v>931</v>
      </c>
      <c r="D25" s="1137"/>
      <c r="E25" s="449"/>
      <c r="F25" s="42">
        <v>1.7777461734013618</v>
      </c>
      <c r="G25" s="67"/>
      <c r="H25" s="67"/>
      <c r="I25" s="67"/>
    </row>
    <row r="26" spans="3:9" x14ac:dyDescent="0.25">
      <c r="C26" s="56" t="s">
        <v>932</v>
      </c>
      <c r="D26" s="1137"/>
      <c r="E26" s="449"/>
      <c r="F26" s="42">
        <v>1.3333096300510214</v>
      </c>
      <c r="G26" s="67"/>
      <c r="H26" s="67"/>
      <c r="I26" s="67"/>
    </row>
    <row r="27" spans="3:9" x14ac:dyDescent="0.25">
      <c r="C27" s="56" t="s">
        <v>933</v>
      </c>
      <c r="D27" s="1137"/>
      <c r="E27" s="449"/>
      <c r="F27" s="42">
        <v>0.75554212369557883</v>
      </c>
      <c r="G27" s="67"/>
      <c r="H27" s="67"/>
      <c r="I27" s="67"/>
    </row>
    <row r="28" spans="3:9" x14ac:dyDescent="0.25">
      <c r="C28" s="56" t="s">
        <v>741</v>
      </c>
      <c r="D28" s="1137"/>
      <c r="E28" s="449" t="e">
        <f>(D28*100)/$D$32</f>
        <v>#DIV/0!</v>
      </c>
      <c r="F28" s="42">
        <v>0.22221827167517022</v>
      </c>
      <c r="G28" s="67"/>
      <c r="H28" s="67"/>
      <c r="I28" s="67"/>
    </row>
    <row r="29" spans="3:9" x14ac:dyDescent="0.25">
      <c r="C29" s="56" t="s">
        <v>934</v>
      </c>
      <c r="D29" s="1137"/>
      <c r="E29" s="449"/>
      <c r="F29" s="42">
        <v>8.8887308670068096E-2</v>
      </c>
      <c r="G29" s="67"/>
      <c r="H29" s="67"/>
      <c r="I29" s="67"/>
    </row>
    <row r="30" spans="3:9" x14ac:dyDescent="0.25">
      <c r="C30" s="56" t="s">
        <v>935</v>
      </c>
      <c r="D30" s="1137"/>
      <c r="E30" s="449" t="e">
        <f>(D30*100)/$D$32</f>
        <v>#DIV/0!</v>
      </c>
      <c r="F30" s="66"/>
      <c r="G30" s="67"/>
      <c r="H30" s="67"/>
      <c r="I30" s="67"/>
    </row>
    <row r="31" spans="3:9" hidden="1" x14ac:dyDescent="0.25">
      <c r="C31" s="56"/>
      <c r="D31" s="624"/>
      <c r="E31" s="449"/>
      <c r="F31" s="66"/>
      <c r="G31" s="67"/>
      <c r="H31" s="67"/>
      <c r="I31" s="67"/>
    </row>
    <row r="32" spans="3:9" x14ac:dyDescent="0.25">
      <c r="C32" s="59" t="s">
        <v>37</v>
      </c>
      <c r="D32" s="60"/>
      <c r="E32" s="625"/>
      <c r="F32" s="42">
        <v>2.5332882970969401</v>
      </c>
    </row>
    <row r="33" spans="2:13" x14ac:dyDescent="0.25">
      <c r="C33" s="62"/>
      <c r="D33" s="63"/>
      <c r="E33" s="63"/>
    </row>
    <row r="34" spans="2:13" x14ac:dyDescent="0.25">
      <c r="C34" s="68" t="s">
        <v>112</v>
      </c>
      <c r="D34" s="69"/>
      <c r="E34" s="69"/>
    </row>
    <row r="35" spans="2:13" x14ac:dyDescent="0.25">
      <c r="C35" s="51"/>
      <c r="D35" s="64"/>
      <c r="E35" s="65"/>
    </row>
    <row r="36" spans="2:13" x14ac:dyDescent="0.25">
      <c r="C36" s="51"/>
      <c r="D36" s="64"/>
      <c r="E36" s="65"/>
      <c r="F36" s="42">
        <v>42.29</v>
      </c>
    </row>
    <row r="37" spans="2:13" ht="25.5" x14ac:dyDescent="0.35">
      <c r="C37" s="1920" t="s">
        <v>936</v>
      </c>
      <c r="D37" s="1920"/>
      <c r="E37" s="1920"/>
      <c r="F37" s="1920"/>
      <c r="G37" s="1920"/>
      <c r="H37" s="1147"/>
      <c r="I37" s="1147"/>
    </row>
    <row r="38" spans="2:13" ht="37.5" customHeight="1" x14ac:dyDescent="0.2">
      <c r="B38" s="516" t="s">
        <v>0</v>
      </c>
      <c r="C38" s="1153" t="s">
        <v>1</v>
      </c>
      <c r="D38" s="1152"/>
      <c r="E38" s="1153"/>
      <c r="F38" s="1154" t="s">
        <v>1126</v>
      </c>
      <c r="G38" s="1154" t="s">
        <v>1023</v>
      </c>
      <c r="H38" s="1156" t="s">
        <v>958</v>
      </c>
      <c r="I38" s="1156" t="s">
        <v>959</v>
      </c>
      <c r="J38" s="67">
        <v>1.1000000000000001</v>
      </c>
      <c r="K38" s="42">
        <v>2000</v>
      </c>
    </row>
    <row r="39" spans="2:13" x14ac:dyDescent="0.25">
      <c r="B39" s="42">
        <v>1121005</v>
      </c>
      <c r="C39" s="630" t="s">
        <v>1072</v>
      </c>
      <c r="D39" s="794">
        <v>0.84778420038535651</v>
      </c>
      <c r="E39" s="495">
        <v>77.071290944123334</v>
      </c>
      <c r="F39" s="585">
        <v>22000</v>
      </c>
      <c r="G39" s="498">
        <f t="shared" ref="G39:G51" si="0">F39*D39</f>
        <v>18651.252408477842</v>
      </c>
      <c r="H39" s="336">
        <v>24200</v>
      </c>
      <c r="I39" s="336">
        <v>20516.377649325626</v>
      </c>
      <c r="J39" s="282">
        <f>$J$38*E39%</f>
        <v>0.84778420038535685</v>
      </c>
      <c r="K39" s="336">
        <f t="shared" ref="K39:K51" si="1">$K$38*E39%</f>
        <v>1541.4258188824667</v>
      </c>
    </row>
    <row r="40" spans="2:13" x14ac:dyDescent="0.25">
      <c r="B40" s="42">
        <v>1131002</v>
      </c>
      <c r="C40" s="56" t="s">
        <v>663</v>
      </c>
      <c r="D40" s="190">
        <v>0.20617901741640346</v>
      </c>
      <c r="E40" s="495">
        <v>18.74354703785486</v>
      </c>
      <c r="F40" s="585">
        <v>0</v>
      </c>
      <c r="G40" s="73">
        <f t="shared" si="0"/>
        <v>0</v>
      </c>
      <c r="H40" s="336">
        <v>0</v>
      </c>
      <c r="I40" s="336">
        <v>0</v>
      </c>
      <c r="J40" s="282">
        <f t="shared" ref="J40:J51" si="2">$J$38*E40%</f>
        <v>0.20617901741640349</v>
      </c>
      <c r="K40" s="336">
        <f t="shared" si="1"/>
        <v>374.87094075709723</v>
      </c>
      <c r="L40" s="42" t="s">
        <v>85</v>
      </c>
    </row>
    <row r="41" spans="2:13" x14ac:dyDescent="0.25">
      <c r="B41" s="42">
        <v>1131001</v>
      </c>
      <c r="C41" s="56" t="s">
        <v>1048</v>
      </c>
      <c r="D41" s="190">
        <v>9.0977450534617168E-3</v>
      </c>
      <c r="E41" s="495">
        <v>0.82706773213288343</v>
      </c>
      <c r="F41" s="585">
        <v>365</v>
      </c>
      <c r="G41" s="73">
        <f t="shared" si="0"/>
        <v>3.3206769445135267</v>
      </c>
      <c r="H41" s="336">
        <v>365</v>
      </c>
      <c r="I41" s="336">
        <v>3.3206769445135267</v>
      </c>
      <c r="J41" s="282">
        <f t="shared" si="2"/>
        <v>9.0977450534617185E-3</v>
      </c>
      <c r="K41" s="336">
        <f t="shared" si="1"/>
        <v>16.541354642657669</v>
      </c>
    </row>
    <row r="42" spans="2:13" x14ac:dyDescent="0.25">
      <c r="B42" s="42">
        <v>1210005</v>
      </c>
      <c r="C42" s="56" t="s">
        <v>1040</v>
      </c>
      <c r="D42" s="190">
        <v>9.6458019843931441E-3</v>
      </c>
      <c r="E42" s="495">
        <v>0.87689108949028594</v>
      </c>
      <c r="F42" s="585">
        <v>1210.01</v>
      </c>
      <c r="G42" s="73">
        <f t="shared" si="0"/>
        <v>11.671516859135549</v>
      </c>
      <c r="H42" s="336">
        <v>1210</v>
      </c>
      <c r="I42" s="336">
        <v>11.671420401115704</v>
      </c>
      <c r="J42" s="282">
        <f t="shared" si="2"/>
        <v>9.6458019843931458E-3</v>
      </c>
      <c r="K42" s="336">
        <f t="shared" si="1"/>
        <v>17.537821789805719</v>
      </c>
    </row>
    <row r="43" spans="2:13" x14ac:dyDescent="0.25">
      <c r="B43" s="42">
        <v>1260010</v>
      </c>
      <c r="C43" s="523" t="s">
        <v>1043</v>
      </c>
      <c r="D43" s="190">
        <v>9.2073564396480019E-3</v>
      </c>
      <c r="E43" s="495">
        <v>0.83703240360436393</v>
      </c>
      <c r="F43" s="585">
        <v>9462.44</v>
      </c>
      <c r="G43" s="73">
        <f t="shared" si="0"/>
        <v>87.124057868782842</v>
      </c>
      <c r="H43" s="336">
        <v>9462.44</v>
      </c>
      <c r="I43" s="336">
        <v>87.439778121098371</v>
      </c>
      <c r="J43" s="282">
        <f t="shared" si="2"/>
        <v>9.2073564396480036E-3</v>
      </c>
      <c r="K43" s="336">
        <f t="shared" si="1"/>
        <v>16.740648072087279</v>
      </c>
    </row>
    <row r="44" spans="2:13" x14ac:dyDescent="0.25">
      <c r="B44" s="42">
        <v>1240002</v>
      </c>
      <c r="C44" s="523" t="s">
        <v>1016</v>
      </c>
      <c r="D44" s="190">
        <v>4.603678219824001E-3</v>
      </c>
      <c r="E44" s="495">
        <v>0.41851620180218196</v>
      </c>
      <c r="F44" s="585">
        <v>67262.53</v>
      </c>
      <c r="G44" s="73">
        <f t="shared" si="0"/>
        <v>309.65504437125844</v>
      </c>
      <c r="H44" s="336">
        <v>68443.98</v>
      </c>
      <c r="I44" s="336">
        <v>303.52994257334706</v>
      </c>
      <c r="J44" s="282">
        <f t="shared" si="2"/>
        <v>4.6036782198240018E-3</v>
      </c>
      <c r="K44" s="336">
        <f t="shared" si="1"/>
        <v>8.3703240360436393</v>
      </c>
    </row>
    <row r="45" spans="2:13" x14ac:dyDescent="0.25">
      <c r="B45" s="42">
        <v>1220014</v>
      </c>
      <c r="C45" s="523" t="s">
        <v>822</v>
      </c>
      <c r="D45" s="190">
        <v>4.603678219824001E-3</v>
      </c>
      <c r="E45" s="190">
        <v>0.41851620180218196</v>
      </c>
      <c r="F45" s="585">
        <v>12278</v>
      </c>
      <c r="G45" s="73">
        <f t="shared" si="0"/>
        <v>56.523961182999081</v>
      </c>
      <c r="H45" s="336">
        <v>12278</v>
      </c>
      <c r="I45" s="336">
        <v>56.523961182999081</v>
      </c>
      <c r="J45" s="282">
        <f t="shared" si="2"/>
        <v>4.6036782198240018E-3</v>
      </c>
      <c r="K45" s="336">
        <f t="shared" si="1"/>
        <v>8.3703240360436393</v>
      </c>
      <c r="M45" s="336"/>
    </row>
    <row r="46" spans="2:13" x14ac:dyDescent="0.25">
      <c r="B46" s="42">
        <v>1220010</v>
      </c>
      <c r="C46" s="523" t="s">
        <v>830</v>
      </c>
      <c r="D46" s="190">
        <v>3.7267871303337152E-3</v>
      </c>
      <c r="E46" s="495">
        <v>0.33879883003033778</v>
      </c>
      <c r="F46" s="585">
        <v>9381</v>
      </c>
      <c r="G46" s="73">
        <f t="shared" si="0"/>
        <v>34.960990069660582</v>
      </c>
      <c r="H46" s="336">
        <v>9381</v>
      </c>
      <c r="I46" s="336">
        <v>34.960952801789276</v>
      </c>
      <c r="J46" s="282">
        <f t="shared" si="2"/>
        <v>3.7267871303337161E-3</v>
      </c>
      <c r="K46" s="336">
        <f t="shared" si="1"/>
        <v>6.7759766006067554</v>
      </c>
    </row>
    <row r="47" spans="2:13" x14ac:dyDescent="0.25">
      <c r="B47" s="42">
        <v>1210002</v>
      </c>
      <c r="C47" s="523" t="s">
        <v>1033</v>
      </c>
      <c r="D47" s="190">
        <v>2.740284654657144E-3</v>
      </c>
      <c r="E47" s="495">
        <v>0.24911678678701313</v>
      </c>
      <c r="F47" s="585">
        <v>14268.98</v>
      </c>
      <c r="G47" s="73">
        <f t="shared" si="0"/>
        <v>39.101066931609694</v>
      </c>
      <c r="H47" s="336">
        <v>14041.34</v>
      </c>
      <c r="I47" s="336">
        <v>35.577060865720604</v>
      </c>
      <c r="J47" s="282">
        <f t="shared" si="2"/>
        <v>2.7402846546571444E-3</v>
      </c>
      <c r="K47" s="336">
        <f t="shared" si="1"/>
        <v>4.9823357357402625</v>
      </c>
    </row>
    <row r="48" spans="2:13" x14ac:dyDescent="0.25">
      <c r="B48" s="42">
        <v>1210004</v>
      </c>
      <c r="C48" s="523" t="s">
        <v>913</v>
      </c>
      <c r="D48" s="190">
        <v>1.5345594066080001E-3</v>
      </c>
      <c r="E48" s="495">
        <v>0.1395054006007273</v>
      </c>
      <c r="F48" s="585">
        <v>3308</v>
      </c>
      <c r="G48" s="73">
        <f t="shared" si="0"/>
        <v>5.0763225170592641</v>
      </c>
      <c r="H48" s="336">
        <v>3308</v>
      </c>
      <c r="I48" s="336">
        <v>5.0763225170592641</v>
      </c>
      <c r="J48" s="282">
        <f t="shared" si="2"/>
        <v>1.5345594066080003E-3</v>
      </c>
      <c r="K48" s="336">
        <f t="shared" si="1"/>
        <v>2.7901080120145458</v>
      </c>
    </row>
    <row r="49" spans="2:11" x14ac:dyDescent="0.25">
      <c r="B49" s="42">
        <v>1210003</v>
      </c>
      <c r="C49" s="523" t="s">
        <v>741</v>
      </c>
      <c r="D49" s="190">
        <v>4.3844554474514291E-4</v>
      </c>
      <c r="E49" s="495">
        <v>3.9858685885922084E-2</v>
      </c>
      <c r="F49" s="585">
        <v>12905.03</v>
      </c>
      <c r="G49" s="73">
        <f t="shared" si="0"/>
        <v>5.6581529083024122</v>
      </c>
      <c r="H49" s="336">
        <v>13707.76</v>
      </c>
      <c r="I49" s="336">
        <v>5.2326239693054601</v>
      </c>
      <c r="J49" s="282">
        <f t="shared" si="2"/>
        <v>4.3844554474514291E-4</v>
      </c>
      <c r="K49" s="336">
        <f t="shared" si="1"/>
        <v>0.79717371771844159</v>
      </c>
    </row>
    <row r="50" spans="2:11" x14ac:dyDescent="0.25">
      <c r="B50" s="42">
        <v>1250003</v>
      </c>
      <c r="C50" s="523" t="s">
        <v>914</v>
      </c>
      <c r="D50" s="190">
        <v>2.1922277237257145E-4</v>
      </c>
      <c r="E50" s="495">
        <v>1.9929342942961042E-2</v>
      </c>
      <c r="F50" s="585">
        <v>51325.23</v>
      </c>
      <c r="G50" s="73">
        <f t="shared" si="0"/>
        <v>11.251659213259876</v>
      </c>
      <c r="H50" s="336">
        <v>50054.45</v>
      </c>
      <c r="I50" s="336">
        <v>10.35372712207727</v>
      </c>
      <c r="J50" s="282">
        <f t="shared" si="2"/>
        <v>2.1922277237257145E-4</v>
      </c>
      <c r="K50" s="336">
        <f t="shared" si="1"/>
        <v>0.39858685885922079</v>
      </c>
    </row>
    <row r="51" spans="2:11" x14ac:dyDescent="0.25">
      <c r="B51" s="42">
        <v>1270004</v>
      </c>
      <c r="C51" s="523" t="s">
        <v>1032</v>
      </c>
      <c r="D51" s="190">
        <v>2.1922277237257145E-4</v>
      </c>
      <c r="E51" s="495">
        <v>1.9929342942961042E-2</v>
      </c>
      <c r="F51" s="585">
        <v>52954.46</v>
      </c>
      <c r="G51" s="73">
        <f t="shared" si="0"/>
        <v>11.60882353069244</v>
      </c>
      <c r="H51" s="336">
        <v>50190.19</v>
      </c>
      <c r="I51" s="336">
        <v>10.720046182484113</v>
      </c>
      <c r="J51" s="282">
        <f t="shared" si="2"/>
        <v>2.1922277237257145E-4</v>
      </c>
      <c r="K51" s="336">
        <f t="shared" si="1"/>
        <v>0.39858685885922079</v>
      </c>
    </row>
    <row r="52" spans="2:11" hidden="1" x14ac:dyDescent="0.25">
      <c r="C52" s="523"/>
      <c r="D52" s="523"/>
      <c r="E52" s="523"/>
      <c r="F52" s="523"/>
      <c r="G52" s="523"/>
    </row>
    <row r="53" spans="2:11" x14ac:dyDescent="0.25">
      <c r="C53" s="1128"/>
      <c r="D53" s="75"/>
      <c r="E53" s="75"/>
      <c r="F53" s="76">
        <v>100.00000000000003</v>
      </c>
      <c r="G53" s="1135">
        <f>SUM(G39:G51)</f>
        <v>19227.204680875115</v>
      </c>
      <c r="H53" s="1148"/>
      <c r="I53" s="1148">
        <f>SUM(I39:I51)</f>
        <v>21080.784162007138</v>
      </c>
    </row>
    <row r="54" spans="2:11" ht="25.5" x14ac:dyDescent="0.25">
      <c r="D54" s="43"/>
      <c r="E54" s="43"/>
      <c r="F54" s="43"/>
    </row>
    <row r="55" spans="2:11" ht="25.5" x14ac:dyDescent="0.35">
      <c r="C55" s="1921" t="s">
        <v>50</v>
      </c>
      <c r="D55" s="1922"/>
    </row>
    <row r="56" spans="2:11" x14ac:dyDescent="0.25">
      <c r="C56" s="20" t="s">
        <v>38</v>
      </c>
      <c r="D56" s="21"/>
    </row>
    <row r="57" spans="2:11" x14ac:dyDescent="0.25">
      <c r="C57" s="20" t="s">
        <v>39</v>
      </c>
      <c r="D57" s="21"/>
      <c r="J57" s="42" t="s">
        <v>85</v>
      </c>
    </row>
    <row r="58" spans="2:11" x14ac:dyDescent="0.25">
      <c r="C58" s="20" t="s">
        <v>40</v>
      </c>
      <c r="D58" s="21"/>
    </row>
    <row r="59" spans="2:11" x14ac:dyDescent="0.25">
      <c r="C59" s="20" t="s">
        <v>41</v>
      </c>
      <c r="D59" s="21"/>
    </row>
    <row r="60" spans="2:11" x14ac:dyDescent="0.25">
      <c r="C60" s="20" t="s">
        <v>42</v>
      </c>
      <c r="D60" s="21"/>
    </row>
    <row r="61" spans="2:11" x14ac:dyDescent="0.25">
      <c r="C61" s="20" t="s">
        <v>43</v>
      </c>
      <c r="D61" s="21"/>
    </row>
    <row r="62" spans="2:11" x14ac:dyDescent="0.25">
      <c r="C62" s="20" t="s">
        <v>44</v>
      </c>
      <c r="D62" s="21"/>
      <c r="E62" s="42" t="s">
        <v>938</v>
      </c>
    </row>
    <row r="63" spans="2:11" x14ac:dyDescent="0.25">
      <c r="C63" s="20" t="s">
        <v>45</v>
      </c>
      <c r="D63" s="21"/>
      <c r="F63" s="42">
        <v>46.06</v>
      </c>
    </row>
    <row r="64" spans="2:11" x14ac:dyDescent="0.25">
      <c r="C64" s="20" t="s">
        <v>46</v>
      </c>
      <c r="D64" s="21"/>
      <c r="F64" s="42">
        <v>46.38</v>
      </c>
    </row>
    <row r="65" spans="3:10" x14ac:dyDescent="0.25">
      <c r="F65" s="42">
        <v>42.01</v>
      </c>
    </row>
    <row r="66" spans="3:10" x14ac:dyDescent="0.25">
      <c r="F66" s="42">
        <v>43.7</v>
      </c>
    </row>
    <row r="67" spans="3:10" ht="25.5" x14ac:dyDescent="0.35">
      <c r="C67" s="1920" t="s">
        <v>47</v>
      </c>
      <c r="D67" s="1920"/>
      <c r="E67" s="1920"/>
      <c r="F67" s="1920"/>
      <c r="G67" s="1920"/>
      <c r="H67" s="1147"/>
      <c r="I67" s="1147"/>
    </row>
    <row r="68" spans="3:10" x14ac:dyDescent="0.2">
      <c r="C68" s="999" t="s">
        <v>0</v>
      </c>
      <c r="D68" s="999"/>
      <c r="E68" s="999"/>
      <c r="F68" s="1000">
        <v>60.66</v>
      </c>
      <c r="G68" s="1000" t="s">
        <v>452</v>
      </c>
      <c r="H68" s="1149"/>
      <c r="I68" s="1149"/>
      <c r="J68" s="42">
        <v>200</v>
      </c>
    </row>
    <row r="69" spans="3:10" x14ac:dyDescent="0.3">
      <c r="C69" s="1193" t="e">
        <v>#N/A</v>
      </c>
      <c r="D69" s="563"/>
      <c r="E69" s="582"/>
      <c r="F69" s="582">
        <v>54.26</v>
      </c>
      <c r="G69" s="1031">
        <f>F69*E69</f>
        <v>0</v>
      </c>
      <c r="H69" s="1150"/>
      <c r="I69" s="1150"/>
      <c r="J69" s="282">
        <f>$J$68*E69%</f>
        <v>0</v>
      </c>
    </row>
    <row r="70" spans="3:10" ht="25.5" x14ac:dyDescent="0.3">
      <c r="C70" s="1193" t="e">
        <v>#N/A</v>
      </c>
      <c r="D70" s="43"/>
      <c r="E70" s="43"/>
      <c r="F70" s="43"/>
      <c r="G70" s="1031">
        <f>F70*E70</f>
        <v>0</v>
      </c>
      <c r="H70" s="1150"/>
      <c r="I70" s="1150"/>
      <c r="J70" s="282">
        <f>$J$68*E70%</f>
        <v>0</v>
      </c>
    </row>
    <row r="71" spans="3:10" x14ac:dyDescent="0.3">
      <c r="C71" s="1193" t="e">
        <v>#N/A</v>
      </c>
      <c r="D71" s="1134"/>
      <c r="E71" s="1133"/>
      <c r="F71" s="582">
        <v>1</v>
      </c>
      <c r="G71" s="1132">
        <f>F71*E71</f>
        <v>0</v>
      </c>
      <c r="H71" s="1150"/>
      <c r="I71" s="1150"/>
      <c r="J71" s="282">
        <f>$J$68*E71%</f>
        <v>0</v>
      </c>
    </row>
    <row r="72" spans="3:10" ht="14.45" customHeight="1" x14ac:dyDescent="0.25">
      <c r="C72" s="1918" t="s">
        <v>37</v>
      </c>
      <c r="D72" s="1919"/>
      <c r="E72" s="1012"/>
      <c r="F72" s="1012"/>
      <c r="G72" s="1013">
        <f>SUM(G69:G71)</f>
        <v>0</v>
      </c>
      <c r="H72" s="1151"/>
      <c r="I72" s="1151"/>
    </row>
    <row r="74" spans="3:10" x14ac:dyDescent="0.25">
      <c r="C74" s="1918" t="s">
        <v>178</v>
      </c>
      <c r="D74" s="1919"/>
      <c r="E74" s="1131"/>
      <c r="F74" s="1139">
        <v>2.1947605758132569E-3</v>
      </c>
    </row>
    <row r="75" spans="3:10" x14ac:dyDescent="0.25">
      <c r="C75" s="1918" t="s">
        <v>48</v>
      </c>
      <c r="D75" s="1919"/>
      <c r="E75" s="1131"/>
      <c r="F75" s="42">
        <v>1500</v>
      </c>
    </row>
    <row r="76" spans="3:10" x14ac:dyDescent="0.25">
      <c r="C76" s="1918" t="s">
        <v>179</v>
      </c>
      <c r="D76" s="1919"/>
      <c r="E76" s="1131"/>
      <c r="F76" s="1225">
        <v>1500.0021947605758</v>
      </c>
    </row>
    <row r="77" spans="3:10" x14ac:dyDescent="0.25">
      <c r="C77" s="1918" t="s">
        <v>940</v>
      </c>
      <c r="D77" s="1919"/>
      <c r="E77" s="1131">
        <f>'CIF Y PV'!C62</f>
        <v>42634.26</v>
      </c>
      <c r="F77" s="1130"/>
      <c r="G77" s="1101">
        <f>(E77-E76)/E77</f>
        <v>1</v>
      </c>
    </row>
    <row r="78" spans="3:10" x14ac:dyDescent="0.25">
      <c r="F78" s="1129"/>
    </row>
    <row r="82" spans="4:6" ht="25.5" x14ac:dyDescent="0.25">
      <c r="D82" s="43"/>
      <c r="E82" s="43"/>
      <c r="F82" s="43"/>
    </row>
    <row r="85" spans="4:6" ht="25.5" x14ac:dyDescent="0.25">
      <c r="D85" s="43"/>
      <c r="E85" s="43"/>
      <c r="F85" s="43"/>
    </row>
  </sheetData>
  <mergeCells count="9">
    <mergeCell ref="C75:D75"/>
    <mergeCell ref="C76:D76"/>
    <mergeCell ref="C77:D77"/>
    <mergeCell ref="C2:F2"/>
    <mergeCell ref="C37:G37"/>
    <mergeCell ref="C55:D55"/>
    <mergeCell ref="C67:G67"/>
    <mergeCell ref="C72:D72"/>
    <mergeCell ref="C74:D74"/>
  </mergeCells>
  <pageMargins left="0.7" right="0.7" top="0.75" bottom="0.75" header="0.3" footer="0.3"/>
  <pageSetup paperSize="9" scale="34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A70C-01C6-4556-AB71-0E3CF849F2AE}">
  <sheetPr codeName="Hoja135"/>
  <dimension ref="A2:K78"/>
  <sheetViews>
    <sheetView view="pageBreakPreview" topLeftCell="A32" zoomScale="80" zoomScaleNormal="100" zoomScaleSheetLayoutView="80" workbookViewId="0">
      <selection activeCell="D74" sqref="D74"/>
    </sheetView>
  </sheetViews>
  <sheetFormatPr baseColWidth="10" defaultColWidth="11.42578125" defaultRowHeight="16.5" x14ac:dyDescent="0.25"/>
  <cols>
    <col min="1" max="1" width="11.42578125" style="42"/>
    <col min="2" max="2" width="50" style="42" customWidth="1"/>
    <col min="3" max="3" width="72.5703125" style="42" customWidth="1"/>
    <col min="4" max="4" width="12.42578125" style="42" bestFit="1" customWidth="1"/>
    <col min="5" max="5" width="13.28515625" style="42" customWidth="1"/>
    <col min="6" max="6" width="14.42578125" style="42" bestFit="1" customWidth="1"/>
    <col min="7" max="16384" width="11.42578125" style="42"/>
  </cols>
  <sheetData>
    <row r="2" spans="2:11" ht="26.25" customHeight="1" x14ac:dyDescent="0.25">
      <c r="B2" s="1743" t="s">
        <v>927</v>
      </c>
      <c r="C2" s="1743"/>
      <c r="D2" s="1743"/>
      <c r="E2" s="1743"/>
      <c r="F2" s="1743"/>
      <c r="G2" s="1743"/>
      <c r="H2" s="1743"/>
      <c r="I2" s="1743"/>
      <c r="J2" s="1743"/>
      <c r="K2" s="1743"/>
    </row>
    <row r="3" spans="2:11" ht="26.25" customHeight="1" x14ac:dyDescent="0.25">
      <c r="B3" s="43"/>
      <c r="C3" s="43"/>
      <c r="D3" s="43"/>
    </row>
    <row r="4" spans="2:11" x14ac:dyDescent="0.25">
      <c r="B4" s="44" t="s">
        <v>604</v>
      </c>
      <c r="C4" s="45">
        <v>100</v>
      </c>
      <c r="D4" s="45"/>
    </row>
    <row r="5" spans="2:11" x14ac:dyDescent="0.25">
      <c r="B5" s="46" t="s">
        <v>605</v>
      </c>
      <c r="C5" s="42">
        <v>30</v>
      </c>
      <c r="D5" s="47" t="s">
        <v>606</v>
      </c>
    </row>
    <row r="6" spans="2:11" x14ac:dyDescent="0.25">
      <c r="B6" s="46" t="s">
        <v>109</v>
      </c>
      <c r="C6" s="42">
        <f>SUM(C4:C5)</f>
        <v>130</v>
      </c>
    </row>
    <row r="7" spans="2:11" x14ac:dyDescent="0.25">
      <c r="B7" s="47"/>
      <c r="C7" s="48"/>
      <c r="D7" s="48"/>
    </row>
    <row r="8" spans="2:11" x14ac:dyDescent="0.25">
      <c r="B8" s="49" t="s">
        <v>607</v>
      </c>
      <c r="C8" s="1138">
        <f>(C4*100)/$C$6</f>
        <v>76.92307692307692</v>
      </c>
      <c r="D8" s="50"/>
    </row>
    <row r="9" spans="2:11" x14ac:dyDescent="0.25">
      <c r="B9" s="49" t="s">
        <v>608</v>
      </c>
      <c r="C9" s="1138">
        <f>100-C8</f>
        <v>23.07692307692308</v>
      </c>
      <c r="D9" s="50"/>
    </row>
    <row r="10" spans="2:11" x14ac:dyDescent="0.25">
      <c r="B10" s="51"/>
      <c r="C10" s="52"/>
      <c r="D10" s="50"/>
    </row>
    <row r="11" spans="2:11" x14ac:dyDescent="0.25">
      <c r="B11" s="53" t="s">
        <v>110</v>
      </c>
      <c r="C11" s="54" t="s">
        <v>111</v>
      </c>
      <c r="D11" s="55"/>
      <c r="K11" s="42" t="s">
        <v>85</v>
      </c>
    </row>
    <row r="12" spans="2:11" x14ac:dyDescent="0.25">
      <c r="B12" s="56" t="s">
        <v>609</v>
      </c>
      <c r="C12" s="621">
        <v>77</v>
      </c>
      <c r="D12" s="622"/>
    </row>
    <row r="13" spans="2:11" hidden="1" x14ac:dyDescent="0.25">
      <c r="B13" s="56"/>
      <c r="C13" s="57"/>
      <c r="D13" s="58"/>
    </row>
    <row r="14" spans="2:11" x14ac:dyDescent="0.25">
      <c r="B14" s="59" t="s">
        <v>37</v>
      </c>
      <c r="C14" s="60">
        <f>SUM(C12:C12)</f>
        <v>77</v>
      </c>
      <c r="D14" s="61"/>
    </row>
    <row r="15" spans="2:11" x14ac:dyDescent="0.25">
      <c r="B15" s="62"/>
      <c r="C15" s="63"/>
      <c r="D15" s="63"/>
    </row>
    <row r="16" spans="2:11" x14ac:dyDescent="0.25">
      <c r="B16" s="62"/>
      <c r="C16" s="63"/>
      <c r="D16" s="63"/>
    </row>
    <row r="17" spans="2:6" hidden="1" x14ac:dyDescent="0.25"/>
    <row r="18" spans="2:6" hidden="1" x14ac:dyDescent="0.25">
      <c r="B18" s="51"/>
      <c r="C18" s="64"/>
      <c r="D18" s="65"/>
    </row>
    <row r="19" spans="2:6" ht="42.75" x14ac:dyDescent="0.25">
      <c r="B19" s="53" t="s">
        <v>610</v>
      </c>
      <c r="C19" s="54" t="s">
        <v>928</v>
      </c>
      <c r="D19" s="54" t="s">
        <v>611</v>
      </c>
      <c r="F19" s="46">
        <v>140</v>
      </c>
    </row>
    <row r="20" spans="2:6" x14ac:dyDescent="0.25">
      <c r="B20" s="56" t="s">
        <v>448</v>
      </c>
      <c r="C20" s="1137">
        <v>18.989999999999998</v>
      </c>
      <c r="D20" s="449">
        <f>(C20*100)/$C$32</f>
        <v>82.563781499452176</v>
      </c>
      <c r="E20" s="66">
        <v>0.82289999999999996</v>
      </c>
      <c r="F20" s="67">
        <f t="shared" ref="F20:F30" si="0">$F$19*E20</f>
        <v>115.20599999999999</v>
      </c>
    </row>
    <row r="21" spans="2:6" x14ac:dyDescent="0.25">
      <c r="B21" s="56" t="s">
        <v>742</v>
      </c>
      <c r="C21" s="1137">
        <v>1.0504</v>
      </c>
      <c r="D21" s="449">
        <f t="shared" ref="D21:D30" si="1">(C21*100)/$C$32</f>
        <v>4.5668770977896038</v>
      </c>
      <c r="E21" s="66">
        <v>4.5499999999999999E-2</v>
      </c>
      <c r="F21" s="67">
        <f t="shared" si="0"/>
        <v>6.37</v>
      </c>
    </row>
    <row r="22" spans="2:6" x14ac:dyDescent="0.25">
      <c r="B22" s="56" t="s">
        <v>941</v>
      </c>
      <c r="C22" s="1137">
        <v>1</v>
      </c>
      <c r="D22" s="449">
        <f t="shared" si="1"/>
        <v>4.3477504739048021</v>
      </c>
      <c r="E22" s="66">
        <v>4.3299999999999998E-2</v>
      </c>
      <c r="F22" s="67">
        <f t="shared" si="0"/>
        <v>6.0619999999999994</v>
      </c>
    </row>
    <row r="23" spans="2:6" x14ac:dyDescent="0.25">
      <c r="B23" s="56" t="s">
        <v>762</v>
      </c>
      <c r="C23" s="1137">
        <v>0.5</v>
      </c>
      <c r="D23" s="449">
        <f t="shared" si="1"/>
        <v>2.173875236952401</v>
      </c>
      <c r="E23" s="66">
        <v>2.1700000000000001E-2</v>
      </c>
      <c r="F23" s="67">
        <f t="shared" si="0"/>
        <v>3.0380000000000003</v>
      </c>
    </row>
    <row r="24" spans="2:6" x14ac:dyDescent="0.25">
      <c r="B24" s="56" t="s">
        <v>930</v>
      </c>
      <c r="C24" s="1137">
        <v>0.5</v>
      </c>
      <c r="D24" s="449">
        <f t="shared" si="1"/>
        <v>2.173875236952401</v>
      </c>
      <c r="E24" s="66">
        <v>2.1700000000000001E-2</v>
      </c>
      <c r="F24" s="67">
        <f t="shared" si="0"/>
        <v>3.0380000000000003</v>
      </c>
    </row>
    <row r="25" spans="2:6" x14ac:dyDescent="0.25">
      <c r="B25" s="56" t="s">
        <v>931</v>
      </c>
      <c r="C25" s="1137">
        <v>0.4</v>
      </c>
      <c r="D25" s="449">
        <f t="shared" si="1"/>
        <v>1.7391001895619207</v>
      </c>
      <c r="E25" s="66">
        <v>1.7299999999999999E-2</v>
      </c>
      <c r="F25" s="67">
        <f t="shared" si="0"/>
        <v>2.4219999999999997</v>
      </c>
    </row>
    <row r="26" spans="2:6" x14ac:dyDescent="0.25">
      <c r="B26" s="56" t="s">
        <v>942</v>
      </c>
      <c r="C26" s="1137">
        <v>0.3</v>
      </c>
      <c r="D26" s="449">
        <f t="shared" si="1"/>
        <v>1.3043251421714406</v>
      </c>
      <c r="E26" s="66">
        <v>1.2999999999999999E-2</v>
      </c>
      <c r="F26" s="67">
        <f t="shared" si="0"/>
        <v>1.8199999999999998</v>
      </c>
    </row>
    <row r="27" spans="2:6" x14ac:dyDescent="0.25">
      <c r="B27" s="56" t="s">
        <v>933</v>
      </c>
      <c r="C27" s="1137">
        <v>0.17</v>
      </c>
      <c r="D27" s="449">
        <f t="shared" si="1"/>
        <v>0.73911758056381627</v>
      </c>
      <c r="E27" s="66">
        <v>7.4000000000000003E-3</v>
      </c>
      <c r="F27" s="67">
        <f t="shared" si="0"/>
        <v>1.036</v>
      </c>
    </row>
    <row r="28" spans="2:6" x14ac:dyDescent="0.25">
      <c r="B28" s="56" t="s">
        <v>741</v>
      </c>
      <c r="C28" s="1137">
        <v>0.05</v>
      </c>
      <c r="D28" s="449">
        <f t="shared" si="1"/>
        <v>0.21738752369524009</v>
      </c>
      <c r="E28" s="66">
        <v>2.2000000000000001E-3</v>
      </c>
      <c r="F28" s="67">
        <f t="shared" si="0"/>
        <v>0.308</v>
      </c>
    </row>
    <row r="29" spans="2:6" x14ac:dyDescent="0.25">
      <c r="B29" s="56" t="s">
        <v>934</v>
      </c>
      <c r="C29" s="1137">
        <v>0.02</v>
      </c>
      <c r="D29" s="449">
        <f t="shared" si="1"/>
        <v>8.6955009478096035E-2</v>
      </c>
      <c r="E29" s="66">
        <v>8.9999999999999998E-4</v>
      </c>
      <c r="F29" s="67">
        <f t="shared" si="0"/>
        <v>0.126</v>
      </c>
    </row>
    <row r="30" spans="2:6" x14ac:dyDescent="0.25">
      <c r="B30" s="56" t="s">
        <v>935</v>
      </c>
      <c r="C30" s="1137">
        <v>0.02</v>
      </c>
      <c r="D30" s="449">
        <f t="shared" si="1"/>
        <v>8.6955009478096035E-2</v>
      </c>
      <c r="E30" s="66">
        <v>8.9999999999999998E-4</v>
      </c>
      <c r="F30" s="67">
        <f t="shared" si="0"/>
        <v>0.126</v>
      </c>
    </row>
    <row r="31" spans="2:6" hidden="1" x14ac:dyDescent="0.25">
      <c r="B31" s="56"/>
      <c r="C31" s="624"/>
      <c r="D31" s="449"/>
      <c r="E31" s="66"/>
      <c r="F31" s="67"/>
    </row>
    <row r="32" spans="2:6" x14ac:dyDescent="0.25">
      <c r="B32" s="59" t="s">
        <v>37</v>
      </c>
      <c r="C32" s="60">
        <f>SUM(C20:C30)</f>
        <v>23.000399999999999</v>
      </c>
      <c r="D32" s="625">
        <f>SUM(D20:D30)</f>
        <v>99.999999999999957</v>
      </c>
    </row>
    <row r="33" spans="1:10" x14ac:dyDescent="0.25">
      <c r="B33" s="62"/>
      <c r="C33" s="63"/>
      <c r="D33" s="63"/>
    </row>
    <row r="34" spans="1:10" x14ac:dyDescent="0.25">
      <c r="B34" s="68" t="s">
        <v>112</v>
      </c>
      <c r="C34" s="69">
        <f>SUM(C14,C32)</f>
        <v>100.0004</v>
      </c>
      <c r="D34" s="69"/>
    </row>
    <row r="35" spans="1:10" x14ac:dyDescent="0.25">
      <c r="B35" s="51"/>
      <c r="C35" s="64"/>
      <c r="D35" s="65"/>
    </row>
    <row r="36" spans="1:10" x14ac:dyDescent="0.25">
      <c r="B36" s="51"/>
      <c r="C36" s="64"/>
      <c r="D36" s="65"/>
    </row>
    <row r="37" spans="1:10" ht="25.5" x14ac:dyDescent="0.35">
      <c r="B37" s="1920" t="s">
        <v>936</v>
      </c>
      <c r="C37" s="1920"/>
      <c r="D37" s="1920"/>
      <c r="E37" s="1920"/>
      <c r="F37" s="1920"/>
    </row>
    <row r="38" spans="1:10" x14ac:dyDescent="0.2">
      <c r="A38" s="23" t="s">
        <v>1220</v>
      </c>
      <c r="B38" s="23" t="s">
        <v>1</v>
      </c>
      <c r="C38" s="23" t="s">
        <v>2</v>
      </c>
      <c r="D38" s="23" t="s">
        <v>3</v>
      </c>
      <c r="E38" s="22" t="s">
        <v>451</v>
      </c>
      <c r="F38" s="22" t="s">
        <v>452</v>
      </c>
      <c r="G38" s="67">
        <v>1.1000000000000001</v>
      </c>
      <c r="H38" s="42">
        <v>2000</v>
      </c>
    </row>
    <row r="39" spans="1:10" x14ac:dyDescent="0.25">
      <c r="A39" s="180">
        <v>1121006</v>
      </c>
      <c r="B39" s="56" t="s">
        <v>1125</v>
      </c>
      <c r="C39" s="794">
        <v>0.84701355221683572</v>
      </c>
      <c r="D39" s="495">
        <f>(C39*100)/$C$53</f>
        <v>77.001232019712305</v>
      </c>
      <c r="E39" s="507">
        <f>VLOOKUP(A39,[2]Hoja1!$C$2:$E$279,3,FALSE)</f>
        <v>13200</v>
      </c>
      <c r="F39" s="498">
        <f>E39*C39</f>
        <v>11180.578889262231</v>
      </c>
      <c r="G39" s="282">
        <f>$G$38*D39%</f>
        <v>0.8470135522168355</v>
      </c>
      <c r="H39" s="336">
        <f>$H$38*D39%</f>
        <v>1540.024640394246</v>
      </c>
    </row>
    <row r="40" spans="1:10" x14ac:dyDescent="0.25">
      <c r="A40" s="180">
        <v>1131002</v>
      </c>
      <c r="B40" s="56" t="s">
        <v>663</v>
      </c>
      <c r="C40" s="190">
        <v>0.16709267348277571</v>
      </c>
      <c r="D40" s="72">
        <f t="shared" ref="D40:D51" si="2">(C40*100)/$C$53</f>
        <v>15.190243043888694</v>
      </c>
      <c r="E40" s="507">
        <f>VLOOKUP(A40,[2]Hoja1!$C$2:$E$279,3,FALSE)</f>
        <v>0</v>
      </c>
      <c r="F40" s="73">
        <f t="shared" ref="F40:F51" si="3">E40*C40</f>
        <v>0</v>
      </c>
      <c r="G40" s="282">
        <f t="shared" ref="G40:G51" si="4">$G$38*D40%</f>
        <v>0.16709267348277565</v>
      </c>
      <c r="H40" s="336">
        <f t="shared" ref="H40:H51" si="5">$H$38*D40%</f>
        <v>303.80486087777388</v>
      </c>
      <c r="I40" s="42" t="s">
        <v>85</v>
      </c>
    </row>
    <row r="41" spans="1:10" x14ac:dyDescent="0.25">
      <c r="A41" s="180">
        <v>1131001</v>
      </c>
      <c r="B41" s="56" t="s">
        <v>1048</v>
      </c>
      <c r="C41" s="190">
        <v>4.1778668458695344E-2</v>
      </c>
      <c r="D41" s="72">
        <f t="shared" si="2"/>
        <v>3.7980607689723018</v>
      </c>
      <c r="E41" s="507">
        <f>VLOOKUP(A41,[2]Hoja1!$C$2:$E$279,3,FALSE)</f>
        <v>386.9</v>
      </c>
      <c r="F41" s="73">
        <f t="shared" si="3"/>
        <v>16.164166826669227</v>
      </c>
      <c r="G41" s="282">
        <f t="shared" si="4"/>
        <v>4.177866845869533E-2</v>
      </c>
      <c r="H41" s="336">
        <f t="shared" si="5"/>
        <v>75.961215379446045</v>
      </c>
    </row>
    <row r="42" spans="1:10" x14ac:dyDescent="0.25">
      <c r="A42" s="180">
        <v>1210005</v>
      </c>
      <c r="B42" s="56" t="s">
        <v>1040</v>
      </c>
      <c r="C42" s="190">
        <v>1.1554584873357969E-2</v>
      </c>
      <c r="D42" s="72">
        <f t="shared" si="2"/>
        <v>1.0504168066689057</v>
      </c>
      <c r="E42" s="507">
        <f>VLOOKUP(A42,[2]Hoja1!$C$2:$E$279,3,FALSE)</f>
        <v>1356</v>
      </c>
      <c r="F42" s="73">
        <f t="shared" si="3"/>
        <v>15.668017088273405</v>
      </c>
      <c r="G42" s="282">
        <f t="shared" si="4"/>
        <v>1.1554584873357964E-2</v>
      </c>
      <c r="H42" s="336">
        <f t="shared" si="5"/>
        <v>21.008336133378112</v>
      </c>
    </row>
    <row r="43" spans="1:10" x14ac:dyDescent="0.25">
      <c r="A43" s="180">
        <v>1260010</v>
      </c>
      <c r="B43" s="56" t="s">
        <v>1043</v>
      </c>
      <c r="C43" s="190">
        <v>1.1000176002816043E-2</v>
      </c>
      <c r="D43" s="72">
        <f t="shared" si="2"/>
        <v>1.0000160002560035</v>
      </c>
      <c r="E43" s="507">
        <f>VLOOKUP(A43,[2]Hoja1!$C$2:$E$279,3,FALSE)</f>
        <v>6959.71</v>
      </c>
      <c r="F43" s="73">
        <f t="shared" si="3"/>
        <v>76.55803492855884</v>
      </c>
      <c r="G43" s="282">
        <f t="shared" si="4"/>
        <v>1.1000176002816039E-2</v>
      </c>
      <c r="H43" s="336">
        <f t="shared" si="5"/>
        <v>20.00032000512007</v>
      </c>
    </row>
    <row r="44" spans="1:10" x14ac:dyDescent="0.25">
      <c r="A44" s="180">
        <v>1240002</v>
      </c>
      <c r="B44" s="56" t="s">
        <v>1016</v>
      </c>
      <c r="C44" s="190">
        <v>5.5000880014080215E-3</v>
      </c>
      <c r="D44" s="72">
        <f t="shared" si="2"/>
        <v>0.50000800012800173</v>
      </c>
      <c r="E44" s="507">
        <f>VLOOKUP(A44,[2]Hoja1!$C$2:$E$279,3,FALSE)</f>
        <v>66115.8</v>
      </c>
      <c r="F44" s="73">
        <f t="shared" si="3"/>
        <v>363.64271828349246</v>
      </c>
      <c r="G44" s="282">
        <f t="shared" si="4"/>
        <v>5.5000880014080197E-3</v>
      </c>
      <c r="H44" s="336">
        <f t="shared" si="5"/>
        <v>10.000160002560035</v>
      </c>
    </row>
    <row r="45" spans="1:10" x14ac:dyDescent="0.25">
      <c r="A45" s="180">
        <v>1220014</v>
      </c>
      <c r="B45" s="56" t="s">
        <v>822</v>
      </c>
      <c r="C45" s="190">
        <v>5.5000880014080215E-3</v>
      </c>
      <c r="D45" s="72">
        <f t="shared" si="2"/>
        <v>0.50000800012800173</v>
      </c>
      <c r="E45" s="507">
        <f>VLOOKUP(A45,[2]Hoja1!$C$2:$E$279,3,FALSE)</f>
        <v>14060</v>
      </c>
      <c r="F45" s="73">
        <f t="shared" si="3"/>
        <v>77.331237299796783</v>
      </c>
      <c r="G45" s="282">
        <f t="shared" si="4"/>
        <v>5.5000880014080197E-3</v>
      </c>
      <c r="H45" s="336">
        <f t="shared" si="5"/>
        <v>10.000160002560035</v>
      </c>
      <c r="J45" s="336"/>
    </row>
    <row r="46" spans="1:10" x14ac:dyDescent="0.25">
      <c r="A46" s="180">
        <v>1220010</v>
      </c>
      <c r="B46" s="56" t="s">
        <v>830</v>
      </c>
      <c r="C46" s="190">
        <v>4.4000704011264193E-3</v>
      </c>
      <c r="D46" s="72">
        <f t="shared" si="2"/>
        <v>0.40000640010240157</v>
      </c>
      <c r="E46" s="507">
        <f>VLOOKUP(A46,[2]Hoja1!$C$2:$E$279,3,FALSE)</f>
        <v>4744.72</v>
      </c>
      <c r="F46" s="73">
        <f t="shared" si="3"/>
        <v>20.877102033632546</v>
      </c>
      <c r="G46" s="282">
        <f t="shared" si="4"/>
        <v>4.4000704011264175E-3</v>
      </c>
      <c r="H46" s="336">
        <f t="shared" si="5"/>
        <v>8.0001280020480312</v>
      </c>
    </row>
    <row r="47" spans="1:10" x14ac:dyDescent="0.25">
      <c r="A47" s="180">
        <v>1210002</v>
      </c>
      <c r="B47" s="56" t="s">
        <v>1033</v>
      </c>
      <c r="C47" s="190">
        <v>3.3000528008448118E-3</v>
      </c>
      <c r="D47" s="72">
        <f t="shared" si="2"/>
        <v>0.30000480007680091</v>
      </c>
      <c r="E47" s="507">
        <f>VLOOKUP(A47,[2]Hoja1!$C$2:$E$279,3,FALSE)</f>
        <v>12886</v>
      </c>
      <c r="F47" s="73">
        <f t="shared" si="3"/>
        <v>42.524480391686247</v>
      </c>
      <c r="G47" s="282">
        <f t="shared" si="4"/>
        <v>3.3000528008448105E-3</v>
      </c>
      <c r="H47" s="336">
        <f t="shared" si="5"/>
        <v>6.0000960015360185</v>
      </c>
    </row>
    <row r="48" spans="1:10" x14ac:dyDescent="0.25">
      <c r="A48" s="180">
        <v>1210004</v>
      </c>
      <c r="B48" s="56" t="s">
        <v>913</v>
      </c>
      <c r="C48" s="190">
        <v>1.8700299204787276E-3</v>
      </c>
      <c r="D48" s="72">
        <f t="shared" si="2"/>
        <v>0.17000272004352063</v>
      </c>
      <c r="E48" s="507">
        <f>VLOOKUP(A48,[2]Hoja1!$C$2:$E$279,3,FALSE)</f>
        <v>3841</v>
      </c>
      <c r="F48" s="73">
        <f t="shared" si="3"/>
        <v>7.1827849245587929</v>
      </c>
      <c r="G48" s="282">
        <f t="shared" si="4"/>
        <v>1.8700299204787269E-3</v>
      </c>
      <c r="H48" s="336">
        <f t="shared" si="5"/>
        <v>3.4000544008704123</v>
      </c>
    </row>
    <row r="49" spans="1:8" x14ac:dyDescent="0.25">
      <c r="A49" s="180">
        <v>1210003</v>
      </c>
      <c r="B49" s="56" t="s">
        <v>741</v>
      </c>
      <c r="C49" s="190">
        <v>5.5000880014080241E-4</v>
      </c>
      <c r="D49" s="72">
        <f t="shared" si="2"/>
        <v>5.0000800012800196E-2</v>
      </c>
      <c r="E49" s="507">
        <f>VLOOKUP(A49,[2]Hoja1!$C$2:$E$279,3,FALSE)</f>
        <v>16235.45</v>
      </c>
      <c r="F49" s="73">
        <f t="shared" si="3"/>
        <v>8.9296403742459916</v>
      </c>
      <c r="G49" s="282">
        <f t="shared" si="4"/>
        <v>5.5000880014080219E-4</v>
      </c>
      <c r="H49" s="336">
        <f t="shared" si="5"/>
        <v>1.0000160002560039</v>
      </c>
    </row>
    <row r="50" spans="1:8" x14ac:dyDescent="0.25">
      <c r="A50" s="180">
        <v>1250003</v>
      </c>
      <c r="B50" s="56" t="s">
        <v>914</v>
      </c>
      <c r="C50" s="190">
        <v>2.2000352005632087E-4</v>
      </c>
      <c r="D50" s="72">
        <f t="shared" si="2"/>
        <v>2.000032000512007E-2</v>
      </c>
      <c r="E50" s="507">
        <f>VLOOKUP(A50,[2]Hoja1!$C$2:$E$279,3,FALSE)</f>
        <v>50952.79</v>
      </c>
      <c r="F50" s="73">
        <f t="shared" si="3"/>
        <v>11.209793156690505</v>
      </c>
      <c r="G50" s="282">
        <f t="shared" si="4"/>
        <v>2.2000352005632079E-4</v>
      </c>
      <c r="H50" s="336">
        <f t="shared" si="5"/>
        <v>0.4000064001024014</v>
      </c>
    </row>
    <row r="51" spans="1:8" x14ac:dyDescent="0.25">
      <c r="A51" s="180">
        <v>1270004</v>
      </c>
      <c r="B51" s="56" t="s">
        <v>1032</v>
      </c>
      <c r="C51" s="190">
        <v>2.2000352005632087E-4</v>
      </c>
      <c r="D51" s="72">
        <f t="shared" si="2"/>
        <v>2.000032000512007E-2</v>
      </c>
      <c r="E51" s="507">
        <f>VLOOKUP(A51,[2]Hoja1!$C$2:$E$279,3,FALSE)</f>
        <v>50662</v>
      </c>
      <c r="F51" s="73">
        <f t="shared" si="3"/>
        <v>11.145818333093327</v>
      </c>
      <c r="G51" s="282">
        <f t="shared" si="4"/>
        <v>2.2000352005632079E-4</v>
      </c>
      <c r="H51" s="336">
        <f t="shared" si="5"/>
        <v>0.4000064001024014</v>
      </c>
    </row>
    <row r="52" spans="1:8" hidden="1" x14ac:dyDescent="0.25">
      <c r="B52" s="523"/>
      <c r="C52" s="523"/>
      <c r="D52" s="523"/>
      <c r="E52" s="507" t="e">
        <f>VLOOKUP(A52,[2]Hoja1!$C$2:$E$279,3,FALSE)</f>
        <v>#N/A</v>
      </c>
      <c r="F52" s="523"/>
    </row>
    <row r="53" spans="1:8" x14ac:dyDescent="0.25">
      <c r="B53" s="1128"/>
      <c r="C53" s="75">
        <f>SUM(C39:C51)</f>
        <v>1.1000000000000005</v>
      </c>
      <c r="D53" s="75">
        <f>SUM(D39:D51)</f>
        <v>100</v>
      </c>
      <c r="E53" s="76"/>
      <c r="F53" s="1135">
        <f>SUM(F39:F51)</f>
        <v>11831.812682902932</v>
      </c>
    </row>
    <row r="55" spans="1:8" ht="25.5" x14ac:dyDescent="0.35">
      <c r="B55" s="1921" t="s">
        <v>50</v>
      </c>
      <c r="C55" s="1922"/>
      <c r="E55" s="42" t="s">
        <v>85</v>
      </c>
    </row>
    <row r="56" spans="1:8" x14ac:dyDescent="0.25">
      <c r="B56" s="20" t="s">
        <v>38</v>
      </c>
      <c r="C56" s="21" t="s">
        <v>90</v>
      </c>
    </row>
    <row r="57" spans="1:8" x14ac:dyDescent="0.25">
      <c r="B57" s="20" t="s">
        <v>39</v>
      </c>
      <c r="C57" s="21" t="s">
        <v>937</v>
      </c>
      <c r="G57" s="42" t="s">
        <v>85</v>
      </c>
    </row>
    <row r="58" spans="1:8" x14ac:dyDescent="0.25">
      <c r="B58" s="20" t="s">
        <v>40</v>
      </c>
      <c r="C58" s="21">
        <v>200</v>
      </c>
    </row>
    <row r="59" spans="1:8" x14ac:dyDescent="0.25">
      <c r="B59" s="20" t="s">
        <v>41</v>
      </c>
      <c r="C59" s="21">
        <v>0</v>
      </c>
    </row>
    <row r="60" spans="1:8" x14ac:dyDescent="0.25">
      <c r="B60" s="20" t="s">
        <v>42</v>
      </c>
      <c r="C60" s="21">
        <v>0</v>
      </c>
    </row>
    <row r="61" spans="1:8" x14ac:dyDescent="0.25">
      <c r="B61" s="20" t="s">
        <v>43</v>
      </c>
      <c r="C61" s="21">
        <v>6</v>
      </c>
    </row>
    <row r="62" spans="1:8" x14ac:dyDescent="0.25">
      <c r="B62" s="20" t="s">
        <v>44</v>
      </c>
      <c r="C62" s="21">
        <v>20</v>
      </c>
      <c r="D62" s="42" t="s">
        <v>938</v>
      </c>
    </row>
    <row r="63" spans="1:8" x14ac:dyDescent="0.25">
      <c r="B63" s="20" t="s">
        <v>45</v>
      </c>
      <c r="C63" s="21">
        <v>4</v>
      </c>
    </row>
    <row r="64" spans="1:8" x14ac:dyDescent="0.25">
      <c r="B64" s="20" t="s">
        <v>46</v>
      </c>
      <c r="C64" s="21">
        <v>10</v>
      </c>
    </row>
    <row r="67" spans="2:7" ht="25.5" x14ac:dyDescent="0.35">
      <c r="B67" s="1920" t="s">
        <v>47</v>
      </c>
      <c r="C67" s="1920"/>
      <c r="D67" s="1920"/>
      <c r="E67" s="1920"/>
      <c r="F67" s="1920"/>
    </row>
    <row r="68" spans="2:7" x14ac:dyDescent="0.2">
      <c r="B68" s="999" t="s">
        <v>0</v>
      </c>
      <c r="C68" s="999" t="s">
        <v>1</v>
      </c>
      <c r="D68" s="999" t="s">
        <v>2</v>
      </c>
      <c r="E68" s="1000" t="s">
        <v>451</v>
      </c>
      <c r="F68" s="1000" t="s">
        <v>452</v>
      </c>
      <c r="G68" s="42">
        <v>200</v>
      </c>
    </row>
    <row r="69" spans="2:7" x14ac:dyDescent="0.3">
      <c r="B69" s="563">
        <v>1310018</v>
      </c>
      <c r="C69" s="4" t="s">
        <v>890</v>
      </c>
      <c r="D69" s="582">
        <v>0.14499999999999999</v>
      </c>
      <c r="E69" s="582">
        <f>VLOOKUP(B69,[2]Hoja1!$C$2:$E$279,3,FALSE)</f>
        <v>478.26</v>
      </c>
      <c r="F69" s="1031">
        <f>E69*D69</f>
        <v>69.347699999999989</v>
      </c>
      <c r="G69" s="282">
        <f>$G$68*D69%</f>
        <v>0.28999999999999998</v>
      </c>
    </row>
    <row r="70" spans="2:7" x14ac:dyDescent="0.3">
      <c r="B70" s="74">
        <v>1320005</v>
      </c>
      <c r="C70" s="6" t="s">
        <v>1145</v>
      </c>
      <c r="D70" s="533">
        <v>0.14499999999999999</v>
      </c>
      <c r="E70" s="582">
        <f>VLOOKUP(B70,[2]Hoja1!$C$2:$E$279,3,FALSE)</f>
        <v>740.21</v>
      </c>
      <c r="F70" s="1031">
        <f>E70*D70</f>
        <v>107.33045</v>
      </c>
      <c r="G70" s="282">
        <f>$G$68*D70%</f>
        <v>0.28999999999999998</v>
      </c>
    </row>
    <row r="71" spans="2:7" x14ac:dyDescent="0.3">
      <c r="B71" s="1134">
        <v>1330022</v>
      </c>
      <c r="C71" s="320" t="s">
        <v>943</v>
      </c>
      <c r="D71" s="1133">
        <v>1</v>
      </c>
      <c r="E71" s="582">
        <f>VLOOKUP(B71,[2]Hoja1!$C$2:$E$279,3,FALSE)</f>
        <v>40.869999999999997</v>
      </c>
      <c r="F71" s="1132">
        <f>E71*D71</f>
        <v>40.869999999999997</v>
      </c>
      <c r="G71" s="282">
        <f>$G$68*D71%</f>
        <v>2</v>
      </c>
    </row>
    <row r="72" spans="2:7" ht="14.45" customHeight="1" x14ac:dyDescent="0.25">
      <c r="B72" s="1918" t="s">
        <v>37</v>
      </c>
      <c r="C72" s="1919"/>
      <c r="D72" s="1012"/>
      <c r="E72" s="1012"/>
      <c r="F72" s="1013">
        <f>SUM(F69:F71)</f>
        <v>217.54814999999999</v>
      </c>
    </row>
    <row r="74" spans="2:7" x14ac:dyDescent="0.25">
      <c r="B74" s="1918" t="s">
        <v>939</v>
      </c>
      <c r="C74" s="1919"/>
      <c r="D74" s="1131">
        <f>+F72+F53</f>
        <v>12049.360832902932</v>
      </c>
    </row>
    <row r="75" spans="2:7" x14ac:dyDescent="0.25">
      <c r="B75" s="1918" t="s">
        <v>48</v>
      </c>
      <c r="C75" s="1919"/>
      <c r="D75" s="1131">
        <f>+('CIF Y PV'!C3/1000)*1000</f>
        <v>1890</v>
      </c>
    </row>
    <row r="76" spans="2:7" x14ac:dyDescent="0.25">
      <c r="B76" s="1918" t="s">
        <v>132</v>
      </c>
      <c r="C76" s="1919"/>
      <c r="D76" s="1226">
        <f>+D75+D74</f>
        <v>13939.360832902932</v>
      </c>
      <c r="E76" s="1227" t="s">
        <v>805</v>
      </c>
      <c r="F76" s="1228">
        <f>(D77-D76)/D77</f>
        <v>0.48791509313088038</v>
      </c>
    </row>
    <row r="77" spans="2:7" x14ac:dyDescent="0.25">
      <c r="B77" s="1918" t="s">
        <v>940</v>
      </c>
      <c r="C77" s="1919"/>
      <c r="D77" s="1131">
        <f>'CIF Y PV'!C63</f>
        <v>27220.800000000003</v>
      </c>
      <c r="E77" s="1130">
        <v>0.42</v>
      </c>
    </row>
    <row r="78" spans="2:7" x14ac:dyDescent="0.25">
      <c r="E78" s="1130"/>
    </row>
  </sheetData>
  <mergeCells count="9">
    <mergeCell ref="B75:C75"/>
    <mergeCell ref="B76:C76"/>
    <mergeCell ref="B77:C77"/>
    <mergeCell ref="B2:K2"/>
    <mergeCell ref="B37:F37"/>
    <mergeCell ref="B55:C55"/>
    <mergeCell ref="B67:F67"/>
    <mergeCell ref="B72:C72"/>
    <mergeCell ref="B74:C74"/>
  </mergeCells>
  <pageMargins left="0.7" right="0.7" top="0.75" bottom="0.75" header="0.3" footer="0.3"/>
  <pageSetup paperSize="9" scale="41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D2DA-F8B7-4A83-B4A6-ED190C3ACBEB}">
  <sheetPr codeName="Hoja136"/>
  <dimension ref="A2:K78"/>
  <sheetViews>
    <sheetView view="pageBreakPreview" topLeftCell="A28" zoomScale="80" zoomScaleNormal="100" zoomScaleSheetLayoutView="80" workbookViewId="0">
      <selection activeCell="I67" sqref="I67"/>
    </sheetView>
  </sheetViews>
  <sheetFormatPr baseColWidth="10" defaultColWidth="11.42578125" defaultRowHeight="16.5" x14ac:dyDescent="0.25"/>
  <cols>
    <col min="1" max="1" width="15.85546875" style="42" customWidth="1"/>
    <col min="2" max="2" width="46.85546875" style="42" customWidth="1"/>
    <col min="3" max="3" width="61.7109375" style="42" customWidth="1"/>
    <col min="4" max="4" width="12.42578125" style="42" bestFit="1" customWidth="1"/>
    <col min="5" max="5" width="11.42578125" style="42"/>
    <col min="6" max="6" width="14.42578125" style="42" bestFit="1" customWidth="1"/>
    <col min="7" max="16384" width="11.42578125" style="42"/>
  </cols>
  <sheetData>
    <row r="2" spans="2:11" ht="26.25" customHeight="1" x14ac:dyDescent="0.25">
      <c r="B2" s="1743" t="s">
        <v>927</v>
      </c>
      <c r="C2" s="1743"/>
      <c r="D2" s="1743"/>
      <c r="E2" s="1743"/>
      <c r="F2" s="89"/>
      <c r="G2" s="89"/>
      <c r="H2" s="89"/>
      <c r="I2" s="89"/>
      <c r="J2" s="89"/>
      <c r="K2" s="89"/>
    </row>
    <row r="3" spans="2:11" ht="26.25" customHeight="1" x14ac:dyDescent="0.25">
      <c r="B3" s="43"/>
      <c r="C3" s="43"/>
      <c r="D3" s="43"/>
    </row>
    <row r="4" spans="2:11" x14ac:dyDescent="0.25">
      <c r="B4" s="44" t="s">
        <v>604</v>
      </c>
      <c r="C4" s="45">
        <v>100</v>
      </c>
      <c r="D4" s="45"/>
    </row>
    <row r="5" spans="2:11" x14ac:dyDescent="0.25">
      <c r="B5" s="46" t="s">
        <v>605</v>
      </c>
      <c r="C5" s="42">
        <v>30</v>
      </c>
      <c r="D5" s="47" t="s">
        <v>606</v>
      </c>
    </row>
    <row r="6" spans="2:11" x14ac:dyDescent="0.25">
      <c r="B6" s="46" t="s">
        <v>109</v>
      </c>
      <c r="C6" s="42">
        <f>SUM(C4:C5)</f>
        <v>130</v>
      </c>
    </row>
    <row r="7" spans="2:11" x14ac:dyDescent="0.25">
      <c r="B7" s="47"/>
      <c r="C7" s="48"/>
      <c r="D7" s="48"/>
    </row>
    <row r="8" spans="2:11" x14ac:dyDescent="0.25">
      <c r="B8" s="49" t="s">
        <v>607</v>
      </c>
      <c r="C8" s="1138">
        <f>(C4*100)/$C$6</f>
        <v>76.92307692307692</v>
      </c>
      <c r="D8" s="50"/>
    </row>
    <row r="9" spans="2:11" x14ac:dyDescent="0.25">
      <c r="B9" s="49" t="s">
        <v>608</v>
      </c>
      <c r="C9" s="1138">
        <f>100-C8</f>
        <v>23.07692307692308</v>
      </c>
      <c r="D9" s="50"/>
    </row>
    <row r="10" spans="2:11" x14ac:dyDescent="0.25">
      <c r="B10" s="51"/>
      <c r="C10" s="52"/>
      <c r="D10" s="50"/>
    </row>
    <row r="11" spans="2:11" x14ac:dyDescent="0.25">
      <c r="B11" s="53" t="s">
        <v>110</v>
      </c>
      <c r="C11" s="54" t="s">
        <v>111</v>
      </c>
      <c r="D11" s="55"/>
      <c r="K11" s="42" t="s">
        <v>85</v>
      </c>
    </row>
    <row r="12" spans="2:11" x14ac:dyDescent="0.25">
      <c r="B12" s="56" t="s">
        <v>609</v>
      </c>
      <c r="C12" s="621">
        <v>77</v>
      </c>
      <c r="D12" s="622"/>
    </row>
    <row r="13" spans="2:11" hidden="1" x14ac:dyDescent="0.25">
      <c r="B13" s="56"/>
      <c r="C13" s="57"/>
      <c r="D13" s="58"/>
    </row>
    <row r="14" spans="2:11" x14ac:dyDescent="0.25">
      <c r="B14" s="59" t="s">
        <v>37</v>
      </c>
      <c r="C14" s="60">
        <f>SUM(C12:C12)</f>
        <v>77</v>
      </c>
      <c r="D14" s="61"/>
    </row>
    <row r="15" spans="2:11" x14ac:dyDescent="0.25">
      <c r="B15" s="62"/>
      <c r="C15" s="63"/>
      <c r="D15" s="63"/>
    </row>
    <row r="16" spans="2:11" x14ac:dyDescent="0.25">
      <c r="B16" s="62"/>
      <c r="C16" s="63"/>
      <c r="D16" s="63"/>
    </row>
    <row r="17" spans="2:6" hidden="1" x14ac:dyDescent="0.25"/>
    <row r="18" spans="2:6" hidden="1" x14ac:dyDescent="0.25">
      <c r="B18" s="51"/>
      <c r="C18" s="64"/>
      <c r="D18" s="65"/>
    </row>
    <row r="19" spans="2:6" ht="42.75" x14ac:dyDescent="0.25">
      <c r="B19" s="53" t="s">
        <v>610</v>
      </c>
      <c r="C19" s="54" t="s">
        <v>928</v>
      </c>
      <c r="D19" s="54" t="s">
        <v>611</v>
      </c>
      <c r="F19" s="46">
        <v>140</v>
      </c>
    </row>
    <row r="20" spans="2:6" x14ac:dyDescent="0.25">
      <c r="B20" s="56" t="s">
        <v>448</v>
      </c>
      <c r="C20" s="1137">
        <v>18.989999999999998</v>
      </c>
      <c r="D20" s="449">
        <f t="shared" ref="D20:D30" si="0">(C20*100)/$C$32</f>
        <v>82.563781499452176</v>
      </c>
      <c r="E20" s="66">
        <v>0.82289999999999996</v>
      </c>
      <c r="F20" s="67">
        <f t="shared" ref="F20:F30" si="1">$F$19*E20</f>
        <v>115.20599999999999</v>
      </c>
    </row>
    <row r="21" spans="2:6" x14ac:dyDescent="0.25">
      <c r="B21" s="56" t="s">
        <v>742</v>
      </c>
      <c r="C21" s="1137">
        <v>1.0504</v>
      </c>
      <c r="D21" s="449">
        <f t="shared" si="0"/>
        <v>4.5668770977896038</v>
      </c>
      <c r="E21" s="66">
        <v>4.5499999999999999E-2</v>
      </c>
      <c r="F21" s="67">
        <f t="shared" si="1"/>
        <v>6.37</v>
      </c>
    </row>
    <row r="22" spans="2:6" x14ac:dyDescent="0.25">
      <c r="B22" s="56" t="s">
        <v>929</v>
      </c>
      <c r="C22" s="1137">
        <v>1</v>
      </c>
      <c r="D22" s="449">
        <f t="shared" si="0"/>
        <v>4.3477504739048021</v>
      </c>
      <c r="E22" s="66">
        <v>4.3299999999999998E-2</v>
      </c>
      <c r="F22" s="67">
        <f t="shared" si="1"/>
        <v>6.0619999999999994</v>
      </c>
    </row>
    <row r="23" spans="2:6" x14ac:dyDescent="0.25">
      <c r="B23" s="56" t="s">
        <v>762</v>
      </c>
      <c r="C23" s="1137">
        <v>0.5</v>
      </c>
      <c r="D23" s="449">
        <f t="shared" si="0"/>
        <v>2.173875236952401</v>
      </c>
      <c r="E23" s="66">
        <v>2.1700000000000001E-2</v>
      </c>
      <c r="F23" s="67">
        <f t="shared" si="1"/>
        <v>3.0380000000000003</v>
      </c>
    </row>
    <row r="24" spans="2:6" x14ac:dyDescent="0.25">
      <c r="B24" s="56" t="s">
        <v>930</v>
      </c>
      <c r="C24" s="1137">
        <v>0.5</v>
      </c>
      <c r="D24" s="449">
        <f t="shared" si="0"/>
        <v>2.173875236952401</v>
      </c>
      <c r="E24" s="66">
        <v>2.1700000000000001E-2</v>
      </c>
      <c r="F24" s="67">
        <f t="shared" si="1"/>
        <v>3.0380000000000003</v>
      </c>
    </row>
    <row r="25" spans="2:6" x14ac:dyDescent="0.25">
      <c r="B25" s="56" t="s">
        <v>931</v>
      </c>
      <c r="C25" s="1137">
        <v>0.4</v>
      </c>
      <c r="D25" s="449">
        <f t="shared" si="0"/>
        <v>1.7391001895619207</v>
      </c>
      <c r="E25" s="66">
        <v>1.7299999999999999E-2</v>
      </c>
      <c r="F25" s="67">
        <f t="shared" si="1"/>
        <v>2.4219999999999997</v>
      </c>
    </row>
    <row r="26" spans="2:6" x14ac:dyDescent="0.25">
      <c r="B26" s="56" t="s">
        <v>932</v>
      </c>
      <c r="C26" s="1137">
        <v>0.3</v>
      </c>
      <c r="D26" s="449">
        <f t="shared" si="0"/>
        <v>1.3043251421714406</v>
      </c>
      <c r="E26" s="66">
        <v>1.2999999999999999E-2</v>
      </c>
      <c r="F26" s="67">
        <f t="shared" si="1"/>
        <v>1.8199999999999998</v>
      </c>
    </row>
    <row r="27" spans="2:6" x14ac:dyDescent="0.25">
      <c r="B27" s="56" t="s">
        <v>933</v>
      </c>
      <c r="C27" s="1137">
        <v>0.17</v>
      </c>
      <c r="D27" s="449">
        <f t="shared" si="0"/>
        <v>0.73911758056381627</v>
      </c>
      <c r="E27" s="66">
        <v>7.4000000000000003E-3</v>
      </c>
      <c r="F27" s="67">
        <f t="shared" si="1"/>
        <v>1.036</v>
      </c>
    </row>
    <row r="28" spans="2:6" x14ac:dyDescent="0.25">
      <c r="B28" s="56" t="s">
        <v>741</v>
      </c>
      <c r="C28" s="1137">
        <v>0.05</v>
      </c>
      <c r="D28" s="449">
        <f t="shared" si="0"/>
        <v>0.21738752369524009</v>
      </c>
      <c r="E28" s="66">
        <v>2.2000000000000001E-3</v>
      </c>
      <c r="F28" s="67">
        <f t="shared" si="1"/>
        <v>0.308</v>
      </c>
    </row>
    <row r="29" spans="2:6" x14ac:dyDescent="0.25">
      <c r="B29" s="56" t="s">
        <v>934</v>
      </c>
      <c r="C29" s="1137">
        <v>0.02</v>
      </c>
      <c r="D29" s="449">
        <f t="shared" si="0"/>
        <v>8.6955009478096035E-2</v>
      </c>
      <c r="E29" s="66">
        <v>8.9999999999999998E-4</v>
      </c>
      <c r="F29" s="67">
        <f t="shared" si="1"/>
        <v>0.126</v>
      </c>
    </row>
    <row r="30" spans="2:6" x14ac:dyDescent="0.25">
      <c r="B30" s="56" t="s">
        <v>935</v>
      </c>
      <c r="C30" s="1137">
        <v>0.02</v>
      </c>
      <c r="D30" s="449">
        <f t="shared" si="0"/>
        <v>8.6955009478096035E-2</v>
      </c>
      <c r="E30" s="66">
        <v>8.9999999999999998E-4</v>
      </c>
      <c r="F30" s="67">
        <f t="shared" si="1"/>
        <v>0.126</v>
      </c>
    </row>
    <row r="31" spans="2:6" hidden="1" x14ac:dyDescent="0.25">
      <c r="B31" s="56"/>
      <c r="C31" s="624"/>
      <c r="D31" s="449"/>
      <c r="E31" s="66"/>
      <c r="F31" s="67"/>
    </row>
    <row r="32" spans="2:6" x14ac:dyDescent="0.25">
      <c r="B32" s="59" t="s">
        <v>37</v>
      </c>
      <c r="C32" s="60">
        <f>SUM(C20:C30)</f>
        <v>23.000399999999999</v>
      </c>
      <c r="D32" s="625">
        <f>SUM(D20:D30)</f>
        <v>99.999999999999957</v>
      </c>
    </row>
    <row r="33" spans="1:10" x14ac:dyDescent="0.25">
      <c r="B33" s="62"/>
      <c r="C33" s="63"/>
      <c r="D33" s="63"/>
    </row>
    <row r="34" spans="1:10" x14ac:dyDescent="0.25">
      <c r="B34" s="68" t="s">
        <v>112</v>
      </c>
      <c r="C34" s="69">
        <f>SUM(C14,C32)</f>
        <v>100.0004</v>
      </c>
      <c r="D34" s="69"/>
    </row>
    <row r="35" spans="1:10" x14ac:dyDescent="0.25">
      <c r="B35" s="51"/>
      <c r="C35" s="64"/>
      <c r="D35" s="65"/>
    </row>
    <row r="36" spans="1:10" x14ac:dyDescent="0.25">
      <c r="B36" s="51"/>
      <c r="C36" s="64"/>
      <c r="D36" s="65"/>
    </row>
    <row r="37" spans="1:10" ht="25.5" x14ac:dyDescent="0.35">
      <c r="B37" s="1920" t="s">
        <v>936</v>
      </c>
      <c r="C37" s="1920"/>
      <c r="D37" s="1920"/>
      <c r="E37" s="1920"/>
      <c r="F37" s="1920"/>
    </row>
    <row r="38" spans="1:10" x14ac:dyDescent="0.2">
      <c r="A38" s="23" t="s">
        <v>1210</v>
      </c>
      <c r="B38" s="23" t="s">
        <v>1</v>
      </c>
      <c r="C38" s="23" t="s">
        <v>2</v>
      </c>
      <c r="D38" s="23" t="s">
        <v>3</v>
      </c>
      <c r="E38" s="22" t="s">
        <v>451</v>
      </c>
      <c r="F38" s="22" t="s">
        <v>452</v>
      </c>
      <c r="G38" s="67">
        <v>1.1000000000000001</v>
      </c>
      <c r="H38" s="42">
        <v>2000</v>
      </c>
    </row>
    <row r="39" spans="1:10" x14ac:dyDescent="0.25">
      <c r="A39" s="42">
        <v>1121005</v>
      </c>
      <c r="B39" s="630" t="s">
        <v>1072</v>
      </c>
      <c r="C39" s="1136">
        <v>0.8470135522168355</v>
      </c>
      <c r="D39" s="495">
        <f t="shared" ref="D39:D51" si="2">(C39*100)/$C$53</f>
        <v>77.001232019712305</v>
      </c>
      <c r="E39" s="585">
        <f>VLOOKUP(A39,[2]Hoja1!$C$2:$E$279,3,FALSE)</f>
        <v>20000</v>
      </c>
      <c r="F39" s="498">
        <f t="shared" ref="F39:F51" si="3">E39*C39</f>
        <v>16940.27104433671</v>
      </c>
      <c r="G39" s="282">
        <f t="shared" ref="G39:G51" si="4">$G$38*D39%</f>
        <v>0.8470135522168355</v>
      </c>
      <c r="H39" s="336">
        <f t="shared" ref="H39:H51" si="5">$H$38*D39%</f>
        <v>1540.024640394246</v>
      </c>
    </row>
    <row r="40" spans="1:10" x14ac:dyDescent="0.25">
      <c r="A40" s="42">
        <v>1131002</v>
      </c>
      <c r="B40" s="56" t="s">
        <v>663</v>
      </c>
      <c r="C40" s="70">
        <v>0.16709267348277565</v>
      </c>
      <c r="D40" s="72">
        <f t="shared" si="2"/>
        <v>15.190243043888691</v>
      </c>
      <c r="E40" s="585">
        <f>VLOOKUP(A40,[2]Hoja1!$C$2:$E$279,3,FALSE)</f>
        <v>0</v>
      </c>
      <c r="F40" s="73">
        <f t="shared" si="3"/>
        <v>0</v>
      </c>
      <c r="G40" s="282">
        <f t="shared" si="4"/>
        <v>0.16709267348277559</v>
      </c>
      <c r="H40" s="336">
        <f t="shared" si="5"/>
        <v>303.80486087777382</v>
      </c>
      <c r="I40" s="42" t="s">
        <v>85</v>
      </c>
    </row>
    <row r="41" spans="1:10" x14ac:dyDescent="0.25">
      <c r="A41" s="42">
        <v>1131001</v>
      </c>
      <c r="B41" s="56" t="s">
        <v>1163</v>
      </c>
      <c r="C41" s="70">
        <v>4.177866845869533E-2</v>
      </c>
      <c r="D41" s="72">
        <f t="shared" si="2"/>
        <v>3.7980607689723018</v>
      </c>
      <c r="E41" s="585">
        <f>VLOOKUP(A41,[2]Hoja1!$C$2:$E$279,3,FALSE)</f>
        <v>386.9</v>
      </c>
      <c r="F41" s="73">
        <f t="shared" si="3"/>
        <v>16.164166826669224</v>
      </c>
      <c r="G41" s="282">
        <f t="shared" si="4"/>
        <v>4.177866845869533E-2</v>
      </c>
      <c r="H41" s="336">
        <f t="shared" si="5"/>
        <v>75.961215379446045</v>
      </c>
    </row>
    <row r="42" spans="1:10" x14ac:dyDescent="0.25">
      <c r="A42" s="42">
        <v>1210005</v>
      </c>
      <c r="B42" s="56" t="s">
        <v>1155</v>
      </c>
      <c r="C42" s="70">
        <v>1.1554584873357964E-2</v>
      </c>
      <c r="D42" s="72">
        <f t="shared" si="2"/>
        <v>1.0504168066689057</v>
      </c>
      <c r="E42" s="585">
        <f>VLOOKUP(A42,[2]Hoja1!$C$2:$E$279,3,FALSE)</f>
        <v>1356</v>
      </c>
      <c r="F42" s="73">
        <f t="shared" si="3"/>
        <v>15.668017088273398</v>
      </c>
      <c r="G42" s="282">
        <f t="shared" si="4"/>
        <v>1.1554584873357964E-2</v>
      </c>
      <c r="H42" s="336">
        <f t="shared" si="5"/>
        <v>21.008336133378112</v>
      </c>
    </row>
    <row r="43" spans="1:10" x14ac:dyDescent="0.25">
      <c r="A43" s="42">
        <v>1260010</v>
      </c>
      <c r="B43" s="523" t="s">
        <v>1043</v>
      </c>
      <c r="C43" s="70">
        <v>1.1000176002816039E-2</v>
      </c>
      <c r="D43" s="72">
        <f t="shared" si="2"/>
        <v>1.0000160002560035</v>
      </c>
      <c r="E43" s="585">
        <f>VLOOKUP(A43,[2]Hoja1!$C$2:$E$279,3,FALSE)</f>
        <v>6959.71</v>
      </c>
      <c r="F43" s="73">
        <f t="shared" si="3"/>
        <v>76.558034928558826</v>
      </c>
      <c r="G43" s="282">
        <f t="shared" si="4"/>
        <v>1.1000176002816039E-2</v>
      </c>
      <c r="H43" s="336">
        <f t="shared" si="5"/>
        <v>20.00032000512007</v>
      </c>
    </row>
    <row r="44" spans="1:10" x14ac:dyDescent="0.25">
      <c r="A44" s="42">
        <v>1240002</v>
      </c>
      <c r="B44" s="523" t="s">
        <v>1140</v>
      </c>
      <c r="C44" s="70">
        <v>5.5000880014080197E-3</v>
      </c>
      <c r="D44" s="72">
        <f t="shared" si="2"/>
        <v>0.50000800012800173</v>
      </c>
      <c r="E44" s="585">
        <f>VLOOKUP(A44,[2]Hoja1!$C$2:$E$279,3,FALSE)</f>
        <v>66115.8</v>
      </c>
      <c r="F44" s="73">
        <f t="shared" si="3"/>
        <v>363.64271828349234</v>
      </c>
      <c r="G44" s="282">
        <f t="shared" si="4"/>
        <v>5.5000880014080197E-3</v>
      </c>
      <c r="H44" s="336">
        <f t="shared" si="5"/>
        <v>10.000160002560035</v>
      </c>
    </row>
    <row r="45" spans="1:10" x14ac:dyDescent="0.25">
      <c r="A45" s="42">
        <v>1220014</v>
      </c>
      <c r="B45" s="523" t="s">
        <v>1146</v>
      </c>
      <c r="C45" s="70">
        <v>5.5000880014080197E-3</v>
      </c>
      <c r="D45" s="72">
        <f t="shared" si="2"/>
        <v>0.50000800012800173</v>
      </c>
      <c r="E45" s="585">
        <f>VLOOKUP(A45,[2]Hoja1!$C$2:$E$279,3,FALSE)</f>
        <v>14060</v>
      </c>
      <c r="F45" s="73">
        <f t="shared" si="3"/>
        <v>77.331237299796754</v>
      </c>
      <c r="G45" s="282">
        <f t="shared" si="4"/>
        <v>5.5000880014080197E-3</v>
      </c>
      <c r="H45" s="336">
        <f t="shared" si="5"/>
        <v>10.000160002560035</v>
      </c>
      <c r="J45" s="336"/>
    </row>
    <row r="46" spans="1:10" x14ac:dyDescent="0.25">
      <c r="A46" s="42">
        <v>1220010</v>
      </c>
      <c r="B46" s="523" t="s">
        <v>931</v>
      </c>
      <c r="C46" s="70">
        <v>4.4000704011264175E-3</v>
      </c>
      <c r="D46" s="72">
        <f t="shared" si="2"/>
        <v>0.40000640010240146</v>
      </c>
      <c r="E46" s="585">
        <f>VLOOKUP(A46,[2]Hoja1!$C$2:$E$279,3,FALSE)</f>
        <v>4744.72</v>
      </c>
      <c r="F46" s="73">
        <f t="shared" si="3"/>
        <v>20.877102033632536</v>
      </c>
      <c r="G46" s="282">
        <f t="shared" si="4"/>
        <v>4.4000704011264167E-3</v>
      </c>
      <c r="H46" s="336">
        <f t="shared" si="5"/>
        <v>8.0001280020480294</v>
      </c>
    </row>
    <row r="47" spans="1:10" x14ac:dyDescent="0.25">
      <c r="A47" s="42">
        <v>1210002</v>
      </c>
      <c r="B47" s="523" t="s">
        <v>1033</v>
      </c>
      <c r="C47" s="70">
        <v>3.3000528008448105E-3</v>
      </c>
      <c r="D47" s="72">
        <f t="shared" si="2"/>
        <v>0.30000480007680086</v>
      </c>
      <c r="E47" s="585">
        <f>VLOOKUP(A47,[2]Hoja1!$C$2:$E$279,3,FALSE)</f>
        <v>12886</v>
      </c>
      <c r="F47" s="73">
        <f t="shared" si="3"/>
        <v>42.524480391686225</v>
      </c>
      <c r="G47" s="282">
        <f t="shared" si="4"/>
        <v>3.3000528008448097E-3</v>
      </c>
      <c r="H47" s="336">
        <f t="shared" si="5"/>
        <v>6.0000960015360167</v>
      </c>
    </row>
    <row r="48" spans="1:10" x14ac:dyDescent="0.25">
      <c r="A48" s="42">
        <v>1210004</v>
      </c>
      <c r="B48" s="523" t="s">
        <v>1131</v>
      </c>
      <c r="C48" s="70">
        <v>1.8700299204787269E-3</v>
      </c>
      <c r="D48" s="72">
        <f t="shared" si="2"/>
        <v>0.17000272004352057</v>
      </c>
      <c r="E48" s="585">
        <f>VLOOKUP(A48,[2]Hoja1!$C$2:$E$279,3,FALSE)</f>
        <v>3841</v>
      </c>
      <c r="F48" s="73">
        <f t="shared" si="3"/>
        <v>7.1827849245587903</v>
      </c>
      <c r="G48" s="282">
        <f t="shared" si="4"/>
        <v>1.8700299204787265E-3</v>
      </c>
      <c r="H48" s="336">
        <f t="shared" si="5"/>
        <v>3.4000544008704114</v>
      </c>
    </row>
    <row r="49" spans="1:8" x14ac:dyDescent="0.25">
      <c r="A49" s="42">
        <v>1210003</v>
      </c>
      <c r="B49" s="523" t="s">
        <v>741</v>
      </c>
      <c r="C49" s="70">
        <v>5.5000880014080219E-4</v>
      </c>
      <c r="D49" s="72">
        <f t="shared" si="2"/>
        <v>5.0000800012800183E-2</v>
      </c>
      <c r="E49" s="585">
        <f>VLOOKUP(A49,[2]Hoja1!$C$2:$E$279,3,FALSE)</f>
        <v>16235.45</v>
      </c>
      <c r="F49" s="73">
        <f t="shared" si="3"/>
        <v>8.929640374245988</v>
      </c>
      <c r="G49" s="282">
        <f t="shared" si="4"/>
        <v>5.5000880014080208E-4</v>
      </c>
      <c r="H49" s="336">
        <f t="shared" si="5"/>
        <v>1.0000160002560037</v>
      </c>
    </row>
    <row r="50" spans="1:8" x14ac:dyDescent="0.25">
      <c r="A50" s="42">
        <v>1250003</v>
      </c>
      <c r="B50" s="523" t="s">
        <v>914</v>
      </c>
      <c r="C50" s="70">
        <v>2.2000352005632079E-4</v>
      </c>
      <c r="D50" s="72">
        <f t="shared" si="2"/>
        <v>2.0000320005120066E-2</v>
      </c>
      <c r="E50" s="585">
        <f>VLOOKUP(A50,[2]Hoja1!$C$2:$E$279,3,FALSE)</f>
        <v>50952.79</v>
      </c>
      <c r="F50" s="73">
        <f t="shared" si="3"/>
        <v>11.209793156690502</v>
      </c>
      <c r="G50" s="282">
        <f t="shared" si="4"/>
        <v>2.2000352005632074E-4</v>
      </c>
      <c r="H50" s="336">
        <f t="shared" si="5"/>
        <v>0.40000640010240129</v>
      </c>
    </row>
    <row r="51" spans="1:8" x14ac:dyDescent="0.25">
      <c r="A51" s="42">
        <v>1270004</v>
      </c>
      <c r="B51" s="523" t="s">
        <v>1032</v>
      </c>
      <c r="C51" s="70">
        <v>2.2000352005632079E-4</v>
      </c>
      <c r="D51" s="72">
        <f t="shared" si="2"/>
        <v>2.0000320005120066E-2</v>
      </c>
      <c r="E51" s="585">
        <f>VLOOKUP(A51,[2]Hoja1!$C$2:$E$279,3,FALSE)</f>
        <v>50662</v>
      </c>
      <c r="F51" s="73">
        <f t="shared" si="3"/>
        <v>11.145818333093324</v>
      </c>
      <c r="G51" s="282">
        <f t="shared" si="4"/>
        <v>2.2000352005632074E-4</v>
      </c>
      <c r="H51" s="336">
        <f t="shared" si="5"/>
        <v>0.40000640010240129</v>
      </c>
    </row>
    <row r="52" spans="1:8" hidden="1" x14ac:dyDescent="0.25">
      <c r="B52" s="523"/>
      <c r="C52" s="523"/>
      <c r="D52" s="523"/>
      <c r="E52" s="523"/>
      <c r="F52" s="523"/>
    </row>
    <row r="53" spans="1:8" x14ac:dyDescent="0.25">
      <c r="B53" s="1128"/>
      <c r="C53" s="75">
        <f>SUM(C39:C51)</f>
        <v>1.1000000000000003</v>
      </c>
      <c r="D53" s="75">
        <f>SUM(D39:D51)</f>
        <v>99.999999999999986</v>
      </c>
      <c r="E53" s="76"/>
      <c r="F53" s="1135">
        <f>SUM(F39:F51)</f>
        <v>17591.504837977405</v>
      </c>
    </row>
    <row r="55" spans="1:8" ht="25.5" x14ac:dyDescent="0.35">
      <c r="B55" s="1921" t="s">
        <v>50</v>
      </c>
      <c r="C55" s="1922"/>
      <c r="E55" s="42" t="s">
        <v>85</v>
      </c>
    </row>
    <row r="56" spans="1:8" x14ac:dyDescent="0.25">
      <c r="B56" s="20" t="s">
        <v>38</v>
      </c>
      <c r="C56" s="21" t="s">
        <v>90</v>
      </c>
    </row>
    <row r="57" spans="1:8" x14ac:dyDescent="0.25">
      <c r="B57" s="20" t="s">
        <v>39</v>
      </c>
      <c r="C57" s="21" t="s">
        <v>937</v>
      </c>
      <c r="G57" s="42" t="s">
        <v>85</v>
      </c>
    </row>
    <row r="58" spans="1:8" x14ac:dyDescent="0.25">
      <c r="B58" s="20" t="s">
        <v>40</v>
      </c>
      <c r="C58" s="21">
        <v>200</v>
      </c>
    </row>
    <row r="59" spans="1:8" x14ac:dyDescent="0.25">
      <c r="B59" s="20" t="s">
        <v>41</v>
      </c>
      <c r="C59" s="21">
        <v>0</v>
      </c>
    </row>
    <row r="60" spans="1:8" x14ac:dyDescent="0.25">
      <c r="B60" s="20" t="s">
        <v>42</v>
      </c>
      <c r="C60" s="21">
        <v>0</v>
      </c>
    </row>
    <row r="61" spans="1:8" x14ac:dyDescent="0.25">
      <c r="B61" s="20" t="s">
        <v>43</v>
      </c>
      <c r="C61" s="21">
        <v>6</v>
      </c>
    </row>
    <row r="62" spans="1:8" x14ac:dyDescent="0.25">
      <c r="B62" s="20" t="s">
        <v>44</v>
      </c>
      <c r="C62" s="21">
        <v>20</v>
      </c>
      <c r="D62" s="42" t="s">
        <v>938</v>
      </c>
    </row>
    <row r="63" spans="1:8" x14ac:dyDescent="0.25">
      <c r="B63" s="20" t="s">
        <v>45</v>
      </c>
      <c r="C63" s="21">
        <v>4</v>
      </c>
    </row>
    <row r="64" spans="1:8" x14ac:dyDescent="0.25">
      <c r="B64" s="20" t="s">
        <v>46</v>
      </c>
      <c r="C64" s="21">
        <v>10</v>
      </c>
    </row>
    <row r="67" spans="2:7" ht="25.5" x14ac:dyDescent="0.35">
      <c r="B67" s="1920" t="s">
        <v>47</v>
      </c>
      <c r="C67" s="1920"/>
      <c r="D67" s="1920"/>
      <c r="E67" s="1920"/>
      <c r="F67" s="1920"/>
    </row>
    <row r="68" spans="2:7" x14ac:dyDescent="0.2">
      <c r="B68" s="999" t="s">
        <v>0</v>
      </c>
      <c r="C68" s="999" t="s">
        <v>1</v>
      </c>
      <c r="D68" s="999" t="s">
        <v>2</v>
      </c>
      <c r="E68" s="1000" t="s">
        <v>451</v>
      </c>
      <c r="F68" s="1000" t="s">
        <v>452</v>
      </c>
      <c r="G68" s="42">
        <v>200</v>
      </c>
    </row>
    <row r="69" spans="2:7" x14ac:dyDescent="0.3">
      <c r="B69" s="563">
        <v>1310018</v>
      </c>
      <c r="C69" s="563" t="s">
        <v>890</v>
      </c>
      <c r="D69" s="582">
        <v>0.14499999999999999</v>
      </c>
      <c r="E69" s="582">
        <f>VLOOKUP(B69,[2]Hoja1!$C$2:$E$279,3,FALSE)</f>
        <v>478.26</v>
      </c>
      <c r="F69" s="1031">
        <f>E69*D69</f>
        <v>69.347699999999989</v>
      </c>
      <c r="G69" s="282">
        <f>$G$68*D69%</f>
        <v>0.28999999999999998</v>
      </c>
    </row>
    <row r="70" spans="2:7" x14ac:dyDescent="0.3">
      <c r="B70" s="74">
        <v>1320005</v>
      </c>
      <c r="C70" s="74" t="s">
        <v>1145</v>
      </c>
      <c r="D70" s="533">
        <v>0.14499999999999999</v>
      </c>
      <c r="E70" s="582">
        <f>VLOOKUP(B70,[2]Hoja1!$C$2:$E$279,3,FALSE)</f>
        <v>740.21</v>
      </c>
      <c r="F70" s="1031">
        <f>E70*D70</f>
        <v>107.33045</v>
      </c>
      <c r="G70" s="282">
        <f>$G$68*D70%</f>
        <v>0.28999999999999998</v>
      </c>
    </row>
    <row r="71" spans="2:7" x14ac:dyDescent="0.3">
      <c r="B71" s="1134">
        <v>1330022</v>
      </c>
      <c r="C71" s="1134" t="s">
        <v>943</v>
      </c>
      <c r="D71" s="1133">
        <v>1</v>
      </c>
      <c r="E71" s="582">
        <f>VLOOKUP(B71,[2]Hoja1!$C$2:$E$279,3,FALSE)</f>
        <v>40.869999999999997</v>
      </c>
      <c r="F71" s="1132">
        <f>E71*D71</f>
        <v>40.869999999999997</v>
      </c>
      <c r="G71" s="282">
        <f>$G$68*D71%</f>
        <v>2</v>
      </c>
    </row>
    <row r="72" spans="2:7" ht="14.45" customHeight="1" x14ac:dyDescent="0.25">
      <c r="B72" s="1918" t="s">
        <v>37</v>
      </c>
      <c r="C72" s="1919"/>
      <c r="D72" s="1012"/>
      <c r="E72" s="1012"/>
      <c r="F72" s="1013">
        <f>SUM(F69:F71)</f>
        <v>217.54814999999999</v>
      </c>
    </row>
    <row r="74" spans="2:7" x14ac:dyDescent="0.25">
      <c r="B74" s="1918" t="s">
        <v>178</v>
      </c>
      <c r="C74" s="1919"/>
      <c r="D74" s="1131">
        <f>+F72+F53</f>
        <v>17809.052987977404</v>
      </c>
    </row>
    <row r="75" spans="2:7" x14ac:dyDescent="0.25">
      <c r="B75" s="1918" t="s">
        <v>48</v>
      </c>
      <c r="C75" s="1919"/>
      <c r="D75" s="1131">
        <f>+('CIF Y PV'!C3/1000)*1000</f>
        <v>1890</v>
      </c>
    </row>
    <row r="76" spans="2:7" x14ac:dyDescent="0.25">
      <c r="B76" s="1918" t="s">
        <v>179</v>
      </c>
      <c r="C76" s="1919"/>
      <c r="D76" s="1226">
        <f>+D75+D74</f>
        <v>19699.052987977404</v>
      </c>
      <c r="E76" s="1227" t="s">
        <v>805</v>
      </c>
      <c r="F76" s="1228">
        <f>(D77-D76)/D77</f>
        <v>0.53795250608366596</v>
      </c>
    </row>
    <row r="77" spans="2:7" x14ac:dyDescent="0.25">
      <c r="B77" s="1918" t="s">
        <v>940</v>
      </c>
      <c r="C77" s="1919"/>
      <c r="D77" s="1131">
        <f>'CIF Y PV'!C62</f>
        <v>42634.26</v>
      </c>
      <c r="E77" s="1130">
        <v>0.42</v>
      </c>
    </row>
    <row r="78" spans="2:7" x14ac:dyDescent="0.25">
      <c r="E78" s="1129">
        <f>1-E77</f>
        <v>0.58000000000000007</v>
      </c>
    </row>
  </sheetData>
  <mergeCells count="9">
    <mergeCell ref="B2:E2"/>
    <mergeCell ref="B75:C75"/>
    <mergeCell ref="B76:C76"/>
    <mergeCell ref="B77:C77"/>
    <mergeCell ref="B37:F37"/>
    <mergeCell ref="B55:C55"/>
    <mergeCell ref="B67:F67"/>
    <mergeCell ref="B72:C72"/>
    <mergeCell ref="B74:C74"/>
  </mergeCells>
  <pageMargins left="0.7" right="0.7" top="0.75" bottom="0.75" header="0.3" footer="0.3"/>
  <pageSetup paperSize="9" scale="44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F78A-F304-4030-9B4D-4AE5C84B029F}">
  <sheetPr codeName="Hoja87">
    <tabColor theme="5" tint="-0.249977111117893"/>
  </sheetPr>
  <dimension ref="B1:I90"/>
  <sheetViews>
    <sheetView topLeftCell="A86" zoomScaleNormal="100" workbookViewId="0">
      <selection activeCell="B89" sqref="B89"/>
    </sheetView>
  </sheetViews>
  <sheetFormatPr baseColWidth="10" defaultRowHeight="15" x14ac:dyDescent="0.25"/>
  <cols>
    <col min="1" max="1" width="7.5703125" customWidth="1"/>
    <col min="2" max="2" width="73.28515625" customWidth="1"/>
    <col min="3" max="3" width="19.7109375" customWidth="1"/>
    <col min="6" max="6" width="20.5703125" bestFit="1" customWidth="1"/>
    <col min="7" max="7" width="20.140625" bestFit="1" customWidth="1"/>
    <col min="8" max="8" width="24.140625" bestFit="1" customWidth="1"/>
    <col min="9" max="9" width="23.7109375" bestFit="1" customWidth="1"/>
  </cols>
  <sheetData>
    <row r="1" spans="2:9" x14ac:dyDescent="0.25">
      <c r="F1" s="944" t="s">
        <v>868</v>
      </c>
      <c r="G1" s="943" t="s">
        <v>594</v>
      </c>
    </row>
    <row r="2" spans="2:9" ht="18.75" x14ac:dyDescent="0.3">
      <c r="B2" s="1923" t="s">
        <v>833</v>
      </c>
      <c r="C2" s="941" t="s">
        <v>1356</v>
      </c>
      <c r="F2" s="129" t="s">
        <v>1363</v>
      </c>
      <c r="G2" s="129" t="s">
        <v>1364</v>
      </c>
      <c r="H2" s="129" t="s">
        <v>1353</v>
      </c>
      <c r="I2" s="129" t="s">
        <v>1354</v>
      </c>
    </row>
    <row r="3" spans="2:9" ht="18.75" x14ac:dyDescent="0.3">
      <c r="B3" s="1923"/>
      <c r="C3" s="940">
        <v>1890</v>
      </c>
    </row>
    <row r="4" spans="2:9" x14ac:dyDescent="0.25">
      <c r="F4" s="129" t="s">
        <v>1365</v>
      </c>
      <c r="G4" s="129" t="s">
        <v>1364</v>
      </c>
      <c r="H4" s="129" t="s">
        <v>1355</v>
      </c>
      <c r="I4" s="129" t="s">
        <v>1354</v>
      </c>
    </row>
    <row r="5" spans="2:9" ht="37.5" x14ac:dyDescent="0.25">
      <c r="B5" s="938" t="s">
        <v>834</v>
      </c>
      <c r="C5" s="939" t="s">
        <v>835</v>
      </c>
    </row>
    <row r="6" spans="2:9" ht="18.75" x14ac:dyDescent="0.25">
      <c r="B6" s="948" t="s">
        <v>863</v>
      </c>
      <c r="C6" s="937">
        <v>12007.44</v>
      </c>
      <c r="F6" s="1628" t="s">
        <v>1362</v>
      </c>
    </row>
    <row r="7" spans="2:9" ht="18.75" x14ac:dyDescent="0.25">
      <c r="B7" s="948" t="s">
        <v>979</v>
      </c>
      <c r="C7" s="937">
        <v>4568</v>
      </c>
    </row>
    <row r="8" spans="2:9" ht="18.75" x14ac:dyDescent="0.25">
      <c r="B8" s="948" t="s">
        <v>978</v>
      </c>
      <c r="C8" s="937">
        <v>4633</v>
      </c>
    </row>
    <row r="9" spans="2:9" ht="18.75" x14ac:dyDescent="0.25">
      <c r="B9" s="948" t="s">
        <v>981</v>
      </c>
      <c r="C9" s="937">
        <v>26346.075000000001</v>
      </c>
    </row>
    <row r="10" spans="2:9" ht="18.75" x14ac:dyDescent="0.25">
      <c r="B10" s="948" t="s">
        <v>963</v>
      </c>
      <c r="C10" s="937">
        <v>2862.8850000000002</v>
      </c>
    </row>
    <row r="11" spans="2:9" ht="18.75" x14ac:dyDescent="0.25">
      <c r="B11" s="948" t="s">
        <v>980</v>
      </c>
      <c r="C11" s="937">
        <v>5559</v>
      </c>
    </row>
    <row r="12" spans="2:9" ht="18.75" x14ac:dyDescent="0.25">
      <c r="B12" s="948" t="s">
        <v>1109</v>
      </c>
      <c r="C12" s="937">
        <v>11131.210000000001</v>
      </c>
    </row>
    <row r="13" spans="2:9" ht="18.75" x14ac:dyDescent="0.25">
      <c r="B13" s="948" t="s">
        <v>982</v>
      </c>
      <c r="C13" s="937">
        <v>24307</v>
      </c>
    </row>
    <row r="14" spans="2:9" ht="18.75" x14ac:dyDescent="0.25">
      <c r="B14" s="948" t="s">
        <v>836</v>
      </c>
      <c r="C14" s="937">
        <v>7416.3600000000006</v>
      </c>
    </row>
    <row r="15" spans="2:9" ht="18.75" x14ac:dyDescent="0.25">
      <c r="B15" s="948" t="s">
        <v>907</v>
      </c>
      <c r="C15" s="937">
        <v>10987.2</v>
      </c>
    </row>
    <row r="16" spans="2:9" ht="18.75" x14ac:dyDescent="0.25">
      <c r="B16" s="1681" t="s">
        <v>837</v>
      </c>
      <c r="C16" s="1127">
        <v>11340</v>
      </c>
    </row>
    <row r="17" spans="2:4" ht="18.75" x14ac:dyDescent="0.25">
      <c r="B17" s="948" t="s">
        <v>983</v>
      </c>
      <c r="C17" s="937">
        <v>23980</v>
      </c>
    </row>
    <row r="18" spans="2:4" ht="18.75" x14ac:dyDescent="0.25">
      <c r="B18" s="948" t="s">
        <v>985</v>
      </c>
      <c r="C18" s="937">
        <v>10506</v>
      </c>
    </row>
    <row r="19" spans="2:4" ht="18.75" x14ac:dyDescent="0.25">
      <c r="B19" s="948" t="s">
        <v>984</v>
      </c>
      <c r="C19" s="937">
        <v>25749.070000000003</v>
      </c>
    </row>
    <row r="20" spans="2:4" ht="18.75" x14ac:dyDescent="0.25">
      <c r="B20" s="948" t="s">
        <v>903</v>
      </c>
      <c r="C20" s="937">
        <v>8196</v>
      </c>
    </row>
    <row r="21" spans="2:4" ht="18.75" x14ac:dyDescent="0.25">
      <c r="B21" s="948" t="s">
        <v>951</v>
      </c>
      <c r="C21" s="937">
        <v>12911.050000000001</v>
      </c>
      <c r="D21">
        <v>31.46</v>
      </c>
    </row>
    <row r="22" spans="2:4" ht="18.75" x14ac:dyDescent="0.25">
      <c r="B22" s="948" t="s">
        <v>950</v>
      </c>
      <c r="C22" s="937">
        <v>28067.500000000004</v>
      </c>
    </row>
    <row r="23" spans="2:4" ht="18.75" x14ac:dyDescent="0.25">
      <c r="B23" s="948" t="s">
        <v>838</v>
      </c>
      <c r="C23" s="937">
        <v>45961.812000000005</v>
      </c>
      <c r="D23">
        <v>32.17</v>
      </c>
    </row>
    <row r="24" spans="2:4" ht="18.75" x14ac:dyDescent="0.25">
      <c r="B24" s="948" t="s">
        <v>839</v>
      </c>
      <c r="C24" s="937">
        <v>14331.751200000001</v>
      </c>
      <c r="D24">
        <v>50.09</v>
      </c>
    </row>
    <row r="25" spans="2:4" ht="18.75" x14ac:dyDescent="0.25">
      <c r="B25" s="948" t="s">
        <v>840</v>
      </c>
      <c r="C25" s="937">
        <v>14331.751200000001</v>
      </c>
      <c r="D25">
        <v>29.47</v>
      </c>
    </row>
    <row r="26" spans="2:4" ht="18.75" x14ac:dyDescent="0.25">
      <c r="B26" s="948" t="s">
        <v>869</v>
      </c>
      <c r="C26" s="937">
        <v>38858.5</v>
      </c>
      <c r="D26">
        <v>54.54</v>
      </c>
    </row>
    <row r="27" spans="2:4" ht="18.75" x14ac:dyDescent="0.25">
      <c r="B27" s="948" t="s">
        <v>870</v>
      </c>
      <c r="C27" s="937">
        <v>38179.43</v>
      </c>
      <c r="D27" s="1550">
        <v>47.91</v>
      </c>
    </row>
    <row r="28" spans="2:4" ht="18.75" x14ac:dyDescent="0.25">
      <c r="B28" s="948" t="s">
        <v>841</v>
      </c>
      <c r="C28" s="937">
        <v>9233.9568000000017</v>
      </c>
      <c r="D28">
        <v>47.45</v>
      </c>
    </row>
    <row r="29" spans="2:4" ht="18.75" x14ac:dyDescent="0.25">
      <c r="B29" s="948" t="s">
        <v>842</v>
      </c>
      <c r="C29" s="937">
        <v>13351.8024</v>
      </c>
      <c r="D29">
        <v>41</v>
      </c>
    </row>
    <row r="30" spans="2:4" ht="18.75" x14ac:dyDescent="0.25">
      <c r="B30" s="948" t="s">
        <v>827</v>
      </c>
      <c r="C30" s="937">
        <v>6029</v>
      </c>
    </row>
    <row r="31" spans="2:4" ht="18.75" x14ac:dyDescent="0.25">
      <c r="B31" s="948" t="s">
        <v>1233</v>
      </c>
      <c r="C31" s="937">
        <v>7292.7540000000008</v>
      </c>
      <c r="D31">
        <v>46.69</v>
      </c>
    </row>
    <row r="32" spans="2:4" ht="18.75" x14ac:dyDescent="0.25">
      <c r="B32" s="948" t="s">
        <v>843</v>
      </c>
      <c r="C32" s="937">
        <v>9525.0329999999994</v>
      </c>
      <c r="D32">
        <v>29.89</v>
      </c>
    </row>
    <row r="33" spans="2:4" ht="18.75" x14ac:dyDescent="0.25">
      <c r="B33" s="948" t="s">
        <v>871</v>
      </c>
      <c r="C33" s="937">
        <v>5702.8860000000004</v>
      </c>
      <c r="D33">
        <v>44.99</v>
      </c>
    </row>
    <row r="34" spans="2:4" ht="18.75" x14ac:dyDescent="0.25">
      <c r="B34" s="948" t="s">
        <v>844</v>
      </c>
      <c r="C34" s="937">
        <v>10799.082</v>
      </c>
      <c r="D34">
        <v>44.03</v>
      </c>
    </row>
    <row r="35" spans="2:4" ht="18.75" x14ac:dyDescent="0.25">
      <c r="B35" s="948" t="s">
        <v>975</v>
      </c>
      <c r="C35" s="937">
        <v>13516.000000000002</v>
      </c>
      <c r="D35">
        <v>49.03</v>
      </c>
    </row>
    <row r="36" spans="2:4" ht="18.75" x14ac:dyDescent="0.25">
      <c r="B36" s="948" t="s">
        <v>884</v>
      </c>
      <c r="C36" s="937">
        <v>13230.464400000001</v>
      </c>
      <c r="D36">
        <v>55.12</v>
      </c>
    </row>
    <row r="37" spans="2:4" ht="18.75" x14ac:dyDescent="0.25">
      <c r="B37" s="948" t="s">
        <v>845</v>
      </c>
      <c r="C37" s="937">
        <v>31589.481600000003</v>
      </c>
      <c r="D37">
        <v>50.86</v>
      </c>
    </row>
    <row r="38" spans="2:4" ht="18.75" x14ac:dyDescent="0.25">
      <c r="B38" s="948" t="s">
        <v>846</v>
      </c>
      <c r="C38" s="937">
        <v>12847.960800000003</v>
      </c>
    </row>
    <row r="39" spans="2:4" ht="18.75" x14ac:dyDescent="0.25">
      <c r="B39" s="948" t="s">
        <v>986</v>
      </c>
      <c r="C39" s="937">
        <v>5698.8252000000002</v>
      </c>
      <c r="D39">
        <v>40.92</v>
      </c>
    </row>
    <row r="40" spans="2:4" ht="18.75" x14ac:dyDescent="0.25">
      <c r="B40" s="948" t="s">
        <v>847</v>
      </c>
      <c r="C40" s="937">
        <v>4403.9916000000003</v>
      </c>
      <c r="D40">
        <v>40.92</v>
      </c>
    </row>
    <row r="41" spans="2:4" ht="18.75" x14ac:dyDescent="0.25">
      <c r="B41" s="948" t="s">
        <v>878</v>
      </c>
      <c r="C41" s="937">
        <v>7883.5884999999998</v>
      </c>
      <c r="D41">
        <v>43.78</v>
      </c>
    </row>
    <row r="42" spans="2:4" ht="18.75" x14ac:dyDescent="0.25">
      <c r="B42" s="1681" t="s">
        <v>848</v>
      </c>
      <c r="C42" s="1127">
        <v>4850.0640000000003</v>
      </c>
    </row>
    <row r="43" spans="2:4" ht="18.75" x14ac:dyDescent="0.25">
      <c r="B43" s="1681" t="s">
        <v>849</v>
      </c>
      <c r="C43" s="937">
        <v>8366.3604000000014</v>
      </c>
    </row>
    <row r="44" spans="2:4" ht="18.75" x14ac:dyDescent="0.25">
      <c r="B44" s="948" t="s">
        <v>850</v>
      </c>
      <c r="C44" s="937">
        <v>3955.3920000000003</v>
      </c>
    </row>
    <row r="45" spans="2:4" ht="18.75" x14ac:dyDescent="0.25">
      <c r="B45" s="948" t="s">
        <v>851</v>
      </c>
      <c r="C45" s="937">
        <v>14219.658000000001</v>
      </c>
    </row>
    <row r="46" spans="2:4" ht="18.75" x14ac:dyDescent="0.25">
      <c r="B46" s="948" t="s">
        <v>857</v>
      </c>
      <c r="C46" s="937">
        <v>24657.980000000003</v>
      </c>
    </row>
    <row r="47" spans="2:4" ht="18.75" x14ac:dyDescent="0.25">
      <c r="B47" s="948" t="s">
        <v>856</v>
      </c>
      <c r="C47" s="937">
        <v>11371.752</v>
      </c>
    </row>
    <row r="48" spans="2:4" ht="18.75" x14ac:dyDescent="0.25">
      <c r="B48" s="1681" t="s">
        <v>852</v>
      </c>
      <c r="C48" s="937">
        <v>7280.2800000000007</v>
      </c>
    </row>
    <row r="49" spans="2:4" ht="18.75" x14ac:dyDescent="0.25">
      <c r="B49" s="1681" t="s">
        <v>853</v>
      </c>
      <c r="C49" s="937">
        <v>16016.616</v>
      </c>
    </row>
    <row r="50" spans="2:4" ht="18.75" x14ac:dyDescent="0.25">
      <c r="B50" s="948" t="s">
        <v>886</v>
      </c>
      <c r="C50" s="937">
        <v>3850</v>
      </c>
    </row>
    <row r="51" spans="2:4" ht="18.75" x14ac:dyDescent="0.25">
      <c r="B51" s="1681" t="s">
        <v>854</v>
      </c>
      <c r="C51" s="937">
        <v>9824.9112000000005</v>
      </c>
    </row>
    <row r="52" spans="2:4" ht="18.75" x14ac:dyDescent="0.25">
      <c r="B52" s="948" t="s">
        <v>889</v>
      </c>
      <c r="C52" s="937">
        <v>6370</v>
      </c>
    </row>
    <row r="53" spans="2:4" ht="18.75" x14ac:dyDescent="0.25">
      <c r="B53" s="1681" t="s">
        <v>855</v>
      </c>
      <c r="C53" s="1144">
        <v>35476.920000000006</v>
      </c>
    </row>
    <row r="54" spans="2:4" ht="18.75" x14ac:dyDescent="0.25">
      <c r="B54" s="1681" t="s">
        <v>858</v>
      </c>
      <c r="C54" s="1144">
        <v>8673.7731000000003</v>
      </c>
    </row>
    <row r="55" spans="2:4" ht="18.75" x14ac:dyDescent="0.25">
      <c r="B55" s="1681" t="s">
        <v>859</v>
      </c>
      <c r="C55" s="1144">
        <v>21036.542400000002</v>
      </c>
    </row>
    <row r="56" spans="2:4" ht="18.75" x14ac:dyDescent="0.25">
      <c r="B56" s="948" t="s">
        <v>860</v>
      </c>
      <c r="C56" s="1144">
        <v>17701.480800000001</v>
      </c>
    </row>
    <row r="57" spans="2:4" ht="18.75" x14ac:dyDescent="0.25">
      <c r="B57" s="948" t="s">
        <v>861</v>
      </c>
      <c r="C57" s="1144">
        <v>8337.6540000000005</v>
      </c>
    </row>
    <row r="58" spans="2:4" ht="18.75" x14ac:dyDescent="0.25">
      <c r="B58" s="948" t="s">
        <v>862</v>
      </c>
      <c r="C58" s="1144">
        <v>11287.900800000001</v>
      </c>
    </row>
    <row r="59" spans="2:4" ht="18.75" x14ac:dyDescent="0.25">
      <c r="B59" s="1143" t="s">
        <v>867</v>
      </c>
      <c r="C59" s="1144">
        <v>4457</v>
      </c>
    </row>
    <row r="60" spans="2:4" ht="18.75" x14ac:dyDescent="0.25">
      <c r="B60" s="1143" t="s">
        <v>866</v>
      </c>
      <c r="C60" s="1144">
        <v>4392</v>
      </c>
    </row>
    <row r="61" spans="2:4" ht="18.75" x14ac:dyDescent="0.25">
      <c r="B61" s="1143" t="s">
        <v>371</v>
      </c>
      <c r="C61" s="1144">
        <v>9227</v>
      </c>
    </row>
    <row r="62" spans="2:4" ht="18.75" x14ac:dyDescent="0.25">
      <c r="B62" s="1143" t="s">
        <v>977</v>
      </c>
      <c r="C62" s="1144">
        <v>42634.26</v>
      </c>
    </row>
    <row r="63" spans="2:4" ht="18.75" x14ac:dyDescent="0.25">
      <c r="B63" s="1143" t="s">
        <v>976</v>
      </c>
      <c r="C63" s="1144">
        <v>27220.800000000003</v>
      </c>
    </row>
    <row r="64" spans="2:4" ht="18.75" x14ac:dyDescent="0.25">
      <c r="B64" s="1143" t="s">
        <v>865</v>
      </c>
      <c r="C64" s="1144">
        <v>46000</v>
      </c>
      <c r="D64">
        <v>25.38</v>
      </c>
    </row>
    <row r="65" spans="2:4" ht="18.75" x14ac:dyDescent="0.25">
      <c r="B65" s="1143" t="s">
        <v>864</v>
      </c>
      <c r="C65" s="1144">
        <v>7990</v>
      </c>
      <c r="D65">
        <v>26.64</v>
      </c>
    </row>
    <row r="66" spans="2:4" ht="18.75" x14ac:dyDescent="0.25">
      <c r="B66" s="1143" t="s">
        <v>881</v>
      </c>
      <c r="C66" s="1144">
        <v>15000.580000000002</v>
      </c>
    </row>
    <row r="67" spans="2:4" ht="18.75" x14ac:dyDescent="0.25">
      <c r="B67" s="1143" t="s">
        <v>992</v>
      </c>
      <c r="C67" s="1144">
        <v>1385</v>
      </c>
    </row>
    <row r="68" spans="2:4" ht="18.75" x14ac:dyDescent="0.25">
      <c r="B68" s="1143" t="s">
        <v>1020</v>
      </c>
      <c r="C68" s="1144">
        <v>27372.080000000002</v>
      </c>
    </row>
    <row r="69" spans="2:4" ht="18.75" x14ac:dyDescent="0.25">
      <c r="B69" s="1143" t="s">
        <v>1081</v>
      </c>
      <c r="C69" s="1144">
        <v>8175.0000000000009</v>
      </c>
    </row>
    <row r="70" spans="2:4" ht="18.75" x14ac:dyDescent="0.25">
      <c r="B70" s="1143" t="s">
        <v>1091</v>
      </c>
      <c r="C70" s="1144">
        <v>7848.0000000000009</v>
      </c>
    </row>
    <row r="71" spans="2:4" ht="18.75" x14ac:dyDescent="0.25">
      <c r="B71" s="1143" t="s">
        <v>1096</v>
      </c>
      <c r="C71" s="1144">
        <v>27050</v>
      </c>
    </row>
    <row r="72" spans="2:4" ht="18.75" x14ac:dyDescent="0.25">
      <c r="B72" s="1143" t="s">
        <v>1102</v>
      </c>
      <c r="C72" s="1144">
        <v>2888.5</v>
      </c>
    </row>
    <row r="73" spans="2:4" ht="18.75" x14ac:dyDescent="0.25">
      <c r="B73" s="1143" t="s">
        <v>1115</v>
      </c>
      <c r="C73" s="1144">
        <v>3749</v>
      </c>
    </row>
    <row r="74" spans="2:4" ht="18.75" x14ac:dyDescent="0.25">
      <c r="B74" s="1143" t="s">
        <v>1196</v>
      </c>
      <c r="C74" s="1144">
        <v>16464.144800000002</v>
      </c>
    </row>
    <row r="75" spans="2:4" ht="18.75" x14ac:dyDescent="0.25">
      <c r="B75" s="1143" t="s">
        <v>1197</v>
      </c>
      <c r="C75" s="1514">
        <v>14.968999999999999</v>
      </c>
    </row>
    <row r="76" spans="2:4" ht="18.75" x14ac:dyDescent="0.25">
      <c r="B76" s="1143" t="s">
        <v>1199</v>
      </c>
      <c r="C76" s="1144">
        <v>22911.800000000003</v>
      </c>
    </row>
    <row r="77" spans="2:4" ht="18.75" x14ac:dyDescent="0.25">
      <c r="B77" s="1143" t="s">
        <v>1206</v>
      </c>
      <c r="C77" s="1144">
        <v>1385</v>
      </c>
    </row>
    <row r="78" spans="2:4" ht="18.75" x14ac:dyDescent="0.25">
      <c r="B78" s="1143" t="s">
        <v>1207</v>
      </c>
      <c r="C78" s="1144">
        <v>1385</v>
      </c>
    </row>
    <row r="79" spans="2:4" ht="18.75" x14ac:dyDescent="0.25">
      <c r="B79" s="1143" t="s">
        <v>1209</v>
      </c>
      <c r="C79" s="1144">
        <v>2306</v>
      </c>
    </row>
    <row r="80" spans="2:4" ht="18.75" x14ac:dyDescent="0.25">
      <c r="B80" s="1143" t="s">
        <v>1208</v>
      </c>
      <c r="C80" s="1144">
        <v>4151</v>
      </c>
    </row>
    <row r="81" spans="2:3" ht="18.75" x14ac:dyDescent="0.25">
      <c r="B81" s="1143" t="s">
        <v>1332</v>
      </c>
      <c r="C81" s="1144">
        <v>5042.0860999999995</v>
      </c>
    </row>
    <row r="82" spans="2:3" ht="18.75" x14ac:dyDescent="0.25">
      <c r="B82" s="1143" t="s">
        <v>1331</v>
      </c>
      <c r="C82" s="1144">
        <v>12995</v>
      </c>
    </row>
    <row r="83" spans="2:3" ht="18.75" x14ac:dyDescent="0.25">
      <c r="B83" s="948" t="s">
        <v>1234</v>
      </c>
      <c r="C83" s="1144">
        <v>7292.7540000000008</v>
      </c>
    </row>
    <row r="84" spans="2:3" ht="18.75" x14ac:dyDescent="0.25">
      <c r="B84" s="1143" t="s">
        <v>1235</v>
      </c>
      <c r="C84" s="1144">
        <v>25724.000000000004</v>
      </c>
    </row>
    <row r="85" spans="2:3" ht="18.75" x14ac:dyDescent="0.25">
      <c r="B85" s="948" t="s">
        <v>1236</v>
      </c>
      <c r="C85" s="1553">
        <v>5286.5</v>
      </c>
    </row>
    <row r="86" spans="2:3" ht="18.75" x14ac:dyDescent="0.25">
      <c r="B86" s="1143" t="s">
        <v>1257</v>
      </c>
      <c r="C86" s="1553">
        <v>18950</v>
      </c>
    </row>
    <row r="87" spans="2:3" ht="18.75" x14ac:dyDescent="0.25">
      <c r="B87" s="1143" t="s">
        <v>1258</v>
      </c>
      <c r="C87" s="1553">
        <v>4400</v>
      </c>
    </row>
    <row r="88" spans="2:3" ht="18.75" x14ac:dyDescent="0.25">
      <c r="B88" s="1143" t="s">
        <v>1270</v>
      </c>
      <c r="C88" s="1553">
        <v>3750</v>
      </c>
    </row>
    <row r="89" spans="2:3" ht="18.75" x14ac:dyDescent="0.25">
      <c r="B89" s="1143" t="s">
        <v>1313</v>
      </c>
      <c r="C89" s="1553">
        <v>22118</v>
      </c>
    </row>
    <row r="90" spans="2:3" ht="18.75" x14ac:dyDescent="0.25">
      <c r="B90" s="1143" t="s">
        <v>1373</v>
      </c>
      <c r="C90" s="1553">
        <v>7293</v>
      </c>
    </row>
  </sheetData>
  <autoFilter ref="B5:C5" xr:uid="{44C1F78A-F304-4030-9B4D-4AE5C84B029F}">
    <sortState xmlns:xlrd2="http://schemas.microsoft.com/office/spreadsheetml/2017/richdata2" ref="B6:C75">
      <sortCondition ref="B5"/>
    </sortState>
  </autoFilter>
  <mergeCells count="1">
    <mergeCell ref="B2:B3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E646-E89E-4AB2-B472-504BB9DBA8C0}">
  <sheetPr codeName="Hoja88"/>
  <dimension ref="A1:C70"/>
  <sheetViews>
    <sheetView workbookViewId="0">
      <selection activeCell="E9" sqref="E9"/>
    </sheetView>
  </sheetViews>
  <sheetFormatPr baseColWidth="10" defaultRowHeight="15" x14ac:dyDescent="0.25"/>
  <cols>
    <col min="1" max="1" width="140.5703125" style="725" bestFit="1" customWidth="1"/>
    <col min="2" max="2" width="21.42578125" style="725" bestFit="1" customWidth="1"/>
    <col min="3" max="3" width="22.42578125" style="725" bestFit="1" customWidth="1"/>
  </cols>
  <sheetData>
    <row r="1" spans="1:3" s="737" customFormat="1" ht="30" x14ac:dyDescent="0.25">
      <c r="A1" s="736" t="s">
        <v>693</v>
      </c>
      <c r="B1" s="738" t="s">
        <v>734</v>
      </c>
      <c r="C1" s="738" t="s">
        <v>735</v>
      </c>
    </row>
    <row r="2" spans="1:3" x14ac:dyDescent="0.25">
      <c r="A2" s="725" t="s">
        <v>227</v>
      </c>
      <c r="B2" s="725">
        <v>42090</v>
      </c>
      <c r="C2" s="725">
        <v>58</v>
      </c>
    </row>
    <row r="3" spans="1:3" x14ac:dyDescent="0.25">
      <c r="A3" s="725" t="s">
        <v>253</v>
      </c>
      <c r="B3" s="725">
        <v>194325</v>
      </c>
      <c r="C3" s="725">
        <v>1154</v>
      </c>
    </row>
    <row r="4" spans="1:3" x14ac:dyDescent="0.25">
      <c r="A4" s="725" t="s">
        <v>232</v>
      </c>
      <c r="B4" s="725">
        <v>146960</v>
      </c>
      <c r="C4" s="725">
        <v>874</v>
      </c>
    </row>
    <row r="5" spans="1:3" x14ac:dyDescent="0.25">
      <c r="A5" s="725" t="s">
        <v>323</v>
      </c>
      <c r="B5" s="725">
        <v>14035</v>
      </c>
      <c r="C5" s="725">
        <v>437</v>
      </c>
    </row>
    <row r="6" spans="1:3" x14ac:dyDescent="0.25">
      <c r="A6" s="725" t="s">
        <v>225</v>
      </c>
      <c r="B6" s="725">
        <v>4209</v>
      </c>
      <c r="C6" s="725">
        <v>1022</v>
      </c>
    </row>
    <row r="7" spans="1:3" x14ac:dyDescent="0.25">
      <c r="A7" s="725" t="s">
        <v>395</v>
      </c>
      <c r="B7" s="725">
        <v>4687.5</v>
      </c>
      <c r="C7" s="725">
        <v>1624</v>
      </c>
    </row>
    <row r="8" spans="1:3" x14ac:dyDescent="0.25">
      <c r="A8" s="725" t="s">
        <v>345</v>
      </c>
      <c r="B8" s="725">
        <v>8280</v>
      </c>
      <c r="C8" s="725">
        <v>1624</v>
      </c>
    </row>
    <row r="9" spans="1:3" x14ac:dyDescent="0.25">
      <c r="A9" s="725" t="s">
        <v>353</v>
      </c>
      <c r="B9" s="725">
        <v>9200</v>
      </c>
      <c r="C9" s="725">
        <v>2561</v>
      </c>
    </row>
    <row r="10" spans="1:3" x14ac:dyDescent="0.25">
      <c r="A10" s="725" t="s">
        <v>380</v>
      </c>
      <c r="B10" s="725">
        <v>38500</v>
      </c>
      <c r="C10" s="725">
        <v>1727</v>
      </c>
    </row>
    <row r="11" spans="1:3" x14ac:dyDescent="0.25">
      <c r="A11" s="725" t="s">
        <v>201</v>
      </c>
      <c r="B11" s="725">
        <v>50666.068500000001</v>
      </c>
      <c r="C11" s="725">
        <v>252.08000000000004</v>
      </c>
    </row>
    <row r="12" spans="1:3" x14ac:dyDescent="0.25">
      <c r="A12" s="725" t="s">
        <v>426</v>
      </c>
      <c r="B12" s="725">
        <v>209.72899999999998</v>
      </c>
      <c r="C12" s="725">
        <v>250</v>
      </c>
    </row>
    <row r="13" spans="1:3" x14ac:dyDescent="0.25">
      <c r="A13" s="725" t="s">
        <v>423</v>
      </c>
      <c r="B13" s="725">
        <v>387.07499999999999</v>
      </c>
      <c r="C13" s="725">
        <v>114</v>
      </c>
    </row>
    <row r="14" spans="1:3" x14ac:dyDescent="0.25">
      <c r="A14" s="725" t="s">
        <v>317</v>
      </c>
      <c r="B14" s="725">
        <v>363.84000000000003</v>
      </c>
      <c r="C14" s="725">
        <v>103</v>
      </c>
    </row>
    <row r="15" spans="1:3" x14ac:dyDescent="0.25">
      <c r="A15" s="725" t="s">
        <v>409</v>
      </c>
      <c r="B15" s="725">
        <v>847.84</v>
      </c>
      <c r="C15" s="725">
        <v>114</v>
      </c>
    </row>
    <row r="16" spans="1:3" x14ac:dyDescent="0.25">
      <c r="A16" s="725" t="s">
        <v>266</v>
      </c>
      <c r="B16" s="725">
        <v>19007</v>
      </c>
      <c r="C16" s="725">
        <v>115</v>
      </c>
    </row>
    <row r="17" spans="1:3" x14ac:dyDescent="0.25">
      <c r="A17" s="725" t="s">
        <v>401</v>
      </c>
      <c r="B17" s="725">
        <v>783.52</v>
      </c>
      <c r="C17" s="725">
        <v>103</v>
      </c>
    </row>
    <row r="18" spans="1:3" x14ac:dyDescent="0.25">
      <c r="A18" s="725" t="s">
        <v>326</v>
      </c>
      <c r="B18" s="725">
        <v>13821</v>
      </c>
      <c r="C18" s="725">
        <v>65</v>
      </c>
    </row>
    <row r="19" spans="1:3" x14ac:dyDescent="0.25">
      <c r="A19" s="725" t="s">
        <v>312</v>
      </c>
      <c r="B19" s="725">
        <v>1282</v>
      </c>
      <c r="C19" s="725">
        <v>114</v>
      </c>
    </row>
    <row r="20" spans="1:3" x14ac:dyDescent="0.25">
      <c r="A20" s="725" t="s">
        <v>237</v>
      </c>
      <c r="B20" s="725">
        <v>557.25</v>
      </c>
      <c r="C20" s="725">
        <v>114</v>
      </c>
    </row>
    <row r="21" spans="1:3" x14ac:dyDescent="0.25">
      <c r="A21" s="725" t="s">
        <v>199</v>
      </c>
      <c r="B21" s="725">
        <v>6315.5375000000004</v>
      </c>
      <c r="C21" s="725">
        <v>24870.520000000004</v>
      </c>
    </row>
    <row r="22" spans="1:3" x14ac:dyDescent="0.25">
      <c r="A22" s="725" t="s">
        <v>559</v>
      </c>
      <c r="B22" s="725">
        <v>12599.999999999998</v>
      </c>
      <c r="C22" s="725">
        <v>4271.1400000000003</v>
      </c>
    </row>
    <row r="23" spans="1:3" x14ac:dyDescent="0.25">
      <c r="A23" s="725" t="s">
        <v>84</v>
      </c>
      <c r="B23" s="725">
        <v>1586.4839999999999</v>
      </c>
      <c r="C23" s="725">
        <v>4271.1400000000003</v>
      </c>
    </row>
    <row r="24" spans="1:3" x14ac:dyDescent="0.25">
      <c r="A24" s="725" t="s">
        <v>436</v>
      </c>
      <c r="B24" s="725">
        <v>1902.7</v>
      </c>
      <c r="C24" s="725">
        <v>2381</v>
      </c>
    </row>
    <row r="25" spans="1:3" x14ac:dyDescent="0.25">
      <c r="A25" s="725" t="s">
        <v>731</v>
      </c>
      <c r="B25" s="725">
        <v>7947.0749999999998</v>
      </c>
      <c r="C25" s="725">
        <v>208.17</v>
      </c>
    </row>
    <row r="26" spans="1:3" x14ac:dyDescent="0.25">
      <c r="A26" s="725" t="s">
        <v>175</v>
      </c>
      <c r="B26" s="725">
        <v>97148.038</v>
      </c>
      <c r="C26" s="725">
        <v>624.51</v>
      </c>
    </row>
    <row r="27" spans="1:3" x14ac:dyDescent="0.25">
      <c r="A27" s="725" t="s">
        <v>369</v>
      </c>
      <c r="B27" s="725">
        <v>308000</v>
      </c>
      <c r="C27" s="725">
        <v>216.66</v>
      </c>
    </row>
    <row r="28" spans="1:3" x14ac:dyDescent="0.25">
      <c r="A28" s="725" t="s">
        <v>235</v>
      </c>
      <c r="B28" s="725">
        <v>14922.88</v>
      </c>
      <c r="C28" s="725">
        <v>504.84</v>
      </c>
    </row>
    <row r="29" spans="1:3" x14ac:dyDescent="0.25">
      <c r="A29" s="725" t="s">
        <v>169</v>
      </c>
      <c r="B29" s="725">
        <v>107199</v>
      </c>
      <c r="C29" s="725">
        <v>204</v>
      </c>
    </row>
    <row r="30" spans="1:3" x14ac:dyDescent="0.25">
      <c r="A30" s="725" t="s">
        <v>188</v>
      </c>
      <c r="B30" s="725">
        <v>22186.032800000001</v>
      </c>
      <c r="C30" s="725">
        <v>1873.83</v>
      </c>
    </row>
    <row r="31" spans="1:3" x14ac:dyDescent="0.25">
      <c r="A31" s="725" t="s">
        <v>421</v>
      </c>
      <c r="B31" s="725">
        <v>5997.1275000000005</v>
      </c>
      <c r="C31" s="725">
        <v>1226.1600000000001</v>
      </c>
    </row>
    <row r="32" spans="1:3" x14ac:dyDescent="0.25">
      <c r="A32" s="725" t="s">
        <v>275</v>
      </c>
      <c r="B32" s="725">
        <v>62496</v>
      </c>
      <c r="C32" s="725">
        <v>56</v>
      </c>
    </row>
    <row r="33" spans="1:3" x14ac:dyDescent="0.25">
      <c r="A33" s="725" t="s">
        <v>71</v>
      </c>
      <c r="B33" s="725">
        <v>2465068.81</v>
      </c>
      <c r="C33" s="725">
        <v>224</v>
      </c>
    </row>
    <row r="34" spans="1:3" x14ac:dyDescent="0.25">
      <c r="A34" s="725" t="s">
        <v>438</v>
      </c>
      <c r="B34" s="725">
        <v>1712.4299999999998</v>
      </c>
      <c r="C34" s="725">
        <v>954</v>
      </c>
    </row>
    <row r="35" spans="1:3" x14ac:dyDescent="0.25">
      <c r="A35" s="725" t="s">
        <v>204</v>
      </c>
      <c r="B35" s="725">
        <v>1127.42</v>
      </c>
      <c r="C35" s="725">
        <v>2478</v>
      </c>
    </row>
    <row r="36" spans="1:3" x14ac:dyDescent="0.25">
      <c r="A36" s="725" t="s">
        <v>91</v>
      </c>
      <c r="B36" s="725">
        <v>13323.01</v>
      </c>
      <c r="C36" s="725">
        <v>20291</v>
      </c>
    </row>
    <row r="37" spans="1:3" x14ac:dyDescent="0.25">
      <c r="A37" s="725" t="s">
        <v>129</v>
      </c>
      <c r="B37" s="725">
        <v>3879.8240000000001</v>
      </c>
      <c r="C37" s="725">
        <v>6995.25</v>
      </c>
    </row>
    <row r="38" spans="1:3" x14ac:dyDescent="0.25">
      <c r="A38" s="725" t="s">
        <v>396</v>
      </c>
      <c r="B38" s="725">
        <v>21000.000000000004</v>
      </c>
      <c r="C38" s="725">
        <v>1700.46</v>
      </c>
    </row>
    <row r="39" spans="1:3" x14ac:dyDescent="0.25">
      <c r="A39" s="725" t="s">
        <v>52</v>
      </c>
      <c r="B39" s="725">
        <v>58898.695</v>
      </c>
      <c r="C39" s="725">
        <v>8200.89</v>
      </c>
    </row>
    <row r="40" spans="1:3" x14ac:dyDescent="0.25">
      <c r="A40" s="725" t="s">
        <v>442</v>
      </c>
      <c r="B40" s="725">
        <v>1591.3600000000001</v>
      </c>
      <c r="C40" s="725">
        <v>1075</v>
      </c>
    </row>
    <row r="41" spans="1:3" x14ac:dyDescent="0.25">
      <c r="A41" s="725" t="s">
        <v>190</v>
      </c>
      <c r="B41" s="725">
        <v>1074.4499999999998</v>
      </c>
      <c r="C41" s="725">
        <v>1411</v>
      </c>
    </row>
    <row r="42" spans="1:3" x14ac:dyDescent="0.25">
      <c r="A42" s="725" t="s">
        <v>193</v>
      </c>
      <c r="B42" s="725">
        <v>553.77800000000002</v>
      </c>
      <c r="C42" s="725">
        <v>1450</v>
      </c>
    </row>
    <row r="43" spans="1:3" x14ac:dyDescent="0.25">
      <c r="A43" s="725" t="s">
        <v>209</v>
      </c>
      <c r="B43" s="725">
        <v>1596.9800000000002</v>
      </c>
      <c r="C43" s="725">
        <v>1535</v>
      </c>
    </row>
    <row r="44" spans="1:3" x14ac:dyDescent="0.25">
      <c r="A44" s="725" t="s">
        <v>203</v>
      </c>
      <c r="B44" s="725">
        <v>1127.42</v>
      </c>
      <c r="C44" s="725">
        <v>1895</v>
      </c>
    </row>
    <row r="45" spans="1:3" x14ac:dyDescent="0.25">
      <c r="A45" s="725" t="s">
        <v>393</v>
      </c>
      <c r="B45" s="725">
        <v>21000.000000000004</v>
      </c>
      <c r="C45" s="725">
        <v>1069</v>
      </c>
    </row>
    <row r="46" spans="1:3" x14ac:dyDescent="0.25">
      <c r="A46" s="725" t="s">
        <v>297</v>
      </c>
      <c r="B46" s="725">
        <v>301.77999999999997</v>
      </c>
      <c r="C46" s="725">
        <v>26300</v>
      </c>
    </row>
    <row r="47" spans="1:3" x14ac:dyDescent="0.25">
      <c r="A47" s="725" t="s">
        <v>282</v>
      </c>
      <c r="B47" s="725">
        <v>3217.0369999999998</v>
      </c>
      <c r="C47" s="725">
        <v>1496</v>
      </c>
    </row>
    <row r="48" spans="1:3" x14ac:dyDescent="0.25">
      <c r="A48" s="725" t="s">
        <v>177</v>
      </c>
      <c r="B48" s="725">
        <v>1549.9359999999999</v>
      </c>
      <c r="C48" s="725">
        <v>918</v>
      </c>
    </row>
    <row r="49" spans="1:3" x14ac:dyDescent="0.25">
      <c r="A49" s="725" t="s">
        <v>171</v>
      </c>
      <c r="B49" s="725">
        <v>1667.5400000000002</v>
      </c>
      <c r="C49" s="725">
        <v>823</v>
      </c>
    </row>
    <row r="50" spans="1:3" x14ac:dyDescent="0.25">
      <c r="A50" s="725" t="s">
        <v>368</v>
      </c>
      <c r="B50" s="725">
        <v>25550</v>
      </c>
      <c r="C50" s="725">
        <v>1015.75</v>
      </c>
    </row>
    <row r="51" spans="1:3" x14ac:dyDescent="0.25">
      <c r="A51" s="725" t="s">
        <v>286</v>
      </c>
      <c r="B51" s="725">
        <v>2984.6779999999999</v>
      </c>
      <c r="C51" s="725">
        <v>1519</v>
      </c>
    </row>
    <row r="52" spans="1:3" x14ac:dyDescent="0.25">
      <c r="A52" s="725" t="s">
        <v>377</v>
      </c>
      <c r="B52" s="725">
        <v>3815</v>
      </c>
      <c r="C52" s="725">
        <v>26300</v>
      </c>
    </row>
    <row r="53" spans="1:3" x14ac:dyDescent="0.25">
      <c r="A53" s="725" t="s">
        <v>127</v>
      </c>
      <c r="B53" s="725">
        <v>1130.1610000000001</v>
      </c>
      <c r="C53" s="725">
        <v>1851</v>
      </c>
    </row>
    <row r="54" spans="1:3" x14ac:dyDescent="0.25">
      <c r="A54" s="725" t="s">
        <v>315</v>
      </c>
      <c r="B54" s="725">
        <v>29982.075000000001</v>
      </c>
      <c r="C54" s="725">
        <v>5166</v>
      </c>
    </row>
    <row r="55" spans="1:3" x14ac:dyDescent="0.25">
      <c r="A55" s="725" t="s">
        <v>355</v>
      </c>
      <c r="B55" s="725">
        <v>25550</v>
      </c>
      <c r="C55" s="725">
        <v>1069</v>
      </c>
    </row>
    <row r="56" spans="1:3" x14ac:dyDescent="0.25">
      <c r="A56" s="725" t="s">
        <v>159</v>
      </c>
      <c r="B56" s="725">
        <v>89012</v>
      </c>
      <c r="C56" s="725">
        <v>91.32</v>
      </c>
    </row>
    <row r="57" spans="1:3" x14ac:dyDescent="0.25">
      <c r="A57" s="725" t="s">
        <v>251</v>
      </c>
      <c r="B57" s="725">
        <v>1943.25</v>
      </c>
      <c r="C57" s="725">
        <v>2598.66</v>
      </c>
    </row>
    <row r="58" spans="1:3" x14ac:dyDescent="0.25">
      <c r="A58" s="725" t="s">
        <v>264</v>
      </c>
      <c r="B58" s="725">
        <v>31931.759999999998</v>
      </c>
      <c r="C58" s="725">
        <v>264.82</v>
      </c>
    </row>
    <row r="59" spans="1:3" x14ac:dyDescent="0.25">
      <c r="A59" s="725" t="s">
        <v>223</v>
      </c>
      <c r="B59" s="725">
        <v>31861</v>
      </c>
      <c r="C59" s="725">
        <v>114</v>
      </c>
    </row>
    <row r="60" spans="1:3" x14ac:dyDescent="0.25">
      <c r="A60" s="725" t="s">
        <v>277</v>
      </c>
      <c r="B60" s="725">
        <v>6090.92</v>
      </c>
      <c r="C60" s="725">
        <v>581</v>
      </c>
    </row>
    <row r="61" spans="1:3" x14ac:dyDescent="0.25">
      <c r="A61" s="725" t="s">
        <v>164</v>
      </c>
      <c r="B61" s="725">
        <v>31154.199999999997</v>
      </c>
      <c r="C61" s="725">
        <v>629</v>
      </c>
    </row>
    <row r="62" spans="1:3" x14ac:dyDescent="0.25">
      <c r="A62" s="725" t="s">
        <v>412</v>
      </c>
      <c r="B62" s="725">
        <v>154000</v>
      </c>
      <c r="C62" s="725">
        <v>491.73</v>
      </c>
    </row>
    <row r="63" spans="1:3" x14ac:dyDescent="0.25">
      <c r="A63" s="725" t="s">
        <v>154</v>
      </c>
      <c r="B63" s="725">
        <v>21330.6</v>
      </c>
      <c r="C63" s="725">
        <v>711.54</v>
      </c>
    </row>
    <row r="64" spans="1:3" x14ac:dyDescent="0.25">
      <c r="A64" s="725" t="s">
        <v>158</v>
      </c>
      <c r="B64" s="725">
        <v>31154.199999999997</v>
      </c>
      <c r="C64" s="725">
        <v>629</v>
      </c>
    </row>
    <row r="65" spans="1:3" x14ac:dyDescent="0.25">
      <c r="A65" s="725" t="s">
        <v>340</v>
      </c>
      <c r="B65" s="725">
        <v>77000</v>
      </c>
      <c r="C65" s="725">
        <v>531</v>
      </c>
    </row>
    <row r="66" spans="1:3" x14ac:dyDescent="0.25">
      <c r="A66" s="725" t="s">
        <v>347</v>
      </c>
      <c r="B66" s="725">
        <v>72000</v>
      </c>
      <c r="C66" s="725">
        <v>515.6</v>
      </c>
    </row>
    <row r="67" spans="1:3" x14ac:dyDescent="0.25">
      <c r="A67" s="725" t="s">
        <v>351</v>
      </c>
      <c r="B67" s="725">
        <v>80000</v>
      </c>
      <c r="C67" s="725">
        <v>556.86</v>
      </c>
    </row>
    <row r="68" spans="1:3" x14ac:dyDescent="0.25">
      <c r="A68" s="725" t="s">
        <v>331</v>
      </c>
      <c r="B68" s="725">
        <v>1781</v>
      </c>
      <c r="C68" s="725">
        <v>629.04</v>
      </c>
    </row>
    <row r="69" spans="1:3" x14ac:dyDescent="0.25">
      <c r="A69" s="725" t="s">
        <v>270</v>
      </c>
      <c r="B69" s="725">
        <v>6090.92</v>
      </c>
    </row>
    <row r="70" spans="1:3" x14ac:dyDescent="0.25">
      <c r="A70" s="725" t="s">
        <v>694</v>
      </c>
      <c r="B70" s="725">
        <v>4521564.9312999984</v>
      </c>
      <c r="C70" s="725">
        <v>177212.97000000006</v>
      </c>
    </row>
  </sheetData>
  <autoFilter ref="A1:B69" xr:uid="{20AAE646-E89E-4AB2-B472-504BB9DBA8C0}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B283-8016-40F4-8D6C-6397B2BC1805}">
  <sheetPr codeName="Hoja90"/>
  <dimension ref="A2:K48"/>
  <sheetViews>
    <sheetView view="pageBreakPreview" zoomScale="80" zoomScaleNormal="100" zoomScaleSheetLayoutView="80" workbookViewId="0">
      <selection activeCell="H18" sqref="H18"/>
    </sheetView>
  </sheetViews>
  <sheetFormatPr baseColWidth="10" defaultColWidth="11.5703125" defaultRowHeight="13.5" x14ac:dyDescent="0.25"/>
  <cols>
    <col min="1" max="1" width="11.5703125" style="749"/>
    <col min="2" max="2" width="15.42578125" style="749" customWidth="1"/>
    <col min="3" max="3" width="52.7109375" style="750" bestFit="1" customWidth="1"/>
    <col min="4" max="6" width="11.5703125" style="749"/>
    <col min="7" max="7" width="13.28515625" style="749" bestFit="1" customWidth="1"/>
    <col min="8" max="16384" width="11.5703125" style="749"/>
  </cols>
  <sheetData>
    <row r="2" spans="2:11" s="120" customFormat="1" ht="26.25" customHeight="1" x14ac:dyDescent="0.25">
      <c r="C2" s="1743" t="s">
        <v>744</v>
      </c>
      <c r="D2" s="1743"/>
      <c r="E2" s="1743"/>
      <c r="F2" s="1743"/>
      <c r="G2" s="1743"/>
      <c r="H2" s="761"/>
      <c r="I2" s="761"/>
      <c r="J2" s="159"/>
      <c r="K2" s="761"/>
    </row>
    <row r="4" spans="2:11" s="758" customFormat="1" ht="25.5" x14ac:dyDescent="0.25">
      <c r="C4" s="759" t="s">
        <v>1</v>
      </c>
      <c r="D4" s="760" t="s">
        <v>2</v>
      </c>
      <c r="E4" s="759" t="s">
        <v>3</v>
      </c>
      <c r="F4" s="118" t="s">
        <v>746</v>
      </c>
      <c r="G4" s="118" t="s">
        <v>747</v>
      </c>
    </row>
    <row r="5" spans="2:11" x14ac:dyDescent="0.25">
      <c r="B5" s="749" t="s">
        <v>495</v>
      </c>
      <c r="C5" s="751" t="s">
        <v>242</v>
      </c>
      <c r="D5" s="757">
        <v>0.52399400939830976</v>
      </c>
      <c r="E5" s="603">
        <f t="shared" ref="E5:E16" si="0">(D5*100)/$D$17</f>
        <v>79.999085404322102</v>
      </c>
      <c r="F5" s="39">
        <v>18700</v>
      </c>
      <c r="G5" s="106">
        <f>F5*D5</f>
        <v>9798.687975748393</v>
      </c>
      <c r="H5" s="756"/>
    </row>
    <row r="6" spans="2:11" x14ac:dyDescent="0.25">
      <c r="B6" s="749" t="s">
        <v>496</v>
      </c>
      <c r="C6" s="751" t="s">
        <v>663</v>
      </c>
      <c r="D6" s="757">
        <v>7.859988647898776E-2</v>
      </c>
      <c r="E6" s="603">
        <f t="shared" si="0"/>
        <v>11.99998266854775</v>
      </c>
      <c r="F6" s="95">
        <v>7</v>
      </c>
      <c r="G6" s="106">
        <f t="shared" ref="G6:G16" si="1">F6*D6</f>
        <v>0.55019920535291433</v>
      </c>
      <c r="H6" s="756"/>
    </row>
    <row r="7" spans="2:11" x14ac:dyDescent="0.25">
      <c r="B7" s="749" t="s">
        <v>495</v>
      </c>
      <c r="C7" s="751" t="s">
        <v>743</v>
      </c>
      <c r="D7" s="757">
        <v>1.611297672819249E-2</v>
      </c>
      <c r="E7" s="603">
        <f t="shared" si="0"/>
        <v>2.4599964470522884</v>
      </c>
      <c r="F7" s="95">
        <v>310</v>
      </c>
      <c r="G7" s="106">
        <f t="shared" si="1"/>
        <v>4.9950227857396721</v>
      </c>
      <c r="H7" s="756"/>
    </row>
    <row r="8" spans="2:11" x14ac:dyDescent="0.25">
      <c r="B8" s="749" t="s">
        <v>496</v>
      </c>
      <c r="C8" s="751" t="s">
        <v>739</v>
      </c>
      <c r="D8" s="757">
        <v>1.432132944249887E-2</v>
      </c>
      <c r="E8" s="603">
        <f t="shared" si="0"/>
        <v>2.1864625103051707</v>
      </c>
      <c r="F8" s="95">
        <v>6865</v>
      </c>
      <c r="G8" s="106">
        <f t="shared" si="1"/>
        <v>98.315926622754745</v>
      </c>
      <c r="H8" s="756"/>
    </row>
    <row r="9" spans="2:11" x14ac:dyDescent="0.25">
      <c r="B9" s="749" t="s">
        <v>496</v>
      </c>
      <c r="C9" s="751" t="s">
        <v>742</v>
      </c>
      <c r="D9" s="757">
        <v>7.8599101409746464E-3</v>
      </c>
      <c r="E9" s="603">
        <f t="shared" si="0"/>
        <v>1.1999862810648314</v>
      </c>
      <c r="F9" s="95">
        <v>878</v>
      </c>
      <c r="G9" s="106">
        <f t="shared" si="1"/>
        <v>6.9010011037757391</v>
      </c>
      <c r="H9" s="756"/>
    </row>
    <row r="10" spans="2:11" x14ac:dyDescent="0.25">
      <c r="B10" s="749" t="s">
        <v>496</v>
      </c>
      <c r="C10" s="752" t="s">
        <v>100</v>
      </c>
      <c r="D10" s="757">
        <v>3.4714603122638016E-3</v>
      </c>
      <c r="E10" s="603">
        <f t="shared" si="0"/>
        <v>0.52999394080363382</v>
      </c>
      <c r="F10" s="95">
        <v>21534</v>
      </c>
      <c r="G10" s="106">
        <f t="shared" si="1"/>
        <v>74.754426364288705</v>
      </c>
      <c r="H10" s="756"/>
    </row>
    <row r="11" spans="2:11" x14ac:dyDescent="0.25">
      <c r="B11" s="749" t="s">
        <v>496</v>
      </c>
      <c r="C11" s="751" t="s">
        <v>26</v>
      </c>
      <c r="D11" s="757">
        <v>3.2548476005679256E-3</v>
      </c>
      <c r="E11" s="603">
        <f t="shared" si="0"/>
        <v>0.49692329779662986</v>
      </c>
      <c r="F11" s="95">
        <v>66982</v>
      </c>
      <c r="G11" s="106">
        <f t="shared" si="1"/>
        <v>218.01620198124078</v>
      </c>
      <c r="H11" s="756"/>
    </row>
    <row r="12" spans="2:11" x14ac:dyDescent="0.25">
      <c r="B12" s="749" t="s">
        <v>496</v>
      </c>
      <c r="C12" s="752" t="s">
        <v>81</v>
      </c>
      <c r="D12" s="757">
        <v>2.6199700469915488E-3</v>
      </c>
      <c r="E12" s="603">
        <f t="shared" si="0"/>
        <v>0.39999542702161051</v>
      </c>
      <c r="F12" s="762">
        <v>21400</v>
      </c>
      <c r="G12" s="106">
        <f t="shared" si="1"/>
        <v>56.067359005619146</v>
      </c>
      <c r="H12" s="756"/>
    </row>
    <row r="13" spans="2:11" x14ac:dyDescent="0.25">
      <c r="B13" s="749" t="s">
        <v>496</v>
      </c>
      <c r="C13" s="753" t="s">
        <v>102</v>
      </c>
      <c r="D13" s="757">
        <v>2.6199700469915488E-3</v>
      </c>
      <c r="E13" s="603">
        <f t="shared" si="0"/>
        <v>0.39999542702161051</v>
      </c>
      <c r="F13" s="95">
        <v>75995</v>
      </c>
      <c r="G13" s="106">
        <f t="shared" si="1"/>
        <v>199.10462372112275</v>
      </c>
      <c r="H13" s="756"/>
    </row>
    <row r="14" spans="2:11" x14ac:dyDescent="0.25">
      <c r="B14" s="749" t="s">
        <v>496</v>
      </c>
      <c r="C14" s="752" t="s">
        <v>106</v>
      </c>
      <c r="D14" s="757">
        <v>1.7029805305445074E-3</v>
      </c>
      <c r="E14" s="603">
        <f t="shared" si="0"/>
        <v>0.25999702756404691</v>
      </c>
      <c r="F14" s="95">
        <v>65857</v>
      </c>
      <c r="G14" s="106">
        <f t="shared" si="1"/>
        <v>112.15318880006963</v>
      </c>
      <c r="H14" s="756"/>
    </row>
    <row r="15" spans="2:11" x14ac:dyDescent="0.25">
      <c r="B15" s="749" t="s">
        <v>496</v>
      </c>
      <c r="C15" s="751" t="s">
        <v>741</v>
      </c>
      <c r="D15" s="757">
        <v>3.2548476005679264E-4</v>
      </c>
      <c r="E15" s="603">
        <f t="shared" si="0"/>
        <v>4.9692329779662994E-2</v>
      </c>
      <c r="F15" s="95">
        <v>26800</v>
      </c>
      <c r="G15" s="106">
        <f t="shared" si="1"/>
        <v>8.7229915695220424</v>
      </c>
      <c r="H15" s="756"/>
    </row>
    <row r="16" spans="2:11" x14ac:dyDescent="0.25">
      <c r="B16" s="749" t="s">
        <v>496</v>
      </c>
      <c r="C16" s="751" t="s">
        <v>740</v>
      </c>
      <c r="D16" s="757">
        <v>1.1717451362044533E-4</v>
      </c>
      <c r="E16" s="603">
        <f t="shared" si="0"/>
        <v>1.7889238720678675E-2</v>
      </c>
      <c r="F16" s="95">
        <v>32511</v>
      </c>
      <c r="G16" s="106">
        <f t="shared" si="1"/>
        <v>3.809460612314298</v>
      </c>
      <c r="H16" s="756"/>
    </row>
    <row r="17" spans="2:10" x14ac:dyDescent="0.25">
      <c r="C17" s="755"/>
      <c r="D17" s="766">
        <f>SUM(D5:D16)</f>
        <v>0.65500000000000003</v>
      </c>
      <c r="E17" s="754">
        <f>SUM(E5:E16)</f>
        <v>100.00000000000001</v>
      </c>
      <c r="F17" s="763"/>
      <c r="G17" s="765">
        <f>SUM(G5:G16)</f>
        <v>10582.078377520193</v>
      </c>
    </row>
    <row r="19" spans="2:10" s="1" customFormat="1" x14ac:dyDescent="0.25">
      <c r="B19" s="1924" t="s">
        <v>50</v>
      </c>
      <c r="C19" s="1925"/>
      <c r="D19" s="97"/>
      <c r="E19" s="97"/>
      <c r="F19" s="105"/>
      <c r="G19" s="97"/>
      <c r="H19" s="97"/>
      <c r="J19" s="139"/>
    </row>
    <row r="20" spans="2:10" s="1" customFormat="1" x14ac:dyDescent="0.25">
      <c r="B20" s="92" t="s">
        <v>38</v>
      </c>
      <c r="C20" s="93" t="s">
        <v>113</v>
      </c>
      <c r="D20" s="38"/>
      <c r="F20" s="107"/>
      <c r="H20" s="38"/>
      <c r="J20" s="139"/>
    </row>
    <row r="21" spans="2:10" s="1" customFormat="1" x14ac:dyDescent="0.25">
      <c r="B21" s="20" t="s">
        <v>39</v>
      </c>
      <c r="C21" s="21" t="s">
        <v>745</v>
      </c>
      <c r="D21" s="38"/>
      <c r="F21" s="107"/>
      <c r="H21" s="38"/>
      <c r="J21" s="139"/>
    </row>
    <row r="22" spans="2:10" s="1" customFormat="1" x14ac:dyDescent="0.25">
      <c r="B22" s="20" t="s">
        <v>40</v>
      </c>
      <c r="C22" s="21">
        <v>500</v>
      </c>
      <c r="D22" s="38"/>
      <c r="F22" s="107"/>
      <c r="H22" s="38"/>
      <c r="J22" s="139"/>
    </row>
    <row r="23" spans="2:10" s="1" customFormat="1" x14ac:dyDescent="0.25">
      <c r="B23" s="20" t="s">
        <v>41</v>
      </c>
      <c r="C23" s="21">
        <v>0</v>
      </c>
      <c r="D23" s="38"/>
      <c r="F23" s="107"/>
      <c r="H23" s="38"/>
      <c r="J23" s="139"/>
    </row>
    <row r="24" spans="2:10" s="1" customFormat="1" x14ac:dyDescent="0.25">
      <c r="B24" s="20" t="s">
        <v>42</v>
      </c>
      <c r="C24" s="21">
        <v>9</v>
      </c>
      <c r="D24" s="38"/>
      <c r="F24" s="107"/>
      <c r="H24" s="38"/>
      <c r="J24" s="139"/>
    </row>
    <row r="25" spans="2:10" s="1" customFormat="1" x14ac:dyDescent="0.25">
      <c r="B25" s="20" t="s">
        <v>43</v>
      </c>
      <c r="C25" s="21">
        <v>2</v>
      </c>
      <c r="D25" s="38"/>
      <c r="F25" s="107"/>
      <c r="H25" s="38"/>
      <c r="J25" s="139"/>
    </row>
    <row r="26" spans="2:10" s="1" customFormat="1" x14ac:dyDescent="0.25">
      <c r="B26" s="20" t="s">
        <v>44</v>
      </c>
      <c r="C26" s="21">
        <v>0</v>
      </c>
      <c r="D26" s="38"/>
      <c r="F26" s="107"/>
      <c r="H26" s="38"/>
      <c r="J26" s="139"/>
    </row>
    <row r="27" spans="2:10" s="1" customFormat="1" x14ac:dyDescent="0.25">
      <c r="B27" s="20" t="s">
        <v>45</v>
      </c>
      <c r="C27" s="21">
        <v>20</v>
      </c>
      <c r="D27" s="38"/>
      <c r="F27" s="107"/>
      <c r="H27" s="38"/>
      <c r="J27" s="139"/>
    </row>
    <row r="28" spans="2:10" s="1" customFormat="1" x14ac:dyDescent="0.25">
      <c r="B28" s="20" t="s">
        <v>46</v>
      </c>
      <c r="C28" s="21">
        <f>SUM(C27,C26,C25,C24,C23)</f>
        <v>31</v>
      </c>
      <c r="D28" s="38"/>
      <c r="F28" s="107"/>
      <c r="H28" s="38"/>
      <c r="J28" s="139"/>
    </row>
    <row r="29" spans="2:10" s="1" customFormat="1" x14ac:dyDescent="0.25">
      <c r="F29" s="107"/>
      <c r="J29" s="139"/>
    </row>
    <row r="30" spans="2:10" s="1" customFormat="1" x14ac:dyDescent="0.25">
      <c r="B30" s="1926" t="s">
        <v>47</v>
      </c>
      <c r="C30" s="1927"/>
      <c r="D30" s="1927"/>
      <c r="E30" s="1927"/>
      <c r="F30" s="1927"/>
      <c r="G30" s="1927"/>
      <c r="H30" s="1927"/>
      <c r="J30" s="139"/>
    </row>
    <row r="31" spans="2:10" s="120" customFormat="1" ht="25.5" x14ac:dyDescent="0.25">
      <c r="B31" s="767" t="s">
        <v>0</v>
      </c>
      <c r="C31" s="767" t="s">
        <v>1</v>
      </c>
      <c r="D31" s="768" t="s">
        <v>2</v>
      </c>
      <c r="E31" s="773" t="s">
        <v>752</v>
      </c>
      <c r="F31" s="773" t="s">
        <v>747</v>
      </c>
      <c r="G31" s="660"/>
      <c r="H31" s="660"/>
      <c r="J31" s="176"/>
    </row>
    <row r="32" spans="2:10" s="1" customFormat="1" x14ac:dyDescent="0.25">
      <c r="B32" s="610"/>
      <c r="C32" s="610" t="s">
        <v>748</v>
      </c>
      <c r="D32" s="611">
        <v>0.18</v>
      </c>
      <c r="E32" s="123">
        <v>12498.6</v>
      </c>
      <c r="F32" s="613">
        <f>E32*D32</f>
        <v>2249.748</v>
      </c>
      <c r="G32" s="123"/>
      <c r="H32" s="613"/>
      <c r="J32" s="139"/>
    </row>
    <row r="33" spans="1:10" s="1" customFormat="1" x14ac:dyDescent="0.25">
      <c r="B33" s="610"/>
      <c r="C33" s="610" t="s">
        <v>749</v>
      </c>
      <c r="D33" s="611">
        <v>0.18</v>
      </c>
      <c r="E33" s="123">
        <v>4043.864</v>
      </c>
      <c r="F33" s="613">
        <f t="shared" ref="F33:F39" si="2">E33*D33</f>
        <v>727.89552000000003</v>
      </c>
      <c r="G33" s="123"/>
      <c r="H33" s="613"/>
      <c r="J33" s="139"/>
    </row>
    <row r="34" spans="1:10" s="1" customFormat="1" x14ac:dyDescent="0.25">
      <c r="B34" s="610"/>
      <c r="C34" s="610" t="s">
        <v>201</v>
      </c>
      <c r="D34" s="611">
        <v>2</v>
      </c>
      <c r="E34" s="123">
        <v>23.02</v>
      </c>
      <c r="F34" s="613">
        <f t="shared" si="2"/>
        <v>46.04</v>
      </c>
      <c r="G34" s="123"/>
      <c r="H34" s="613"/>
      <c r="J34" s="139"/>
    </row>
    <row r="35" spans="1:10" s="1" customFormat="1" x14ac:dyDescent="0.25">
      <c r="B35" s="610"/>
      <c r="C35" s="619" t="s">
        <v>753</v>
      </c>
      <c r="D35" s="611">
        <v>0.3</v>
      </c>
      <c r="E35" s="123">
        <v>600.71</v>
      </c>
      <c r="F35" s="613">
        <f t="shared" si="2"/>
        <v>180.21299999999999</v>
      </c>
      <c r="G35" s="123"/>
      <c r="H35" s="613"/>
      <c r="J35" s="139"/>
    </row>
    <row r="36" spans="1:10" s="1" customFormat="1" x14ac:dyDescent="0.25">
      <c r="B36" s="611"/>
      <c r="C36" s="619" t="s">
        <v>91</v>
      </c>
      <c r="D36" s="611">
        <v>0.3</v>
      </c>
      <c r="E36" s="123">
        <v>1969.3</v>
      </c>
      <c r="F36" s="613">
        <f t="shared" si="2"/>
        <v>590.79</v>
      </c>
      <c r="G36" s="123"/>
      <c r="H36" s="613"/>
      <c r="J36" s="139"/>
    </row>
    <row r="37" spans="1:10" s="1" customFormat="1" x14ac:dyDescent="0.25">
      <c r="B37" s="611"/>
      <c r="C37" s="619" t="s">
        <v>159</v>
      </c>
      <c r="D37" s="611">
        <v>1</v>
      </c>
      <c r="E37" s="123">
        <v>45.66</v>
      </c>
      <c r="F37" s="613">
        <f t="shared" si="2"/>
        <v>45.66</v>
      </c>
      <c r="G37" s="123"/>
      <c r="H37" s="613"/>
      <c r="J37" s="139"/>
    </row>
    <row r="38" spans="1:10" s="1" customFormat="1" x14ac:dyDescent="0.25">
      <c r="B38" s="611"/>
      <c r="C38" s="619" t="s">
        <v>751</v>
      </c>
      <c r="D38" s="611">
        <v>2</v>
      </c>
      <c r="E38" s="123">
        <v>520</v>
      </c>
      <c r="F38" s="613">
        <f t="shared" si="2"/>
        <v>1040</v>
      </c>
      <c r="G38" s="123"/>
      <c r="H38" s="613"/>
      <c r="J38" s="139"/>
    </row>
    <row r="39" spans="1:10" s="1" customFormat="1" x14ac:dyDescent="0.25">
      <c r="B39" s="610"/>
      <c r="C39" s="610" t="s">
        <v>750</v>
      </c>
      <c r="D39" s="611">
        <v>1</v>
      </c>
      <c r="E39" s="123">
        <v>35.200000000000003</v>
      </c>
      <c r="F39" s="613">
        <f t="shared" si="2"/>
        <v>35.200000000000003</v>
      </c>
      <c r="G39" s="123"/>
      <c r="H39" s="613"/>
      <c r="J39" s="139"/>
    </row>
    <row r="40" spans="1:10" s="1" customFormat="1" ht="16.899999999999999" customHeight="1" x14ac:dyDescent="0.25">
      <c r="B40" s="769"/>
      <c r="C40" s="769" t="s">
        <v>37</v>
      </c>
      <c r="D40" s="770"/>
      <c r="E40" s="771"/>
      <c r="F40" s="774">
        <f>SUM(F32:F39)</f>
        <v>4915.5465199999999</v>
      </c>
      <c r="G40" s="772"/>
      <c r="H40" s="772"/>
      <c r="J40" s="139"/>
    </row>
    <row r="41" spans="1:10" s="139" customFormat="1" x14ac:dyDescent="0.25">
      <c r="A41" s="788"/>
      <c r="B41" s="788"/>
      <c r="C41" s="788"/>
      <c r="D41" s="788"/>
      <c r="E41" s="788"/>
      <c r="F41" s="788"/>
      <c r="G41" s="787"/>
      <c r="H41" s="787"/>
      <c r="I41" s="787"/>
      <c r="J41" s="787"/>
    </row>
    <row r="42" spans="1:10" s="1" customFormat="1" x14ac:dyDescent="0.25">
      <c r="B42" s="1825" t="s">
        <v>410</v>
      </c>
      <c r="C42" s="1825"/>
      <c r="D42" s="1749">
        <f>+F40+G17</f>
        <v>15497.624897520192</v>
      </c>
      <c r="E42" s="1749"/>
      <c r="F42" s="1749"/>
      <c r="G42" s="1749"/>
      <c r="H42" s="1749"/>
      <c r="J42" s="139"/>
    </row>
    <row r="43" spans="1:10" s="1" customFormat="1" x14ac:dyDescent="0.25">
      <c r="B43" s="1830" t="s">
        <v>48</v>
      </c>
      <c r="C43" s="1831"/>
      <c r="D43" s="1749">
        <f>+(921.6/1000)*500</f>
        <v>460.8</v>
      </c>
      <c r="E43" s="1749"/>
      <c r="F43" s="1749"/>
      <c r="G43" s="1749"/>
      <c r="H43" s="1749"/>
      <c r="J43" s="139"/>
    </row>
    <row r="44" spans="1:10" s="1" customFormat="1" x14ac:dyDescent="0.25">
      <c r="B44" s="1830" t="s">
        <v>92</v>
      </c>
      <c r="C44" s="1831"/>
      <c r="D44" s="1749">
        <f>+D43+D42</f>
        <v>15958.424897520192</v>
      </c>
      <c r="E44" s="1749"/>
      <c r="F44" s="1749"/>
      <c r="G44" s="1749"/>
      <c r="H44" s="1749"/>
      <c r="I44" s="764"/>
      <c r="J44" s="139"/>
    </row>
    <row r="45" spans="1:10" s="1" customFormat="1" x14ac:dyDescent="0.25">
      <c r="B45" s="1825" t="s">
        <v>49</v>
      </c>
      <c r="C45" s="1825"/>
      <c r="D45" s="1749">
        <f>D44/I46</f>
        <v>26597.374829200322</v>
      </c>
      <c r="E45" s="1749"/>
      <c r="F45" s="1749"/>
      <c r="G45" s="1749"/>
      <c r="H45" s="1749"/>
      <c r="I45" s="638">
        <v>0.4</v>
      </c>
      <c r="J45" s="139"/>
    </row>
    <row r="46" spans="1:10" s="1" customFormat="1" x14ac:dyDescent="0.25">
      <c r="D46" s="38"/>
      <c r="F46" s="107"/>
      <c r="H46" s="38"/>
      <c r="I46" s="786">
        <f>1-I45</f>
        <v>0.6</v>
      </c>
      <c r="J46" s="139"/>
    </row>
    <row r="47" spans="1:10" s="1" customFormat="1" x14ac:dyDescent="0.25">
      <c r="F47" s="107"/>
      <c r="J47" s="139"/>
    </row>
    <row r="48" spans="1:10" s="1" customFormat="1" x14ac:dyDescent="0.25">
      <c r="F48" s="107"/>
      <c r="J48" s="139"/>
    </row>
  </sheetData>
  <mergeCells count="11">
    <mergeCell ref="C2:G2"/>
    <mergeCell ref="B45:C45"/>
    <mergeCell ref="D45:H45"/>
    <mergeCell ref="B19:C19"/>
    <mergeCell ref="B30:H30"/>
    <mergeCell ref="B43:C43"/>
    <mergeCell ref="D43:H43"/>
    <mergeCell ref="B44:C44"/>
    <mergeCell ref="D44:H44"/>
    <mergeCell ref="B42:C42"/>
    <mergeCell ref="D42:H42"/>
  </mergeCells>
  <pageMargins left="0.7" right="0.7" top="0.75" bottom="0.75" header="0.3" footer="0.3"/>
  <pageSetup scale="4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D347-EFF4-4A4E-B026-3062C78333BE}">
  <sheetPr codeName="Hoja91"/>
  <dimension ref="A3:B85"/>
  <sheetViews>
    <sheetView topLeftCell="A46" workbookViewId="0">
      <selection activeCell="B3" sqref="B3"/>
    </sheetView>
  </sheetViews>
  <sheetFormatPr baseColWidth="10" defaultRowHeight="15" x14ac:dyDescent="0.25"/>
  <cols>
    <col min="1" max="1" width="71.7109375" bestFit="1" customWidth="1"/>
    <col min="2" max="2" width="16.42578125" style="639" bestFit="1" customWidth="1"/>
  </cols>
  <sheetData>
    <row r="3" spans="1:2" x14ac:dyDescent="0.25">
      <c r="A3" s="724" t="s">
        <v>693</v>
      </c>
      <c r="B3" s="639" t="s">
        <v>695</v>
      </c>
    </row>
    <row r="4" spans="1:2" x14ac:dyDescent="0.25">
      <c r="A4" s="725" t="s">
        <v>214</v>
      </c>
      <c r="B4" s="639">
        <v>303.28873003562035</v>
      </c>
    </row>
    <row r="5" spans="1:2" x14ac:dyDescent="0.25">
      <c r="A5" s="725" t="s">
        <v>53</v>
      </c>
      <c r="B5" s="639">
        <v>96971.516719956024</v>
      </c>
    </row>
    <row r="6" spans="1:2" x14ac:dyDescent="0.25">
      <c r="A6" s="725" t="s">
        <v>62</v>
      </c>
      <c r="B6" s="639">
        <v>219.04529588508331</v>
      </c>
    </row>
    <row r="7" spans="1:2" x14ac:dyDescent="0.25">
      <c r="A7" s="725" t="s">
        <v>10</v>
      </c>
      <c r="B7" s="639">
        <v>19060.626853620503</v>
      </c>
    </row>
    <row r="8" spans="1:2" x14ac:dyDescent="0.25">
      <c r="A8" s="725" t="s">
        <v>246</v>
      </c>
      <c r="B8" s="639">
        <v>500</v>
      </c>
    </row>
    <row r="9" spans="1:2" x14ac:dyDescent="0.25">
      <c r="A9" s="725" t="s">
        <v>76</v>
      </c>
      <c r="B9" s="639">
        <v>239.86142310621145</v>
      </c>
    </row>
    <row r="10" spans="1:2" x14ac:dyDescent="0.25">
      <c r="A10" s="725" t="s">
        <v>405</v>
      </c>
      <c r="B10" s="639">
        <v>13.49970859146373</v>
      </c>
    </row>
    <row r="11" spans="1:2" x14ac:dyDescent="0.25">
      <c r="A11" s="725" t="s">
        <v>96</v>
      </c>
      <c r="B11" s="639">
        <v>12615.198148474095</v>
      </c>
    </row>
    <row r="12" spans="1:2" x14ac:dyDescent="0.25">
      <c r="A12" s="725" t="s">
        <v>558</v>
      </c>
      <c r="B12" s="639">
        <v>163.26000000000002</v>
      </c>
    </row>
    <row r="13" spans="1:2" x14ac:dyDescent="0.25">
      <c r="A13" s="725" t="s">
        <v>79</v>
      </c>
      <c r="B13" s="639">
        <v>283.88585519429688</v>
      </c>
    </row>
    <row r="14" spans="1:2" x14ac:dyDescent="0.25">
      <c r="A14" s="725" t="s">
        <v>66</v>
      </c>
      <c r="B14" s="639">
        <v>137.22823400920109</v>
      </c>
    </row>
    <row r="15" spans="1:2" x14ac:dyDescent="0.25">
      <c r="A15" s="725" t="s">
        <v>150</v>
      </c>
      <c r="B15" s="639">
        <v>11.999840883889989</v>
      </c>
    </row>
    <row r="16" spans="1:2" x14ac:dyDescent="0.25">
      <c r="A16" s="725" t="s">
        <v>218</v>
      </c>
      <c r="B16" s="639">
        <v>50.658305061001599</v>
      </c>
    </row>
    <row r="17" spans="1:2" x14ac:dyDescent="0.25">
      <c r="A17" s="725" t="s">
        <v>183</v>
      </c>
      <c r="B17" s="639">
        <v>6.1966596664064486</v>
      </c>
    </row>
    <row r="18" spans="1:2" x14ac:dyDescent="0.25">
      <c r="A18" s="725" t="s">
        <v>87</v>
      </c>
      <c r="B18" s="639">
        <v>8.8715807611976096</v>
      </c>
    </row>
    <row r="19" spans="1:2" x14ac:dyDescent="0.25">
      <c r="A19" s="725" t="s">
        <v>691</v>
      </c>
      <c r="B19" s="639">
        <v>19.999335150588394</v>
      </c>
    </row>
    <row r="20" spans="1:2" x14ac:dyDescent="0.25">
      <c r="A20" s="725" t="s">
        <v>36</v>
      </c>
      <c r="B20" s="639">
        <v>4.6526467171134698</v>
      </c>
    </row>
    <row r="21" spans="1:2" x14ac:dyDescent="0.25">
      <c r="A21" s="725" t="s">
        <v>185</v>
      </c>
      <c r="B21" s="639">
        <v>6.5215892072160484</v>
      </c>
    </row>
    <row r="22" spans="1:2" x14ac:dyDescent="0.25">
      <c r="A22" s="725" t="s">
        <v>32</v>
      </c>
      <c r="B22" s="639">
        <v>85.42920470401863</v>
      </c>
    </row>
    <row r="23" spans="1:2" x14ac:dyDescent="0.25">
      <c r="A23" s="725" t="s">
        <v>220</v>
      </c>
      <c r="B23" s="639">
        <v>20.591226705629037</v>
      </c>
    </row>
    <row r="24" spans="1:2" x14ac:dyDescent="0.25">
      <c r="A24" s="725" t="s">
        <v>60</v>
      </c>
      <c r="B24" s="639">
        <v>213.23028649786787</v>
      </c>
    </row>
    <row r="25" spans="1:2" x14ac:dyDescent="0.25">
      <c r="A25" s="725" t="s">
        <v>106</v>
      </c>
      <c r="B25" s="639">
        <v>68.006941837941838</v>
      </c>
    </row>
    <row r="26" spans="1:2" x14ac:dyDescent="0.25">
      <c r="A26" s="725" t="s">
        <v>26</v>
      </c>
      <c r="B26" s="639">
        <v>449.01176626720599</v>
      </c>
    </row>
    <row r="27" spans="1:2" x14ac:dyDescent="0.25">
      <c r="A27" s="725" t="s">
        <v>104</v>
      </c>
      <c r="B27" s="639">
        <v>113.7306380602368</v>
      </c>
    </row>
    <row r="28" spans="1:2" x14ac:dyDescent="0.25">
      <c r="A28" s="725" t="s">
        <v>56</v>
      </c>
      <c r="B28" s="639">
        <v>24790.836759096197</v>
      </c>
    </row>
    <row r="29" spans="1:2" x14ac:dyDescent="0.25">
      <c r="A29" s="725" t="s">
        <v>244</v>
      </c>
      <c r="B29" s="639">
        <v>9.1999999999999993</v>
      </c>
    </row>
    <row r="30" spans="1:2" x14ac:dyDescent="0.25">
      <c r="A30" s="725" t="s">
        <v>34</v>
      </c>
      <c r="B30" s="639">
        <v>104.60678802040125</v>
      </c>
    </row>
    <row r="31" spans="1:2" x14ac:dyDescent="0.25">
      <c r="A31" s="725" t="s">
        <v>24</v>
      </c>
      <c r="B31" s="639">
        <v>1004.2191899956595</v>
      </c>
    </row>
    <row r="32" spans="1:2" x14ac:dyDescent="0.25">
      <c r="A32" s="725" t="s">
        <v>142</v>
      </c>
      <c r="B32" s="639">
        <v>2700.0028733760373</v>
      </c>
    </row>
    <row r="33" spans="1:2" x14ac:dyDescent="0.25">
      <c r="A33" s="725" t="s">
        <v>131</v>
      </c>
      <c r="B33" s="639">
        <v>888.54827532956961</v>
      </c>
    </row>
    <row r="34" spans="1:2" x14ac:dyDescent="0.25">
      <c r="A34" s="725" t="s">
        <v>98</v>
      </c>
      <c r="B34" s="639">
        <v>2044.4641295825522</v>
      </c>
    </row>
    <row r="35" spans="1:2" x14ac:dyDescent="0.25">
      <c r="A35" s="725" t="s">
        <v>108</v>
      </c>
      <c r="B35" s="639">
        <v>14.286384669310328</v>
      </c>
    </row>
    <row r="36" spans="1:2" x14ac:dyDescent="0.25">
      <c r="A36" s="725" t="s">
        <v>416</v>
      </c>
      <c r="B36" s="639">
        <v>24.176674312943806</v>
      </c>
    </row>
    <row r="37" spans="1:2" x14ac:dyDescent="0.25">
      <c r="A37" s="725" t="s">
        <v>588</v>
      </c>
      <c r="B37" s="639">
        <v>94</v>
      </c>
    </row>
    <row r="38" spans="1:2" x14ac:dyDescent="0.25">
      <c r="A38" s="725" t="s">
        <v>89</v>
      </c>
      <c r="B38" s="639">
        <v>31.025229208500612</v>
      </c>
    </row>
    <row r="39" spans="1:2" x14ac:dyDescent="0.25">
      <c r="A39" s="725" t="s">
        <v>28</v>
      </c>
      <c r="B39" s="639">
        <v>315.23930420028563</v>
      </c>
    </row>
    <row r="40" spans="1:2" x14ac:dyDescent="0.25">
      <c r="A40" s="725" t="s">
        <v>81</v>
      </c>
      <c r="B40" s="639">
        <v>289.46300684712139</v>
      </c>
    </row>
    <row r="41" spans="1:2" x14ac:dyDescent="0.25">
      <c r="A41" s="725" t="s">
        <v>262</v>
      </c>
      <c r="B41" s="639">
        <v>15.833015181262924</v>
      </c>
    </row>
    <row r="42" spans="1:2" x14ac:dyDescent="0.25">
      <c r="A42" s="725" t="s">
        <v>20</v>
      </c>
      <c r="B42" s="639">
        <v>303.76274073854842</v>
      </c>
    </row>
    <row r="43" spans="1:2" x14ac:dyDescent="0.25">
      <c r="A43" s="725" t="s">
        <v>692</v>
      </c>
      <c r="B43" s="639">
        <v>273.13250559739464</v>
      </c>
    </row>
    <row r="44" spans="1:2" x14ac:dyDescent="0.25">
      <c r="A44" s="725" t="s">
        <v>146</v>
      </c>
      <c r="B44" s="639">
        <v>863.98854364007946</v>
      </c>
    </row>
    <row r="45" spans="1:2" x14ac:dyDescent="0.25">
      <c r="A45" s="725" t="s">
        <v>645</v>
      </c>
      <c r="B45" s="639">
        <v>37036.04769989365</v>
      </c>
    </row>
    <row r="46" spans="1:2" x14ac:dyDescent="0.25">
      <c r="A46" s="725" t="s">
        <v>503</v>
      </c>
      <c r="B46" s="639">
        <v>51871.337989425781</v>
      </c>
    </row>
    <row r="47" spans="1:2" x14ac:dyDescent="0.25">
      <c r="A47" s="725" t="s">
        <v>689</v>
      </c>
      <c r="B47" s="639">
        <v>6936.6985548544681</v>
      </c>
    </row>
    <row r="48" spans="1:2" x14ac:dyDescent="0.25">
      <c r="A48" s="725" t="s">
        <v>499</v>
      </c>
      <c r="B48" s="639">
        <v>2081.9883917458624</v>
      </c>
    </row>
    <row r="49" spans="1:2" x14ac:dyDescent="0.25">
      <c r="A49" s="725" t="s">
        <v>242</v>
      </c>
      <c r="B49" s="639">
        <v>163.26000000000002</v>
      </c>
    </row>
    <row r="50" spans="1:2" x14ac:dyDescent="0.25">
      <c r="A50" s="725" t="s">
        <v>94</v>
      </c>
      <c r="B50" s="639">
        <v>5670.6448230276255</v>
      </c>
    </row>
    <row r="51" spans="1:2" x14ac:dyDescent="0.25">
      <c r="A51" s="725" t="s">
        <v>68</v>
      </c>
      <c r="B51" s="639">
        <v>130.03858335631358</v>
      </c>
    </row>
    <row r="52" spans="1:2" x14ac:dyDescent="0.25">
      <c r="A52" s="725" t="s">
        <v>122</v>
      </c>
      <c r="B52" s="639">
        <v>9.4114355220478814</v>
      </c>
    </row>
    <row r="53" spans="1:2" x14ac:dyDescent="0.25">
      <c r="A53" s="725" t="s">
        <v>16</v>
      </c>
      <c r="B53" s="639">
        <v>1621.6254886793026</v>
      </c>
    </row>
    <row r="54" spans="1:2" x14ac:dyDescent="0.25">
      <c r="A54" s="725" t="s">
        <v>247</v>
      </c>
      <c r="B54" s="639">
        <v>200</v>
      </c>
    </row>
    <row r="55" spans="1:2" x14ac:dyDescent="0.25">
      <c r="A55" s="725" t="s">
        <v>148</v>
      </c>
      <c r="B55" s="639">
        <v>337.43552565498658</v>
      </c>
    </row>
    <row r="56" spans="1:2" x14ac:dyDescent="0.25">
      <c r="A56" s="725" t="s">
        <v>434</v>
      </c>
      <c r="B56" s="639">
        <v>15.312050873513124</v>
      </c>
    </row>
    <row r="57" spans="1:2" x14ac:dyDescent="0.25">
      <c r="A57" s="725" t="s">
        <v>362</v>
      </c>
      <c r="B57" s="639">
        <v>393.00492166660399</v>
      </c>
    </row>
    <row r="58" spans="1:2" x14ac:dyDescent="0.25">
      <c r="A58" s="725" t="s">
        <v>415</v>
      </c>
      <c r="B58" s="639">
        <v>24.001758370576603</v>
      </c>
    </row>
    <row r="59" spans="1:2" x14ac:dyDescent="0.25">
      <c r="A59" s="725" t="s">
        <v>181</v>
      </c>
      <c r="B59" s="639">
        <v>68.902857645493654</v>
      </c>
    </row>
    <row r="60" spans="1:2" x14ac:dyDescent="0.25">
      <c r="A60" s="725" t="s">
        <v>407</v>
      </c>
      <c r="B60" s="639">
        <v>4.9498931502033665</v>
      </c>
    </row>
    <row r="61" spans="1:2" x14ac:dyDescent="0.25">
      <c r="A61" s="725" t="s">
        <v>100</v>
      </c>
      <c r="B61" s="639">
        <v>121.04702388231358</v>
      </c>
    </row>
    <row r="62" spans="1:2" x14ac:dyDescent="0.25">
      <c r="A62" s="725" t="s">
        <v>690</v>
      </c>
      <c r="B62" s="639">
        <v>324.31354298251443</v>
      </c>
    </row>
    <row r="63" spans="1:2" x14ac:dyDescent="0.25">
      <c r="A63" s="725" t="s">
        <v>14</v>
      </c>
      <c r="B63" s="639">
        <v>541.38203028011117</v>
      </c>
    </row>
    <row r="64" spans="1:2" x14ac:dyDescent="0.25">
      <c r="A64" s="725" t="s">
        <v>530</v>
      </c>
      <c r="B64" s="639">
        <v>7133.6619247285289</v>
      </c>
    </row>
    <row r="65" spans="1:2" x14ac:dyDescent="0.25">
      <c r="A65" s="725" t="s">
        <v>360</v>
      </c>
      <c r="B65" s="639">
        <v>600.00751399481533</v>
      </c>
    </row>
    <row r="66" spans="1:2" x14ac:dyDescent="0.25">
      <c r="A66" s="725" t="s">
        <v>216</v>
      </c>
      <c r="B66" s="639">
        <v>739.27298388524378</v>
      </c>
    </row>
    <row r="67" spans="1:2" x14ac:dyDescent="0.25">
      <c r="A67" s="725" t="s">
        <v>12</v>
      </c>
      <c r="B67" s="639">
        <v>4203.5510274479147</v>
      </c>
    </row>
    <row r="68" spans="1:2" x14ac:dyDescent="0.25">
      <c r="A68" s="725" t="s">
        <v>22</v>
      </c>
      <c r="B68" s="639">
        <v>391.92013308769242</v>
      </c>
    </row>
    <row r="69" spans="1:2" x14ac:dyDescent="0.25">
      <c r="A69" s="725" t="s">
        <v>120</v>
      </c>
      <c r="B69" s="639">
        <v>0.8998930235798982</v>
      </c>
    </row>
    <row r="70" spans="1:2" x14ac:dyDescent="0.25">
      <c r="A70" s="725" t="s">
        <v>454</v>
      </c>
      <c r="B70" s="639">
        <v>886.19999999999993</v>
      </c>
    </row>
    <row r="71" spans="1:2" x14ac:dyDescent="0.25">
      <c r="A71" s="725" t="s">
        <v>117</v>
      </c>
      <c r="B71" s="639">
        <v>1737.8941483285103</v>
      </c>
    </row>
    <row r="72" spans="1:2" x14ac:dyDescent="0.25">
      <c r="A72" s="725" t="s">
        <v>57</v>
      </c>
      <c r="B72" s="639">
        <v>10195.702674576401</v>
      </c>
    </row>
    <row r="73" spans="1:2" x14ac:dyDescent="0.25">
      <c r="A73" s="725" t="s">
        <v>458</v>
      </c>
      <c r="B73" s="639">
        <v>7.5960064990198379</v>
      </c>
    </row>
    <row r="74" spans="1:2" x14ac:dyDescent="0.25">
      <c r="A74" s="725" t="s">
        <v>418</v>
      </c>
      <c r="B74" s="639">
        <v>1.2000879185288302</v>
      </c>
    </row>
    <row r="75" spans="1:2" x14ac:dyDescent="0.25">
      <c r="A75" s="725" t="s">
        <v>279</v>
      </c>
      <c r="B75" s="639">
        <v>167.99924352965738</v>
      </c>
    </row>
    <row r="76" spans="1:2" x14ac:dyDescent="0.25">
      <c r="A76" s="725" t="s">
        <v>64</v>
      </c>
      <c r="B76" s="639">
        <v>92.549997692947343</v>
      </c>
    </row>
    <row r="77" spans="1:2" x14ac:dyDescent="0.25">
      <c r="A77" s="725" t="s">
        <v>30</v>
      </c>
      <c r="B77" s="639">
        <v>457.5696475318216</v>
      </c>
    </row>
    <row r="78" spans="1:2" x14ac:dyDescent="0.25">
      <c r="A78" s="725" t="s">
        <v>456</v>
      </c>
      <c r="B78" s="639">
        <v>390.00488409662995</v>
      </c>
    </row>
    <row r="79" spans="1:2" x14ac:dyDescent="0.25">
      <c r="A79" s="725" t="s">
        <v>18</v>
      </c>
      <c r="B79" s="639">
        <v>2915.9555235245098</v>
      </c>
    </row>
    <row r="80" spans="1:2" x14ac:dyDescent="0.25">
      <c r="A80" s="725" t="s">
        <v>524</v>
      </c>
      <c r="B80" s="639">
        <v>160.34285334121478</v>
      </c>
    </row>
    <row r="81" spans="1:2" x14ac:dyDescent="0.25">
      <c r="A81" s="725" t="s">
        <v>102</v>
      </c>
      <c r="B81" s="639">
        <v>104.77387230589184</v>
      </c>
    </row>
    <row r="82" spans="1:2" x14ac:dyDescent="0.25">
      <c r="A82" s="725" t="s">
        <v>118</v>
      </c>
      <c r="B82" s="639">
        <v>1381.0773488685684</v>
      </c>
    </row>
    <row r="83" spans="1:2" x14ac:dyDescent="0.25">
      <c r="A83" s="725" t="s">
        <v>58</v>
      </c>
      <c r="B83" s="639">
        <v>3968.1973087097817</v>
      </c>
    </row>
    <row r="84" spans="1:2" x14ac:dyDescent="0.25">
      <c r="A84" s="725" t="s">
        <v>143</v>
      </c>
      <c r="B84" s="639">
        <v>1055.9859977823191</v>
      </c>
    </row>
    <row r="85" spans="1:2" x14ac:dyDescent="0.25">
      <c r="A85" s="725" t="s">
        <v>694</v>
      </c>
      <c r="B85" s="639">
        <v>309476.86205207347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96A4-8842-43E7-A7BD-11B32B17522D}">
  <sheetPr codeName="Hoja92"/>
  <dimension ref="B2:L50"/>
  <sheetViews>
    <sheetView view="pageBreakPreview" topLeftCell="A19" zoomScale="70" zoomScaleNormal="100" zoomScaleSheetLayoutView="70" workbookViewId="0">
      <selection activeCell="I36" sqref="I36"/>
    </sheetView>
  </sheetViews>
  <sheetFormatPr baseColWidth="10" defaultColWidth="11.5703125" defaultRowHeight="13.5" x14ac:dyDescent="0.25"/>
  <cols>
    <col min="1" max="2" width="11.5703125" style="1"/>
    <col min="3" max="3" width="67.42578125" style="1" bestFit="1" customWidth="1"/>
    <col min="4" max="5" width="11.5703125" style="1"/>
    <col min="6" max="6" width="12.85546875" style="107" bestFit="1" customWidth="1"/>
    <col min="7" max="7" width="14.5703125" style="1" bestFit="1" customWidth="1"/>
    <col min="8" max="8" width="12.5703125" style="1" bestFit="1" customWidth="1"/>
    <col min="9" max="9" width="14.42578125" style="1" bestFit="1" customWidth="1"/>
    <col min="10" max="10" width="13.42578125" style="1" bestFit="1" customWidth="1"/>
    <col min="11" max="16384" width="11.5703125" style="1"/>
  </cols>
  <sheetData>
    <row r="2" spans="2:12" s="42" customFormat="1" ht="26.25" customHeight="1" x14ac:dyDescent="0.25">
      <c r="B2" s="1743" t="s">
        <v>480</v>
      </c>
      <c r="C2" s="1743"/>
      <c r="D2" s="1743"/>
      <c r="E2" s="1743"/>
      <c r="F2" s="1743"/>
      <c r="G2" s="1743"/>
      <c r="H2" s="1743"/>
      <c r="I2" s="1743"/>
      <c r="J2" s="89"/>
      <c r="K2" s="89"/>
      <c r="L2" s="89"/>
    </row>
    <row r="4" spans="2:12" s="180" customFormat="1" ht="25.5" x14ac:dyDescent="0.25">
      <c r="B4" s="117" t="s">
        <v>0</v>
      </c>
      <c r="C4" s="117" t="s">
        <v>1</v>
      </c>
      <c r="D4" s="117" t="s">
        <v>2</v>
      </c>
      <c r="E4" s="117" t="s">
        <v>3</v>
      </c>
      <c r="F4" s="183" t="s">
        <v>528</v>
      </c>
      <c r="G4" s="149" t="s">
        <v>512</v>
      </c>
      <c r="H4" s="118" t="s">
        <v>306</v>
      </c>
      <c r="I4" s="118" t="s">
        <v>307</v>
      </c>
      <c r="J4" s="121" t="s">
        <v>3</v>
      </c>
    </row>
    <row r="5" spans="2:12" s="42" customFormat="1" ht="16.5" x14ac:dyDescent="0.25">
      <c r="B5" s="6" t="s">
        <v>6</v>
      </c>
      <c r="C5" s="6" t="s">
        <v>77</v>
      </c>
      <c r="D5" s="71">
        <v>0.14354165045160608</v>
      </c>
      <c r="E5" s="72">
        <f>(D5*100)/$D$24</f>
        <v>30.206576273486142</v>
      </c>
      <c r="F5" s="72">
        <v>6993</v>
      </c>
      <c r="G5" s="270">
        <f>F5*D5</f>
        <v>1003.7867616080813</v>
      </c>
      <c r="H5" s="39">
        <v>7255</v>
      </c>
      <c r="I5" s="73">
        <f>H5*D5</f>
        <v>1041.3946740264021</v>
      </c>
      <c r="J5" s="401">
        <f>((F5/H5)*100)-100</f>
        <v>-3.6113025499655436</v>
      </c>
      <c r="K5" s="336"/>
    </row>
    <row r="6" spans="2:12" s="42" customFormat="1" ht="16.5" x14ac:dyDescent="0.25">
      <c r="B6" s="6" t="s">
        <v>4</v>
      </c>
      <c r="C6" s="6" t="s">
        <v>53</v>
      </c>
      <c r="D6" s="70">
        <v>0.13246932501148664</v>
      </c>
      <c r="E6" s="72">
        <f t="shared" ref="E6:E22" si="0">(D6*100)/$D$24</f>
        <v>27.876541458646194</v>
      </c>
      <c r="F6" s="184">
        <v>7</v>
      </c>
      <c r="G6" s="270">
        <f t="shared" ref="G6:G22" si="1">F6*D6</f>
        <v>0.92728527508040648</v>
      </c>
      <c r="H6" s="88">
        <v>7</v>
      </c>
      <c r="I6" s="73">
        <f t="shared" ref="I6:I22" si="2">H6*D6</f>
        <v>0.92728527508040648</v>
      </c>
      <c r="J6" s="73">
        <f t="shared" ref="J6:J22" si="3">((F6/H6)*100)-100</f>
        <v>0</v>
      </c>
      <c r="K6" s="336"/>
    </row>
    <row r="7" spans="2:12" s="42" customFormat="1" ht="16.5" x14ac:dyDescent="0.25">
      <c r="B7" s="6" t="s">
        <v>95</v>
      </c>
      <c r="C7" s="6" t="s">
        <v>96</v>
      </c>
      <c r="D7" s="70">
        <v>0.10579961577244844</v>
      </c>
      <c r="E7" s="72">
        <f t="shared" si="0"/>
        <v>22.264228908343533</v>
      </c>
      <c r="F7" s="184">
        <v>16500</v>
      </c>
      <c r="G7" s="270">
        <f t="shared" si="1"/>
        <v>1745.6936602453993</v>
      </c>
      <c r="H7" s="88">
        <v>18045</v>
      </c>
      <c r="I7" s="73">
        <f t="shared" si="2"/>
        <v>1909.1540666138321</v>
      </c>
      <c r="J7" s="401">
        <f t="shared" si="3"/>
        <v>-8.5619285120531998</v>
      </c>
      <c r="K7" s="336"/>
    </row>
    <row r="8" spans="2:12" s="42" customFormat="1" ht="16.5" x14ac:dyDescent="0.25">
      <c r="B8" s="6" t="s">
        <v>5</v>
      </c>
      <c r="C8" s="6" t="s">
        <v>55</v>
      </c>
      <c r="D8" s="70">
        <v>2.9307372790151918E-2</v>
      </c>
      <c r="E8" s="72">
        <f t="shared" si="0"/>
        <v>6.167376428904026</v>
      </c>
      <c r="F8" s="184">
        <v>5484</v>
      </c>
      <c r="G8" s="270">
        <f t="shared" si="1"/>
        <v>160.7216323811931</v>
      </c>
      <c r="H8" s="88">
        <v>5453</v>
      </c>
      <c r="I8" s="73">
        <f t="shared" si="2"/>
        <v>159.8131038246984</v>
      </c>
      <c r="J8" s="404">
        <f t="shared" si="3"/>
        <v>0.56849440674857021</v>
      </c>
      <c r="K8" s="336"/>
    </row>
    <row r="9" spans="2:12" s="42" customFormat="1" ht="16.5" x14ac:dyDescent="0.25">
      <c r="B9" s="6" t="s">
        <v>9</v>
      </c>
      <c r="C9" s="6" t="s">
        <v>10</v>
      </c>
      <c r="D9" s="70">
        <v>2.0515160953106345E-2</v>
      </c>
      <c r="E9" s="72">
        <f t="shared" si="0"/>
        <v>4.3171635002328186</v>
      </c>
      <c r="F9" s="184">
        <v>5975</v>
      </c>
      <c r="G9" s="270">
        <f t="shared" si="1"/>
        <v>122.57808669481041</v>
      </c>
      <c r="H9" s="95">
        <v>5761</v>
      </c>
      <c r="I9" s="73">
        <f t="shared" si="2"/>
        <v>118.18784225084565</v>
      </c>
      <c r="J9" s="404">
        <f t="shared" si="3"/>
        <v>3.7146328762367631</v>
      </c>
      <c r="K9" s="336"/>
    </row>
    <row r="10" spans="2:12" s="42" customFormat="1" ht="16.5" x14ac:dyDescent="0.25">
      <c r="B10" s="6" t="s">
        <v>11</v>
      </c>
      <c r="C10" s="6" t="s">
        <v>12</v>
      </c>
      <c r="D10" s="70">
        <v>1.7584423674091153E-2</v>
      </c>
      <c r="E10" s="72">
        <f t="shared" si="0"/>
        <v>3.7004258573424158</v>
      </c>
      <c r="F10" s="184">
        <v>16084</v>
      </c>
      <c r="G10" s="270">
        <f t="shared" si="1"/>
        <v>282.82787037408212</v>
      </c>
      <c r="H10" s="95">
        <v>15638</v>
      </c>
      <c r="I10" s="73">
        <f t="shared" si="2"/>
        <v>274.98521741543743</v>
      </c>
      <c r="J10" s="404">
        <f t="shared" si="3"/>
        <v>2.8520271134416078</v>
      </c>
      <c r="K10" s="336"/>
    </row>
    <row r="11" spans="2:12" s="42" customFormat="1" ht="16.5" x14ac:dyDescent="0.25">
      <c r="B11" s="6" t="s">
        <v>17</v>
      </c>
      <c r="C11" s="6" t="s">
        <v>18</v>
      </c>
      <c r="D11" s="71">
        <v>6.3010851498826632E-3</v>
      </c>
      <c r="E11" s="72">
        <f t="shared" si="0"/>
        <v>1.3259859322143659</v>
      </c>
      <c r="F11" s="184">
        <v>878</v>
      </c>
      <c r="G11" s="270">
        <f t="shared" si="1"/>
        <v>5.5323527615969788</v>
      </c>
      <c r="H11" s="95">
        <v>878</v>
      </c>
      <c r="I11" s="73">
        <f t="shared" si="2"/>
        <v>5.5323527615969788</v>
      </c>
      <c r="J11" s="73">
        <f t="shared" si="3"/>
        <v>0</v>
      </c>
      <c r="K11" s="336"/>
    </row>
    <row r="12" spans="2:12" s="42" customFormat="1" ht="16.5" x14ac:dyDescent="0.25">
      <c r="B12" s="6" t="s">
        <v>13</v>
      </c>
      <c r="C12" s="6" t="s">
        <v>14</v>
      </c>
      <c r="D12" s="70">
        <v>5.8614745580303851E-3</v>
      </c>
      <c r="E12" s="72">
        <f t="shared" si="0"/>
        <v>1.2334752857808056</v>
      </c>
      <c r="F12" s="184">
        <v>33158</v>
      </c>
      <c r="G12" s="270">
        <f t="shared" si="1"/>
        <v>194.35477339517152</v>
      </c>
      <c r="H12" s="88">
        <v>32239</v>
      </c>
      <c r="I12" s="73">
        <f t="shared" si="2"/>
        <v>188.96807827634157</v>
      </c>
      <c r="J12" s="404">
        <f t="shared" si="3"/>
        <v>2.8505846955550851</v>
      </c>
      <c r="K12" s="336"/>
    </row>
    <row r="13" spans="2:12" s="42" customFormat="1" ht="16.5" x14ac:dyDescent="0.25">
      <c r="B13" s="6" t="s">
        <v>78</v>
      </c>
      <c r="C13" s="6" t="s">
        <v>79</v>
      </c>
      <c r="D13" s="71">
        <v>2.9307372790151926E-3</v>
      </c>
      <c r="E13" s="72">
        <f t="shared" si="0"/>
        <v>0.61673764289040278</v>
      </c>
      <c r="F13" s="184">
        <v>62980</v>
      </c>
      <c r="G13" s="270">
        <f t="shared" si="1"/>
        <v>184.57783383237683</v>
      </c>
      <c r="H13" s="88">
        <v>62980</v>
      </c>
      <c r="I13" s="73">
        <f t="shared" si="2"/>
        <v>184.57783383237683</v>
      </c>
      <c r="J13" s="73">
        <f t="shared" si="3"/>
        <v>0</v>
      </c>
      <c r="K13" s="336"/>
    </row>
    <row r="14" spans="2:12" s="42" customFormat="1" ht="16.5" x14ac:dyDescent="0.25">
      <c r="B14" s="6" t="s">
        <v>404</v>
      </c>
      <c r="C14" s="6" t="s">
        <v>405</v>
      </c>
      <c r="D14" s="70">
        <v>2.6376635511136735E-3</v>
      </c>
      <c r="E14" s="72">
        <f t="shared" si="0"/>
        <v>0.55506387860136253</v>
      </c>
      <c r="F14" s="184">
        <v>4915</v>
      </c>
      <c r="G14" s="270">
        <f t="shared" si="1"/>
        <v>12.964116353723705</v>
      </c>
      <c r="H14" s="184">
        <v>4908</v>
      </c>
      <c r="I14" s="73">
        <f t="shared" si="2"/>
        <v>12.945652708865909</v>
      </c>
      <c r="J14" s="404">
        <f t="shared" si="3"/>
        <v>0.14262428687857209</v>
      </c>
      <c r="K14" s="336"/>
    </row>
    <row r="15" spans="2:12" s="42" customFormat="1" ht="16.5" x14ac:dyDescent="0.25">
      <c r="B15" s="6" t="s">
        <v>101</v>
      </c>
      <c r="C15" s="6" t="s">
        <v>102</v>
      </c>
      <c r="D15" s="70">
        <v>2.1687455864712419E-3</v>
      </c>
      <c r="E15" s="72">
        <f t="shared" si="0"/>
        <v>0.45638585573889789</v>
      </c>
      <c r="F15" s="184">
        <v>70021</v>
      </c>
      <c r="G15" s="270">
        <f t="shared" si="1"/>
        <v>151.85773471030282</v>
      </c>
      <c r="H15" s="95">
        <v>65950</v>
      </c>
      <c r="I15" s="73">
        <f t="shared" si="2"/>
        <v>143.02877142777839</v>
      </c>
      <c r="J15" s="404">
        <f t="shared" si="3"/>
        <v>6.1728582259287208</v>
      </c>
      <c r="K15" s="336"/>
    </row>
    <row r="16" spans="2:12" s="42" customFormat="1" ht="16.5" x14ac:dyDescent="0.25">
      <c r="B16" s="6" t="s">
        <v>80</v>
      </c>
      <c r="C16" s="6" t="s">
        <v>81</v>
      </c>
      <c r="D16" s="70">
        <v>2.1394382136810898E-3</v>
      </c>
      <c r="E16" s="72">
        <f t="shared" si="0"/>
        <v>0.45021847930999381</v>
      </c>
      <c r="F16" s="184">
        <v>21400</v>
      </c>
      <c r="G16" s="270">
        <f t="shared" si="1"/>
        <v>45.783977772775323</v>
      </c>
      <c r="H16" s="95">
        <v>21400</v>
      </c>
      <c r="I16" s="73">
        <f t="shared" si="2"/>
        <v>45.783977772775323</v>
      </c>
      <c r="J16" s="73">
        <f t="shared" si="3"/>
        <v>0</v>
      </c>
      <c r="K16" s="336"/>
    </row>
    <row r="17" spans="2:11" s="42" customFormat="1" ht="16.5" x14ac:dyDescent="0.25">
      <c r="B17" s="6" t="s">
        <v>25</v>
      </c>
      <c r="C17" s="6" t="s">
        <v>26</v>
      </c>
      <c r="D17" s="70">
        <v>1.4067538939272924E-3</v>
      </c>
      <c r="E17" s="72">
        <f t="shared" si="0"/>
        <v>0.29603406858739334</v>
      </c>
      <c r="F17" s="184">
        <v>59418</v>
      </c>
      <c r="G17" s="270">
        <f t="shared" si="1"/>
        <v>83.586502869371856</v>
      </c>
      <c r="H17" s="88">
        <v>59227</v>
      </c>
      <c r="I17" s="73">
        <f t="shared" si="2"/>
        <v>83.317812875631745</v>
      </c>
      <c r="J17" s="404">
        <f t="shared" si="3"/>
        <v>0.32248805443461492</v>
      </c>
      <c r="K17" s="336"/>
    </row>
    <row r="18" spans="2:11" s="42" customFormat="1" ht="16.5" x14ac:dyDescent="0.25">
      <c r="B18" s="6" t="s">
        <v>406</v>
      </c>
      <c r="C18" s="6" t="s">
        <v>407</v>
      </c>
      <c r="D18" s="70">
        <v>9.6714330207501328E-4</v>
      </c>
      <c r="E18" s="72">
        <f t="shared" si="0"/>
        <v>0.20352342215383284</v>
      </c>
      <c r="F18" s="184">
        <v>8214</v>
      </c>
      <c r="G18" s="270">
        <f t="shared" si="1"/>
        <v>7.9441150832441592</v>
      </c>
      <c r="H18" s="184">
        <v>8214</v>
      </c>
      <c r="I18" s="73">
        <f t="shared" si="2"/>
        <v>7.9441150832441592</v>
      </c>
      <c r="J18" s="73">
        <f t="shared" si="3"/>
        <v>0</v>
      </c>
      <c r="K18" s="336"/>
    </row>
    <row r="19" spans="2:11" s="42" customFormat="1" ht="16.5" x14ac:dyDescent="0.25">
      <c r="B19" s="6" t="s">
        <v>29</v>
      </c>
      <c r="C19" s="6" t="s">
        <v>30</v>
      </c>
      <c r="D19" s="71">
        <v>7.8543759077607167E-4</v>
      </c>
      <c r="E19" s="72">
        <f t="shared" si="0"/>
        <v>0.16528568829462795</v>
      </c>
      <c r="F19" s="184">
        <v>2500</v>
      </c>
      <c r="G19" s="270">
        <f t="shared" si="1"/>
        <v>1.9635939769401791</v>
      </c>
      <c r="H19" s="95">
        <v>2554</v>
      </c>
      <c r="I19" s="73">
        <f t="shared" si="2"/>
        <v>2.0060076068420871</v>
      </c>
      <c r="J19" s="401">
        <f t="shared" si="3"/>
        <v>-2.1143304620203622</v>
      </c>
      <c r="K19" s="336"/>
    </row>
    <row r="20" spans="2:11" s="42" customFormat="1" ht="16.5" x14ac:dyDescent="0.25">
      <c r="B20" s="6" t="s">
        <v>88</v>
      </c>
      <c r="C20" s="6" t="s">
        <v>89</v>
      </c>
      <c r="D20" s="70">
        <v>4.6891796464243083E-4</v>
      </c>
      <c r="E20" s="72">
        <f t="shared" si="0"/>
        <v>9.8678022862464437E-2</v>
      </c>
      <c r="F20" s="72">
        <v>39563</v>
      </c>
      <c r="G20" s="270">
        <f t="shared" si="1"/>
        <v>18.551801435148491</v>
      </c>
      <c r="H20" s="25">
        <v>39563</v>
      </c>
      <c r="I20" s="73">
        <f t="shared" si="2"/>
        <v>18.551801435148491</v>
      </c>
      <c r="J20" s="73">
        <f t="shared" si="3"/>
        <v>0</v>
      </c>
      <c r="K20" s="336"/>
    </row>
    <row r="21" spans="2:11" s="42" customFormat="1" ht="16.5" x14ac:dyDescent="0.25">
      <c r="B21" s="6" t="s">
        <v>33</v>
      </c>
      <c r="C21" s="6" t="s">
        <v>34</v>
      </c>
      <c r="D21" s="70">
        <v>2.1980529592613941E-4</v>
      </c>
      <c r="E21" s="72">
        <f t="shared" si="0"/>
        <v>4.6255323216780206E-2</v>
      </c>
      <c r="F21" s="184">
        <v>26800</v>
      </c>
      <c r="G21" s="270">
        <f t="shared" si="1"/>
        <v>5.8907819308205367</v>
      </c>
      <c r="H21" s="95">
        <v>26800</v>
      </c>
      <c r="I21" s="73">
        <f t="shared" si="2"/>
        <v>5.8907819308205367</v>
      </c>
      <c r="J21" s="73">
        <f t="shared" si="3"/>
        <v>0</v>
      </c>
      <c r="K21" s="336"/>
    </row>
    <row r="22" spans="2:11" s="42" customFormat="1" ht="16.5" x14ac:dyDescent="0.25">
      <c r="B22" s="6" t="s">
        <v>86</v>
      </c>
      <c r="C22" s="6" t="s">
        <v>87</v>
      </c>
      <c r="D22" s="70">
        <v>9.5248961567993747E-5</v>
      </c>
      <c r="E22" s="72">
        <f t="shared" si="0"/>
        <v>2.0043973393938087E-2</v>
      </c>
      <c r="F22" s="72">
        <v>50051</v>
      </c>
      <c r="G22" s="270">
        <f t="shared" si="1"/>
        <v>4.7673057754396551</v>
      </c>
      <c r="H22" s="88">
        <v>50051</v>
      </c>
      <c r="I22" s="73">
        <f t="shared" si="2"/>
        <v>4.7673057754396551</v>
      </c>
      <c r="J22" s="73">
        <f t="shared" si="3"/>
        <v>0</v>
      </c>
      <c r="K22" s="336"/>
    </row>
    <row r="23" spans="2:11" s="42" customFormat="1" ht="16.5" hidden="1" x14ac:dyDescent="0.25">
      <c r="F23" s="185"/>
      <c r="I23" s="73">
        <f>(H23*D23)</f>
        <v>0</v>
      </c>
      <c r="J23" s="73"/>
    </row>
    <row r="24" spans="2:11" s="42" customFormat="1" ht="16.5" x14ac:dyDescent="0.25">
      <c r="B24" s="1814"/>
      <c r="C24" s="1815"/>
      <c r="D24" s="104">
        <f>SUM(D5:D22)</f>
        <v>0.47519999999999979</v>
      </c>
      <c r="E24" s="75">
        <f>SUM(E5:E22)</f>
        <v>100</v>
      </c>
      <c r="F24" s="90"/>
      <c r="G24" s="179">
        <f>SUM(G5:G22)</f>
        <v>4034.3101864755577</v>
      </c>
      <c r="H24" s="76"/>
      <c r="I24" s="90">
        <f>SUM(I5:I22)</f>
        <v>4207.7766808931583</v>
      </c>
      <c r="J24" s="411">
        <f>((G24/I24)*100)-100</f>
        <v>-4.122521406739196</v>
      </c>
    </row>
    <row r="26" spans="2:11" ht="25.5" x14ac:dyDescent="0.35">
      <c r="B26" s="1881" t="s">
        <v>50</v>
      </c>
      <c r="C26" s="1882"/>
      <c r="D26" s="91"/>
      <c r="E26" s="91"/>
      <c r="F26" s="186"/>
      <c r="G26" s="91"/>
      <c r="H26" s="91"/>
      <c r="I26" s="91"/>
    </row>
    <row r="27" spans="2:11" x14ac:dyDescent="0.25">
      <c r="B27" s="92" t="s">
        <v>38</v>
      </c>
      <c r="C27" s="93" t="s">
        <v>113</v>
      </c>
      <c r="D27" s="38"/>
      <c r="H27" s="38"/>
    </row>
    <row r="28" spans="2:11" x14ac:dyDescent="0.25">
      <c r="B28" s="20" t="s">
        <v>39</v>
      </c>
      <c r="C28" s="21" t="s">
        <v>408</v>
      </c>
      <c r="D28" s="38"/>
      <c r="H28" s="38"/>
    </row>
    <row r="29" spans="2:11" x14ac:dyDescent="0.25">
      <c r="B29" s="20" t="s">
        <v>40</v>
      </c>
      <c r="C29" s="21">
        <v>450</v>
      </c>
      <c r="D29" s="38"/>
      <c r="H29" s="38"/>
    </row>
    <row r="30" spans="2:11" x14ac:dyDescent="0.25">
      <c r="B30" s="20" t="s">
        <v>41</v>
      </c>
      <c r="C30" s="21">
        <v>0</v>
      </c>
      <c r="D30" s="38"/>
      <c r="H30" s="38"/>
    </row>
    <row r="31" spans="2:11" x14ac:dyDescent="0.25">
      <c r="B31" s="20" t="s">
        <v>42</v>
      </c>
      <c r="C31" s="21">
        <v>0.5</v>
      </c>
      <c r="D31" s="38"/>
      <c r="H31" s="38"/>
    </row>
    <row r="32" spans="2:11" x14ac:dyDescent="0.25">
      <c r="B32" s="20" t="s">
        <v>43</v>
      </c>
      <c r="C32" s="21">
        <v>0.5</v>
      </c>
      <c r="D32" s="38"/>
      <c r="H32" s="38"/>
    </row>
    <row r="33" spans="2:9" x14ac:dyDescent="0.25">
      <c r="B33" s="20" t="s">
        <v>44</v>
      </c>
      <c r="C33" s="21">
        <v>7</v>
      </c>
      <c r="D33" s="38"/>
      <c r="H33" s="38"/>
    </row>
    <row r="34" spans="2:9" x14ac:dyDescent="0.25">
      <c r="B34" s="20" t="s">
        <v>45</v>
      </c>
      <c r="C34" s="21">
        <v>2</v>
      </c>
      <c r="D34" s="38"/>
      <c r="H34" s="38"/>
    </row>
    <row r="35" spans="2:9" x14ac:dyDescent="0.25">
      <c r="B35" s="20" t="s">
        <v>46</v>
      </c>
      <c r="C35" s="21">
        <f>C34+C33+C32+C31</f>
        <v>10</v>
      </c>
      <c r="D35" s="38"/>
      <c r="H35" s="38"/>
    </row>
    <row r="37" spans="2:9" ht="25.5" x14ac:dyDescent="0.35">
      <c r="B37" s="1839" t="s">
        <v>47</v>
      </c>
      <c r="C37" s="1840"/>
      <c r="D37" s="1840"/>
      <c r="E37" s="1840"/>
      <c r="F37" s="1840"/>
      <c r="G37" s="1840"/>
      <c r="H37" s="1840"/>
      <c r="I37" s="1840"/>
    </row>
    <row r="38" spans="2:9" s="120" customFormat="1" ht="25.5" x14ac:dyDescent="0.25">
      <c r="B38" s="132" t="s">
        <v>0</v>
      </c>
      <c r="C38" s="132" t="s">
        <v>1</v>
      </c>
      <c r="D38" s="164" t="s">
        <v>2</v>
      </c>
      <c r="E38" s="150" t="s">
        <v>528</v>
      </c>
      <c r="F38" s="150" t="s">
        <v>512</v>
      </c>
      <c r="G38" s="2" t="s">
        <v>306</v>
      </c>
      <c r="H38" s="2" t="s">
        <v>307</v>
      </c>
      <c r="I38" s="2" t="s">
        <v>3</v>
      </c>
    </row>
    <row r="39" spans="2:9" x14ac:dyDescent="0.25">
      <c r="B39" s="4" t="s">
        <v>198</v>
      </c>
      <c r="C39" s="4" t="s">
        <v>199</v>
      </c>
      <c r="D39" s="103">
        <v>5.2200000000000003E-2</v>
      </c>
      <c r="E39" s="24">
        <v>4053</v>
      </c>
      <c r="F39" s="5">
        <f>E39*D39</f>
        <v>211.56660000000002</v>
      </c>
      <c r="G39" s="24">
        <v>3712</v>
      </c>
      <c r="H39" s="5">
        <f>G39*D39</f>
        <v>193.7664</v>
      </c>
      <c r="I39" s="410">
        <f>((E39/G39)*100)-100</f>
        <v>9.1864224137931103</v>
      </c>
    </row>
    <row r="40" spans="2:9" x14ac:dyDescent="0.25">
      <c r="B40" s="4" t="s">
        <v>200</v>
      </c>
      <c r="C40" s="4" t="s">
        <v>201</v>
      </c>
      <c r="D40" s="103">
        <v>0.08</v>
      </c>
      <c r="E40" s="24">
        <v>57</v>
      </c>
      <c r="F40" s="5">
        <f>E40*D40</f>
        <v>4.5600000000000005</v>
      </c>
      <c r="G40" s="24">
        <v>52</v>
      </c>
      <c r="H40" s="5">
        <f>G40*D40</f>
        <v>4.16</v>
      </c>
      <c r="I40" s="410">
        <f>((E40/G40)*100)-100</f>
        <v>9.6153846153846274</v>
      </c>
    </row>
    <row r="41" spans="2:9" x14ac:dyDescent="0.25">
      <c r="B41" s="208" t="s">
        <v>314</v>
      </c>
      <c r="C41" s="226" t="s">
        <v>315</v>
      </c>
      <c r="D41" s="103">
        <v>0.16</v>
      </c>
      <c r="E41" s="24">
        <v>861</v>
      </c>
      <c r="F41" s="5">
        <f>E41*D41</f>
        <v>137.76</v>
      </c>
      <c r="G41" s="24">
        <v>861</v>
      </c>
      <c r="H41" s="5">
        <f>G41*D41</f>
        <v>137.76</v>
      </c>
      <c r="I41" s="24">
        <f>((E41/G41)*100)-100</f>
        <v>0</v>
      </c>
    </row>
    <row r="42" spans="2:9" x14ac:dyDescent="0.25">
      <c r="B42" s="7" t="s">
        <v>413</v>
      </c>
      <c r="C42" s="7" t="s">
        <v>481</v>
      </c>
      <c r="D42" s="103">
        <v>1</v>
      </c>
      <c r="E42" s="24">
        <v>114</v>
      </c>
      <c r="F42" s="5">
        <f>E42*D42</f>
        <v>114</v>
      </c>
      <c r="G42" s="24">
        <v>114</v>
      </c>
      <c r="H42" s="5">
        <f>G42*D42</f>
        <v>114</v>
      </c>
      <c r="I42" s="24">
        <f>((E42/G42)*100)-100</f>
        <v>0</v>
      </c>
    </row>
    <row r="43" spans="2:9" x14ac:dyDescent="0.25">
      <c r="B43" s="208" t="s">
        <v>172</v>
      </c>
      <c r="C43" s="226" t="s">
        <v>91</v>
      </c>
      <c r="D43" s="103">
        <v>0.16</v>
      </c>
      <c r="E43" s="24">
        <v>2219</v>
      </c>
      <c r="F43" s="5">
        <f>E43*D43</f>
        <v>355.04</v>
      </c>
      <c r="G43" s="24">
        <v>2173</v>
      </c>
      <c r="H43" s="5">
        <f>G43*D43</f>
        <v>347.68</v>
      </c>
      <c r="I43" s="410">
        <f>((E43/G43)*100)-100</f>
        <v>2.1168890934192319</v>
      </c>
    </row>
    <row r="44" spans="2:9" ht="16.899999999999999" customHeight="1" x14ac:dyDescent="0.25">
      <c r="B44" s="22"/>
      <c r="C44" s="22" t="s">
        <v>37</v>
      </c>
      <c r="D44" s="102"/>
      <c r="E44" s="23"/>
      <c r="F44" s="280">
        <f>SUM(F39:F43)</f>
        <v>822.92660000000001</v>
      </c>
      <c r="G44" s="283"/>
      <c r="H44" s="283">
        <f>SUM(H39:H43)</f>
        <v>797.3664</v>
      </c>
      <c r="I44" s="151">
        <f>((F44/H44)*100)-100</f>
        <v>3.2055777619924868</v>
      </c>
    </row>
    <row r="46" spans="2:9" x14ac:dyDescent="0.25">
      <c r="B46" s="1825" t="s">
        <v>400</v>
      </c>
      <c r="C46" s="1825"/>
      <c r="D46" s="1749">
        <f>F44+G24</f>
        <v>4857.2367864755579</v>
      </c>
      <c r="E46" s="1749"/>
      <c r="F46" s="1749"/>
      <c r="G46" s="1749"/>
      <c r="H46" s="1749"/>
      <c r="I46" s="181"/>
    </row>
    <row r="47" spans="2:9" x14ac:dyDescent="0.25">
      <c r="B47" s="1830" t="s">
        <v>48</v>
      </c>
      <c r="C47" s="1831"/>
      <c r="D47" s="1749">
        <f>+(921.6/1000)*450</f>
        <v>414.71999999999997</v>
      </c>
      <c r="E47" s="1749"/>
      <c r="F47" s="1749"/>
      <c r="G47" s="1749"/>
      <c r="H47" s="1749"/>
      <c r="I47" s="182"/>
    </row>
    <row r="48" spans="2:9" x14ac:dyDescent="0.25">
      <c r="B48" s="1830" t="s">
        <v>482</v>
      </c>
      <c r="C48" s="1831"/>
      <c r="D48" s="1749">
        <f>+D47+D46</f>
        <v>5271.9567864755581</v>
      </c>
      <c r="E48" s="1749"/>
      <c r="F48" s="1749"/>
      <c r="G48" s="1749"/>
      <c r="H48" s="1749"/>
      <c r="I48" s="152"/>
    </row>
    <row r="49" spans="2:9" x14ac:dyDescent="0.25">
      <c r="B49" s="1825" t="s">
        <v>49</v>
      </c>
      <c r="C49" s="1825"/>
      <c r="D49" s="1749">
        <f>D48/I50</f>
        <v>7052.5963004007363</v>
      </c>
      <c r="E49" s="1749"/>
      <c r="F49" s="1749"/>
      <c r="G49" s="1749"/>
      <c r="H49" s="1749"/>
      <c r="I49" s="141">
        <v>0.25247999999999998</v>
      </c>
    </row>
    <row r="50" spans="2:9" x14ac:dyDescent="0.25">
      <c r="D50" s="38"/>
      <c r="H50" s="38"/>
      <c r="I50" s="137">
        <f>1-I49</f>
        <v>0.74751999999999996</v>
      </c>
    </row>
  </sheetData>
  <mergeCells count="12">
    <mergeCell ref="B2:I2"/>
    <mergeCell ref="B24:C24"/>
    <mergeCell ref="B26:C26"/>
    <mergeCell ref="B37:I37"/>
    <mergeCell ref="B46:C46"/>
    <mergeCell ref="D46:H46"/>
    <mergeCell ref="B47:C47"/>
    <mergeCell ref="D47:H47"/>
    <mergeCell ref="B48:C48"/>
    <mergeCell ref="D48:H48"/>
    <mergeCell ref="B49:C49"/>
    <mergeCell ref="D49:H49"/>
  </mergeCells>
  <pageMargins left="0.7" right="0.7" top="0.75" bottom="0.75" header="0.3" footer="0.3"/>
  <pageSetup scale="44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6615-AEC2-464E-91E0-BFF3EE5EE867}">
  <sheetPr codeName="Hoja93" filterMode="1"/>
  <dimension ref="A1:K127"/>
  <sheetViews>
    <sheetView view="pageBreakPreview" zoomScale="90" zoomScaleNormal="100" zoomScaleSheetLayoutView="90" workbookViewId="0">
      <selection activeCell="C138" sqref="C138"/>
    </sheetView>
  </sheetViews>
  <sheetFormatPr baseColWidth="10" defaultColWidth="11.5703125" defaultRowHeight="13.5" x14ac:dyDescent="0.25"/>
  <cols>
    <col min="1" max="1" width="35.28515625" style="731" customWidth="1"/>
    <col min="2" max="2" width="16.7109375" style="731" bestFit="1" customWidth="1"/>
    <col min="3" max="3" width="78.7109375" style="731" customWidth="1"/>
    <col min="4" max="4" width="11.7109375" style="731" bestFit="1" customWidth="1"/>
    <col min="5" max="5" width="11.7109375" style="731" hidden="1" customWidth="1"/>
    <col min="6" max="9" width="11.7109375" style="731" customWidth="1"/>
    <col min="10" max="10" width="12.28515625" style="731" bestFit="1" customWidth="1"/>
    <col min="11" max="16384" width="11.5703125" style="731"/>
  </cols>
  <sheetData>
    <row r="1" spans="1:10" s="732" customFormat="1" ht="28.9" customHeight="1" x14ac:dyDescent="0.25">
      <c r="A1" s="733" t="s">
        <v>463</v>
      </c>
      <c r="B1" s="733" t="s">
        <v>0</v>
      </c>
      <c r="C1" s="733" t="s">
        <v>717</v>
      </c>
      <c r="D1" s="733" t="s">
        <v>2</v>
      </c>
      <c r="E1" s="733" t="s">
        <v>628</v>
      </c>
      <c r="F1" s="733" t="s">
        <v>627</v>
      </c>
      <c r="G1" s="733" t="s">
        <v>536</v>
      </c>
      <c r="H1" s="733" t="s">
        <v>512</v>
      </c>
      <c r="I1" s="733" t="s">
        <v>3</v>
      </c>
      <c r="J1" s="733" t="s">
        <v>718</v>
      </c>
    </row>
    <row r="2" spans="1:10" hidden="1" x14ac:dyDescent="0.25">
      <c r="A2" s="225" t="s">
        <v>710</v>
      </c>
      <c r="B2" s="225" t="s">
        <v>226</v>
      </c>
      <c r="C2" s="225" t="s">
        <v>227</v>
      </c>
      <c r="D2" s="225">
        <v>3</v>
      </c>
      <c r="E2" s="225">
        <v>58</v>
      </c>
      <c r="F2" s="225">
        <f>E2*D2</f>
        <v>174</v>
      </c>
      <c r="G2" s="225">
        <v>58</v>
      </c>
      <c r="H2" s="225">
        <f>G2*D2</f>
        <v>174</v>
      </c>
      <c r="I2" s="225">
        <f>((E2/G2)*100)-100</f>
        <v>0</v>
      </c>
      <c r="J2" s="225">
        <v>42090</v>
      </c>
    </row>
    <row r="3" spans="1:10" hidden="1" x14ac:dyDescent="0.25">
      <c r="A3" s="734" t="s">
        <v>712</v>
      </c>
      <c r="B3" s="734" t="s">
        <v>252</v>
      </c>
      <c r="C3" s="734" t="s">
        <v>253</v>
      </c>
      <c r="D3" s="734">
        <v>1</v>
      </c>
      <c r="E3" s="734">
        <v>577</v>
      </c>
      <c r="F3" s="734">
        <v>577</v>
      </c>
      <c r="G3" s="734">
        <v>577</v>
      </c>
      <c r="H3" s="734">
        <v>577</v>
      </c>
      <c r="I3" s="734">
        <v>0</v>
      </c>
      <c r="J3" s="734">
        <v>137430</v>
      </c>
    </row>
    <row r="4" spans="1:10" hidden="1" x14ac:dyDescent="0.25">
      <c r="A4" s="734" t="s">
        <v>711</v>
      </c>
      <c r="B4" s="734" t="s">
        <v>252</v>
      </c>
      <c r="C4" s="734" t="s">
        <v>253</v>
      </c>
      <c r="D4" s="734">
        <v>1</v>
      </c>
      <c r="E4" s="734">
        <v>577</v>
      </c>
      <c r="F4" s="734">
        <v>577</v>
      </c>
      <c r="G4" s="734">
        <v>577</v>
      </c>
      <c r="H4" s="734">
        <v>577</v>
      </c>
      <c r="I4" s="734">
        <v>0</v>
      </c>
      <c r="J4" s="734">
        <v>56895</v>
      </c>
    </row>
    <row r="5" spans="1:10" hidden="1" x14ac:dyDescent="0.25">
      <c r="A5" s="734" t="s">
        <v>709</v>
      </c>
      <c r="B5" s="734" t="s">
        <v>231</v>
      </c>
      <c r="C5" s="734" t="s">
        <v>232</v>
      </c>
      <c r="D5" s="734">
        <v>1</v>
      </c>
      <c r="E5" s="734">
        <v>437</v>
      </c>
      <c r="F5" s="734">
        <v>437</v>
      </c>
      <c r="G5" s="734">
        <v>437</v>
      </c>
      <c r="H5" s="734">
        <v>437</v>
      </c>
      <c r="I5" s="734">
        <v>0</v>
      </c>
      <c r="J5" s="822">
        <v>26870</v>
      </c>
    </row>
    <row r="6" spans="1:10" hidden="1" x14ac:dyDescent="0.25">
      <c r="A6" s="734" t="s">
        <v>720</v>
      </c>
      <c r="B6" s="734" t="s">
        <v>231</v>
      </c>
      <c r="C6" s="734" t="s">
        <v>232</v>
      </c>
      <c r="D6" s="734">
        <v>1</v>
      </c>
      <c r="E6" s="734">
        <v>437</v>
      </c>
      <c r="F6" s="734">
        <v>437</v>
      </c>
      <c r="G6" s="734">
        <v>437</v>
      </c>
      <c r="H6" s="734">
        <v>437</v>
      </c>
      <c r="I6" s="734">
        <v>0</v>
      </c>
      <c r="J6" s="822">
        <v>120090</v>
      </c>
    </row>
    <row r="7" spans="1:10" hidden="1" x14ac:dyDescent="0.25">
      <c r="A7" s="734" t="s">
        <v>708</v>
      </c>
      <c r="B7" s="734" t="s">
        <v>322</v>
      </c>
      <c r="C7" s="734" t="s">
        <v>323</v>
      </c>
      <c r="D7" s="734">
        <v>1</v>
      </c>
      <c r="E7" s="734">
        <v>437</v>
      </c>
      <c r="F7" s="734">
        <v>437</v>
      </c>
      <c r="G7" s="734">
        <v>437</v>
      </c>
      <c r="H7" s="734">
        <v>437</v>
      </c>
      <c r="I7" s="734">
        <v>0</v>
      </c>
      <c r="J7" s="734">
        <v>14035</v>
      </c>
    </row>
    <row r="8" spans="1:10" hidden="1" x14ac:dyDescent="0.25">
      <c r="A8" s="225" t="s">
        <v>710</v>
      </c>
      <c r="B8" s="225" t="s">
        <v>224</v>
      </c>
      <c r="C8" s="225" t="s">
        <v>225</v>
      </c>
      <c r="D8" s="225">
        <v>1</v>
      </c>
      <c r="E8" s="225">
        <v>1022</v>
      </c>
      <c r="F8" s="225">
        <f>E8*D8</f>
        <v>1022</v>
      </c>
      <c r="G8" s="225">
        <v>1022</v>
      </c>
      <c r="H8" s="225">
        <f>G8*D8</f>
        <v>1022</v>
      </c>
      <c r="I8" s="225">
        <f>((E8/G8)*100)-100</f>
        <v>0</v>
      </c>
      <c r="J8" s="225">
        <v>4209</v>
      </c>
    </row>
    <row r="9" spans="1:10" hidden="1" x14ac:dyDescent="0.25">
      <c r="A9" s="734" t="s">
        <v>729</v>
      </c>
      <c r="B9" s="734" t="s">
        <v>394</v>
      </c>
      <c r="C9" s="734" t="s">
        <v>395</v>
      </c>
      <c r="D9" s="734">
        <v>3.125E-2</v>
      </c>
      <c r="E9" s="734">
        <v>1624</v>
      </c>
      <c r="F9" s="734">
        <v>50.75</v>
      </c>
      <c r="G9" s="734">
        <v>1624</v>
      </c>
      <c r="H9" s="734">
        <v>50.75</v>
      </c>
      <c r="I9" s="734">
        <v>0</v>
      </c>
      <c r="J9" s="734">
        <v>4687.5</v>
      </c>
    </row>
    <row r="10" spans="1:10" hidden="1" x14ac:dyDescent="0.25">
      <c r="A10" s="734" t="s">
        <v>724</v>
      </c>
      <c r="B10" s="734" t="s">
        <v>344</v>
      </c>
      <c r="C10" s="734" t="s">
        <v>345</v>
      </c>
      <c r="D10" s="734">
        <v>4.5999999999999999E-2</v>
      </c>
      <c r="E10" s="734">
        <v>1624</v>
      </c>
      <c r="F10" s="734">
        <v>74.703999999999994</v>
      </c>
      <c r="G10" s="734">
        <v>1624</v>
      </c>
      <c r="H10" s="734">
        <v>74.703999999999994</v>
      </c>
      <c r="I10" s="734">
        <v>0</v>
      </c>
      <c r="J10" s="734">
        <v>8280</v>
      </c>
    </row>
    <row r="11" spans="1:10" hidden="1" x14ac:dyDescent="0.25">
      <c r="A11" s="734" t="s">
        <v>729</v>
      </c>
      <c r="B11" s="734" t="s">
        <v>200</v>
      </c>
      <c r="C11" s="734" t="s">
        <v>201</v>
      </c>
      <c r="D11" s="734">
        <v>3.7100000000000001E-2</v>
      </c>
      <c r="E11" s="734">
        <v>28</v>
      </c>
      <c r="F11" s="734">
        <v>1.0387999999999999</v>
      </c>
      <c r="G11" s="734">
        <v>52</v>
      </c>
      <c r="H11" s="734">
        <v>1.9292</v>
      </c>
      <c r="I11" s="734">
        <v>-46.153846153846153</v>
      </c>
      <c r="J11" s="734">
        <v>5565</v>
      </c>
    </row>
    <row r="12" spans="1:10" hidden="1" x14ac:dyDescent="0.25">
      <c r="A12" s="734" t="s">
        <v>729</v>
      </c>
      <c r="B12" s="734" t="s">
        <v>198</v>
      </c>
      <c r="C12" s="734" t="s">
        <v>199</v>
      </c>
      <c r="D12" s="734">
        <v>2.8799999999999999E-2</v>
      </c>
      <c r="E12" s="734">
        <v>4688.88</v>
      </c>
      <c r="F12" s="734">
        <v>135.03974400000001</v>
      </c>
      <c r="G12" s="734">
        <v>4053</v>
      </c>
      <c r="H12" s="734">
        <v>116.7264</v>
      </c>
      <c r="I12" s="734">
        <v>15.689119170984455</v>
      </c>
      <c r="J12" s="734">
        <v>4320</v>
      </c>
    </row>
    <row r="13" spans="1:10" hidden="1" x14ac:dyDescent="0.25">
      <c r="A13" s="734" t="s">
        <v>729</v>
      </c>
      <c r="B13" s="734" t="s">
        <v>51</v>
      </c>
      <c r="C13" s="734" t="s">
        <v>396</v>
      </c>
      <c r="D13" s="734">
        <v>0.14000000000000001</v>
      </c>
      <c r="E13" s="734">
        <v>1700.46</v>
      </c>
      <c r="F13" s="734">
        <v>238.06440000000003</v>
      </c>
      <c r="G13" s="734">
        <v>1464</v>
      </c>
      <c r="H13" s="734">
        <v>204.96</v>
      </c>
      <c r="I13" s="734">
        <v>16.151639344262293</v>
      </c>
      <c r="J13" s="734">
        <v>21000.000000000004</v>
      </c>
    </row>
    <row r="14" spans="1:10" hidden="1" x14ac:dyDescent="0.25">
      <c r="A14" s="734" t="s">
        <v>706</v>
      </c>
      <c r="B14" s="734" t="s">
        <v>200</v>
      </c>
      <c r="C14" s="734" t="s">
        <v>201</v>
      </c>
      <c r="D14" s="734">
        <v>9.0999999999999998E-2</v>
      </c>
      <c r="E14" s="734">
        <v>28</v>
      </c>
      <c r="F14" s="734">
        <v>2.548</v>
      </c>
      <c r="G14" s="734">
        <v>57</v>
      </c>
      <c r="H14" s="734">
        <v>5.1870000000000003</v>
      </c>
      <c r="I14" s="734">
        <v>-50.877192982456144</v>
      </c>
      <c r="J14" s="734">
        <v>1038.037</v>
      </c>
    </row>
    <row r="15" spans="1:10" hidden="1" x14ac:dyDescent="0.25">
      <c r="A15" s="734" t="s">
        <v>707</v>
      </c>
      <c r="B15" s="734" t="s">
        <v>200</v>
      </c>
      <c r="C15" s="734" t="s">
        <v>201</v>
      </c>
      <c r="D15" s="734">
        <v>9.0999999999999998E-2</v>
      </c>
      <c r="E15" s="734">
        <v>28</v>
      </c>
      <c r="F15" s="734">
        <v>2.548</v>
      </c>
      <c r="G15" s="734">
        <v>57</v>
      </c>
      <c r="H15" s="734">
        <v>5.1870000000000003</v>
      </c>
      <c r="I15" s="734">
        <v>-50.877192982456144</v>
      </c>
      <c r="J15" s="734">
        <v>732.82299999999998</v>
      </c>
    </row>
    <row r="16" spans="1:10" hidden="1" x14ac:dyDescent="0.25">
      <c r="A16" s="734" t="s">
        <v>730</v>
      </c>
      <c r="B16" s="734" t="s">
        <v>200</v>
      </c>
      <c r="C16" s="734" t="s">
        <v>201</v>
      </c>
      <c r="D16" s="734">
        <v>0.08</v>
      </c>
      <c r="E16" s="734">
        <v>28</v>
      </c>
      <c r="F16" s="734">
        <v>2.2400000000000002</v>
      </c>
      <c r="G16" s="734">
        <v>57</v>
      </c>
      <c r="H16" s="734">
        <v>4.5600000000000005</v>
      </c>
      <c r="I16" s="734">
        <v>-50.877192982456144</v>
      </c>
      <c r="J16" s="734">
        <v>423.92</v>
      </c>
    </row>
    <row r="17" spans="1:10" hidden="1" x14ac:dyDescent="0.25">
      <c r="A17" s="734" t="s">
        <v>716</v>
      </c>
      <c r="B17" s="734" t="s">
        <v>200</v>
      </c>
      <c r="C17" s="734" t="s">
        <v>201</v>
      </c>
      <c r="D17" s="734">
        <v>0.08</v>
      </c>
      <c r="E17" s="734">
        <v>28</v>
      </c>
      <c r="F17" s="734">
        <v>2.2400000000000002</v>
      </c>
      <c r="G17" s="734">
        <v>57</v>
      </c>
      <c r="H17" s="734">
        <v>4.5600000000000005</v>
      </c>
      <c r="I17" s="734">
        <v>-50.877192982456144</v>
      </c>
      <c r="J17" s="734">
        <v>795.68000000000006</v>
      </c>
    </row>
    <row r="18" spans="1:10" x14ac:dyDescent="0.25">
      <c r="A18" s="734" t="s">
        <v>714</v>
      </c>
      <c r="B18" s="734" t="s">
        <v>200</v>
      </c>
      <c r="C18" s="734" t="s">
        <v>201</v>
      </c>
      <c r="D18" s="734">
        <v>0.1</v>
      </c>
      <c r="E18" s="734">
        <v>28.02</v>
      </c>
      <c r="F18" s="734">
        <v>2.802</v>
      </c>
      <c r="G18" s="734">
        <v>55</v>
      </c>
      <c r="H18" s="734">
        <v>5.5</v>
      </c>
      <c r="I18" s="734">
        <v>-49.054545454545448</v>
      </c>
      <c r="J18" s="734">
        <v>4406.9000000000005</v>
      </c>
    </row>
    <row r="19" spans="1:10" hidden="1" x14ac:dyDescent="0.25">
      <c r="A19" s="734" t="s">
        <v>729</v>
      </c>
      <c r="B19" s="734" t="s">
        <v>392</v>
      </c>
      <c r="C19" s="734" t="s">
        <v>393</v>
      </c>
      <c r="D19" s="734">
        <v>0.14000000000000001</v>
      </c>
      <c r="E19" s="734">
        <v>1069</v>
      </c>
      <c r="F19" s="734">
        <v>149.66000000000003</v>
      </c>
      <c r="G19" s="734">
        <v>1004</v>
      </c>
      <c r="H19" s="734">
        <v>140.56</v>
      </c>
      <c r="I19" s="734">
        <v>6.4741035856573603</v>
      </c>
      <c r="J19" s="734">
        <v>21000.000000000004</v>
      </c>
    </row>
    <row r="20" spans="1:10" hidden="1" x14ac:dyDescent="0.25">
      <c r="A20" s="734" t="s">
        <v>712</v>
      </c>
      <c r="B20" s="734" t="s">
        <v>200</v>
      </c>
      <c r="C20" s="734" t="s">
        <v>201</v>
      </c>
      <c r="D20" s="734">
        <v>0.2087</v>
      </c>
      <c r="E20" s="734">
        <v>28.02</v>
      </c>
      <c r="F20" s="734">
        <v>5.8477740000000002</v>
      </c>
      <c r="G20" s="734">
        <v>52</v>
      </c>
      <c r="H20" s="734">
        <v>10.852399999999999</v>
      </c>
      <c r="I20" s="734">
        <v>-46.115384615384613</v>
      </c>
      <c r="J20" s="734">
        <v>1912.1094000000001</v>
      </c>
    </row>
    <row r="21" spans="1:10" hidden="1" x14ac:dyDescent="0.25">
      <c r="A21" s="734" t="s">
        <v>711</v>
      </c>
      <c r="B21" s="734" t="s">
        <v>200</v>
      </c>
      <c r="C21" s="734" t="s">
        <v>201</v>
      </c>
      <c r="D21" s="734">
        <v>0.2087</v>
      </c>
      <c r="E21" s="734">
        <v>28.02</v>
      </c>
      <c r="F21" s="734">
        <v>5.8477740000000002</v>
      </c>
      <c r="G21" s="734">
        <v>57</v>
      </c>
      <c r="H21" s="734">
        <v>11.895899999999999</v>
      </c>
      <c r="I21" s="734">
        <v>-50.842105263157897</v>
      </c>
      <c r="J21" s="734">
        <v>791.59910000000002</v>
      </c>
    </row>
    <row r="22" spans="1:10" hidden="1" x14ac:dyDescent="0.25">
      <c r="A22" s="734" t="s">
        <v>704</v>
      </c>
      <c r="B22" s="734" t="s">
        <v>425</v>
      </c>
      <c r="C22" s="734" t="s">
        <v>426</v>
      </c>
      <c r="D22" s="734">
        <v>1</v>
      </c>
      <c r="E22" s="734">
        <v>250</v>
      </c>
      <c r="F22" s="734">
        <v>250</v>
      </c>
      <c r="G22" s="734">
        <v>114</v>
      </c>
      <c r="H22" s="734">
        <v>114</v>
      </c>
      <c r="I22" s="734">
        <v>119.2982456140351</v>
      </c>
      <c r="J22" s="734">
        <v>209.72899999999998</v>
      </c>
    </row>
    <row r="23" spans="1:10" hidden="1" x14ac:dyDescent="0.25">
      <c r="A23" s="734" t="s">
        <v>705</v>
      </c>
      <c r="B23" s="734" t="s">
        <v>422</v>
      </c>
      <c r="C23" s="734" t="s">
        <v>423</v>
      </c>
      <c r="D23" s="734">
        <v>1</v>
      </c>
      <c r="E23" s="734">
        <v>114</v>
      </c>
      <c r="F23" s="734">
        <v>114</v>
      </c>
      <c r="G23" s="734">
        <v>114</v>
      </c>
      <c r="H23" s="734">
        <v>114</v>
      </c>
      <c r="I23" s="734">
        <v>0</v>
      </c>
      <c r="J23" s="734">
        <v>387.07499999999999</v>
      </c>
    </row>
    <row r="24" spans="1:10" hidden="1" x14ac:dyDescent="0.25">
      <c r="A24" s="734" t="s">
        <v>701</v>
      </c>
      <c r="B24" s="734" t="s">
        <v>316</v>
      </c>
      <c r="C24" s="734" t="s">
        <v>317</v>
      </c>
      <c r="D24" s="734">
        <v>1</v>
      </c>
      <c r="E24" s="734">
        <v>103</v>
      </c>
      <c r="F24" s="734">
        <v>103</v>
      </c>
      <c r="G24" s="734">
        <v>103</v>
      </c>
      <c r="H24" s="734">
        <v>103</v>
      </c>
      <c r="I24" s="734">
        <v>0</v>
      </c>
      <c r="J24" s="734">
        <v>363.84000000000003</v>
      </c>
    </row>
    <row r="25" spans="1:10" hidden="1" x14ac:dyDescent="0.25">
      <c r="A25" s="734" t="s">
        <v>730</v>
      </c>
      <c r="B25" s="734" t="s">
        <v>413</v>
      </c>
      <c r="C25" s="734" t="s">
        <v>409</v>
      </c>
      <c r="D25" s="734">
        <v>1</v>
      </c>
      <c r="E25" s="734">
        <v>114</v>
      </c>
      <c r="F25" s="734">
        <v>114</v>
      </c>
      <c r="G25" s="734">
        <v>114</v>
      </c>
      <c r="H25" s="734">
        <v>114</v>
      </c>
      <c r="I25" s="734">
        <v>0</v>
      </c>
      <c r="J25" s="734">
        <v>847.84</v>
      </c>
    </row>
    <row r="26" spans="1:10" hidden="1" x14ac:dyDescent="0.25">
      <c r="A26" s="225" t="s">
        <v>258</v>
      </c>
      <c r="B26" s="225" t="s">
        <v>265</v>
      </c>
      <c r="C26" s="225" t="s">
        <v>266</v>
      </c>
      <c r="D26" s="225">
        <v>1</v>
      </c>
      <c r="E26" s="225">
        <v>115</v>
      </c>
      <c r="F26" s="225">
        <v>115</v>
      </c>
      <c r="G26" s="225">
        <v>115</v>
      </c>
      <c r="H26" s="225">
        <v>115</v>
      </c>
      <c r="I26" s="634">
        <v>0</v>
      </c>
      <c r="J26" s="225">
        <v>19007</v>
      </c>
    </row>
    <row r="27" spans="1:10" hidden="1" x14ac:dyDescent="0.25">
      <c r="A27" s="734" t="s">
        <v>722</v>
      </c>
      <c r="B27" s="734" t="s">
        <v>402</v>
      </c>
      <c r="C27" s="734" t="s">
        <v>401</v>
      </c>
      <c r="D27" s="734">
        <v>1</v>
      </c>
      <c r="E27" s="734">
        <v>103</v>
      </c>
      <c r="F27" s="734">
        <v>103</v>
      </c>
      <c r="G27" s="734">
        <v>103</v>
      </c>
      <c r="H27" s="734">
        <v>103</v>
      </c>
      <c r="I27" s="734">
        <v>0</v>
      </c>
      <c r="J27" s="734">
        <v>783.52</v>
      </c>
    </row>
    <row r="28" spans="1:10" hidden="1" x14ac:dyDescent="0.25">
      <c r="A28" s="222" t="s">
        <v>732</v>
      </c>
      <c r="B28" s="618" t="s">
        <v>325</v>
      </c>
      <c r="C28" s="619" t="s">
        <v>326</v>
      </c>
      <c r="D28" s="225">
        <v>1</v>
      </c>
      <c r="E28" s="225">
        <v>65</v>
      </c>
      <c r="F28" s="225">
        <f>E28*D28</f>
        <v>65</v>
      </c>
      <c r="G28" s="225">
        <v>65</v>
      </c>
      <c r="H28" s="225">
        <f>G28*D28</f>
        <v>65</v>
      </c>
      <c r="I28" s="634">
        <f>((E28/G28)*100)-100</f>
        <v>0</v>
      </c>
      <c r="J28" s="225">
        <v>13821</v>
      </c>
    </row>
    <row r="29" spans="1:10" hidden="1" x14ac:dyDescent="0.25">
      <c r="A29" s="734" t="s">
        <v>699</v>
      </c>
      <c r="B29" s="734" t="s">
        <v>311</v>
      </c>
      <c r="C29" s="734" t="s">
        <v>312</v>
      </c>
      <c r="D29" s="734">
        <v>1</v>
      </c>
      <c r="E29" s="734">
        <v>114</v>
      </c>
      <c r="F29" s="734">
        <v>114</v>
      </c>
      <c r="G29" s="734">
        <v>114</v>
      </c>
      <c r="H29" s="734">
        <v>114</v>
      </c>
      <c r="I29" s="734">
        <v>0</v>
      </c>
      <c r="J29" s="734">
        <v>1282</v>
      </c>
    </row>
    <row r="30" spans="1:10" hidden="1" x14ac:dyDescent="0.25">
      <c r="A30" s="225" t="s">
        <v>721</v>
      </c>
      <c r="B30" s="225" t="s">
        <v>236</v>
      </c>
      <c r="C30" s="225" t="s">
        <v>237</v>
      </c>
      <c r="D30" s="225">
        <v>1</v>
      </c>
      <c r="E30" s="225">
        <v>114</v>
      </c>
      <c r="F30" s="225">
        <v>114</v>
      </c>
      <c r="G30" s="225">
        <v>114</v>
      </c>
      <c r="H30" s="225">
        <v>114</v>
      </c>
      <c r="I30" s="634">
        <v>0</v>
      </c>
      <c r="J30" s="225">
        <v>557.25</v>
      </c>
    </row>
    <row r="31" spans="1:10" x14ac:dyDescent="0.25">
      <c r="A31" s="734" t="s">
        <v>727</v>
      </c>
      <c r="B31" s="734" t="s">
        <v>200</v>
      </c>
      <c r="C31" s="734" t="s">
        <v>201</v>
      </c>
      <c r="D31" s="734">
        <v>0.1</v>
      </c>
      <c r="E31" s="734">
        <v>28.02</v>
      </c>
      <c r="F31" s="734">
        <v>2.802</v>
      </c>
      <c r="G31" s="734">
        <v>55</v>
      </c>
      <c r="H31" s="734">
        <v>5.2</v>
      </c>
      <c r="I31" s="734">
        <v>-49.054545454545448</v>
      </c>
      <c r="J31" s="734">
        <v>35000</v>
      </c>
    </row>
    <row r="32" spans="1:10" hidden="1" x14ac:dyDescent="0.25">
      <c r="A32" s="734" t="s">
        <v>706</v>
      </c>
      <c r="B32" s="734" t="s">
        <v>198</v>
      </c>
      <c r="C32" s="734" t="s">
        <v>199</v>
      </c>
      <c r="D32" s="734">
        <v>5.7500000000000002E-2</v>
      </c>
      <c r="E32" s="734">
        <v>6115</v>
      </c>
      <c r="F32" s="734">
        <v>351.61250000000001</v>
      </c>
      <c r="G32" s="734">
        <v>4053</v>
      </c>
      <c r="H32" s="734">
        <v>233.04750000000001</v>
      </c>
      <c r="I32" s="734">
        <v>50.875894399210466</v>
      </c>
      <c r="J32" s="734">
        <v>655.90250000000003</v>
      </c>
    </row>
    <row r="33" spans="1:11" hidden="1" x14ac:dyDescent="0.25">
      <c r="A33" s="734" t="s">
        <v>707</v>
      </c>
      <c r="B33" s="734" t="s">
        <v>198</v>
      </c>
      <c r="C33" s="734" t="s">
        <v>199</v>
      </c>
      <c r="D33" s="734">
        <v>5.7500000000000002E-2</v>
      </c>
      <c r="E33" s="734">
        <v>4688.88</v>
      </c>
      <c r="F33" s="734">
        <v>269.61060000000003</v>
      </c>
      <c r="G33" s="734">
        <v>4053</v>
      </c>
      <c r="H33" s="734">
        <v>233.04750000000001</v>
      </c>
      <c r="I33" s="734">
        <v>15.689119170984455</v>
      </c>
      <c r="J33" s="734">
        <v>463.04750000000001</v>
      </c>
    </row>
    <row r="34" spans="1:11" hidden="1" x14ac:dyDescent="0.25">
      <c r="A34" s="734" t="s">
        <v>730</v>
      </c>
      <c r="B34" s="734" t="s">
        <v>198</v>
      </c>
      <c r="C34" s="734" t="s">
        <v>199</v>
      </c>
      <c r="D34" s="734">
        <v>5.7500000000000002E-2</v>
      </c>
      <c r="E34" s="734">
        <v>4688.88</v>
      </c>
      <c r="F34" s="734">
        <v>269.61060000000003</v>
      </c>
      <c r="G34" s="734">
        <v>4053</v>
      </c>
      <c r="H34" s="734">
        <v>233.04750000000001</v>
      </c>
      <c r="I34" s="734">
        <v>15.689119170984455</v>
      </c>
      <c r="J34" s="734">
        <v>304.6925</v>
      </c>
    </row>
    <row r="35" spans="1:11" hidden="1" x14ac:dyDescent="0.25">
      <c r="A35" s="734" t="s">
        <v>716</v>
      </c>
      <c r="B35" s="734" t="s">
        <v>198</v>
      </c>
      <c r="C35" s="734" t="s">
        <v>199</v>
      </c>
      <c r="D35" s="734">
        <v>5.7500000000000002E-2</v>
      </c>
      <c r="E35" s="734">
        <v>4688.88</v>
      </c>
      <c r="F35" s="734">
        <v>269.61060000000003</v>
      </c>
      <c r="G35" s="734">
        <v>4053</v>
      </c>
      <c r="H35" s="734">
        <v>233.04750000000001</v>
      </c>
      <c r="I35" s="734">
        <v>15.689119170984455</v>
      </c>
      <c r="J35" s="734">
        <v>571.89499999999998</v>
      </c>
    </row>
    <row r="36" spans="1:11" x14ac:dyDescent="0.25">
      <c r="A36" s="734" t="s">
        <v>727</v>
      </c>
      <c r="B36" s="734" t="s">
        <v>520</v>
      </c>
      <c r="C36" s="734" t="s">
        <v>559</v>
      </c>
      <c r="D36" s="734">
        <v>3.5999999999999997E-2</v>
      </c>
      <c r="E36" s="734">
        <v>4271.1400000000003</v>
      </c>
      <c r="F36" s="734">
        <v>153.76104000000001</v>
      </c>
      <c r="G36" s="734">
        <v>3800</v>
      </c>
      <c r="H36" s="734">
        <v>160.63199999999998</v>
      </c>
      <c r="I36" s="734">
        <v>12.398421052631576</v>
      </c>
      <c r="J36" s="734">
        <v>12599.999999999998</v>
      </c>
    </row>
    <row r="37" spans="1:11" x14ac:dyDescent="0.25">
      <c r="A37" s="734" t="s">
        <v>714</v>
      </c>
      <c r="B37" s="734" t="s">
        <v>83</v>
      </c>
      <c r="C37" s="734" t="s">
        <v>84</v>
      </c>
      <c r="D37" s="734">
        <v>3.5999999999999997E-2</v>
      </c>
      <c r="E37" s="734">
        <v>4271.1400000000003</v>
      </c>
      <c r="F37" s="734">
        <v>153.76104000000001</v>
      </c>
      <c r="G37" s="734">
        <v>3800</v>
      </c>
      <c r="H37" s="734">
        <v>136.79999999999998</v>
      </c>
      <c r="I37" s="734">
        <v>12.398421052631576</v>
      </c>
      <c r="J37" s="734">
        <v>1586.4839999999999</v>
      </c>
    </row>
    <row r="38" spans="1:11" hidden="1" x14ac:dyDescent="0.25">
      <c r="A38" s="225" t="s">
        <v>429</v>
      </c>
      <c r="B38" s="225" t="s">
        <v>435</v>
      </c>
      <c r="C38" s="225" t="s">
        <v>436</v>
      </c>
      <c r="D38" s="225">
        <v>0.03</v>
      </c>
      <c r="E38" s="225">
        <v>2381</v>
      </c>
      <c r="F38" s="225">
        <f>E38*D38</f>
        <v>71.429999999999993</v>
      </c>
      <c r="G38" s="225">
        <v>2510</v>
      </c>
      <c r="H38" s="225">
        <f>G38*D38</f>
        <v>75.3</v>
      </c>
      <c r="I38" s="650">
        <f>((E38/G38)*100)-100</f>
        <v>-5.1394422310756909</v>
      </c>
      <c r="J38" s="225">
        <v>1902.7</v>
      </c>
    </row>
    <row r="39" spans="1:11" hidden="1" x14ac:dyDescent="0.25">
      <c r="A39" s="222" t="s">
        <v>732</v>
      </c>
      <c r="B39" s="618" t="s">
        <v>733</v>
      </c>
      <c r="C39" s="619" t="s">
        <v>731</v>
      </c>
      <c r="D39" s="221">
        <v>0.57499999999999996</v>
      </c>
      <c r="E39" s="123">
        <v>208.17</v>
      </c>
      <c r="F39" s="225">
        <f>E39*D39</f>
        <v>119.69774999999998</v>
      </c>
      <c r="G39" s="225">
        <v>222</v>
      </c>
      <c r="H39" s="225">
        <f>G39*D39</f>
        <v>127.64999999999999</v>
      </c>
      <c r="I39" s="649">
        <f>((E39/G39)*100)-100</f>
        <v>-6.2297297297297405</v>
      </c>
      <c r="J39" s="225">
        <v>7947.0749999999998</v>
      </c>
    </row>
    <row r="40" spans="1:11" hidden="1" x14ac:dyDescent="0.25">
      <c r="A40" s="734" t="s">
        <v>715</v>
      </c>
      <c r="B40" s="734" t="s">
        <v>125</v>
      </c>
      <c r="C40" s="734" t="s">
        <v>175</v>
      </c>
      <c r="D40" s="734">
        <v>0.99</v>
      </c>
      <c r="E40" s="734">
        <v>208.17</v>
      </c>
      <c r="F40" s="734">
        <v>206.08829999999998</v>
      </c>
      <c r="G40" s="734">
        <v>222</v>
      </c>
      <c r="H40" s="734">
        <v>219.78</v>
      </c>
      <c r="I40" s="734">
        <v>-6.2297297297297405</v>
      </c>
      <c r="J40" s="734">
        <v>40477.14</v>
      </c>
      <c r="K40" s="731">
        <f>J40/4</f>
        <v>10119.285</v>
      </c>
    </row>
    <row r="41" spans="1:11" hidden="1" x14ac:dyDescent="0.25">
      <c r="A41" s="734" t="s">
        <v>722</v>
      </c>
      <c r="B41" s="734" t="s">
        <v>125</v>
      </c>
      <c r="C41" s="734" t="s">
        <v>175</v>
      </c>
      <c r="D41" s="734">
        <v>2.0339999999999998</v>
      </c>
      <c r="E41" s="734">
        <v>208.17</v>
      </c>
      <c r="F41" s="734">
        <v>423.41777999999994</v>
      </c>
      <c r="G41" s="734">
        <v>222</v>
      </c>
      <c r="H41" s="734">
        <v>451.54799999999994</v>
      </c>
      <c r="I41" s="734">
        <v>-6.2297297297297405</v>
      </c>
      <c r="J41" s="734">
        <v>9960.4979999999996</v>
      </c>
    </row>
    <row r="42" spans="1:11" hidden="1" x14ac:dyDescent="0.25">
      <c r="A42" s="734" t="s">
        <v>698</v>
      </c>
      <c r="B42" s="734" t="s">
        <v>125</v>
      </c>
      <c r="C42" s="734" t="s">
        <v>175</v>
      </c>
      <c r="D42" s="734">
        <v>4.4000000000000004</v>
      </c>
      <c r="E42" s="734">
        <v>208.17</v>
      </c>
      <c r="F42" s="734">
        <v>915.94799999999998</v>
      </c>
      <c r="G42" s="734">
        <v>222</v>
      </c>
      <c r="H42" s="734">
        <v>976.80000000000007</v>
      </c>
      <c r="I42" s="734">
        <v>-6.2297297297297405</v>
      </c>
      <c r="J42" s="734">
        <v>46710.400000000001</v>
      </c>
    </row>
    <row r="43" spans="1:11" x14ac:dyDescent="0.25">
      <c r="A43" s="734" t="s">
        <v>727</v>
      </c>
      <c r="B43" s="734" t="s">
        <v>51</v>
      </c>
      <c r="C43" s="818" t="s">
        <v>52</v>
      </c>
      <c r="D43" s="734">
        <v>7.2999999999999995E-2</v>
      </c>
      <c r="E43" s="734">
        <v>1700.46</v>
      </c>
      <c r="F43" s="734">
        <v>124.13357999999999</v>
      </c>
      <c r="G43" s="734">
        <v>1464</v>
      </c>
      <c r="H43" s="734">
        <v>97.23599999999999</v>
      </c>
      <c r="I43" s="734">
        <v>16.151639344262293</v>
      </c>
      <c r="J43" s="734">
        <v>25550</v>
      </c>
    </row>
    <row r="44" spans="1:11" hidden="1" x14ac:dyDescent="0.25">
      <c r="A44" s="225" t="s">
        <v>721</v>
      </c>
      <c r="B44" s="225" t="s">
        <v>234</v>
      </c>
      <c r="C44" s="225" t="s">
        <v>235</v>
      </c>
      <c r="D44" s="225">
        <v>1.76</v>
      </c>
      <c r="E44" s="123">
        <v>252.42</v>
      </c>
      <c r="F44" s="225">
        <v>444.25919999999996</v>
      </c>
      <c r="G44" s="225">
        <v>243</v>
      </c>
      <c r="H44" s="225">
        <v>427.68</v>
      </c>
      <c r="I44" s="648">
        <v>3.8765432098765302</v>
      </c>
      <c r="J44" s="225">
        <v>13076.8</v>
      </c>
    </row>
    <row r="45" spans="1:11" hidden="1" x14ac:dyDescent="0.25">
      <c r="A45" s="734" t="s">
        <v>699</v>
      </c>
      <c r="B45" s="734" t="s">
        <v>234</v>
      </c>
      <c r="C45" s="734" t="s">
        <v>235</v>
      </c>
      <c r="D45" s="734">
        <v>1.44</v>
      </c>
      <c r="E45" s="734">
        <v>252.42</v>
      </c>
      <c r="F45" s="734">
        <v>363.48479999999995</v>
      </c>
      <c r="G45" s="734">
        <v>243</v>
      </c>
      <c r="H45" s="734">
        <v>349.91999999999996</v>
      </c>
      <c r="I45" s="734">
        <v>3.8765432098765302</v>
      </c>
      <c r="J45" s="734">
        <v>1846.08</v>
      </c>
    </row>
    <row r="46" spans="1:11" hidden="1" x14ac:dyDescent="0.25">
      <c r="A46" s="734" t="s">
        <v>700</v>
      </c>
      <c r="B46" s="734" t="s">
        <v>168</v>
      </c>
      <c r="C46" s="734" t="s">
        <v>169</v>
      </c>
      <c r="D46" s="734">
        <v>9</v>
      </c>
      <c r="E46" s="734">
        <v>204</v>
      </c>
      <c r="F46" s="734">
        <v>1836</v>
      </c>
      <c r="G46" s="734">
        <v>192</v>
      </c>
      <c r="H46" s="734">
        <v>1728</v>
      </c>
      <c r="I46" s="734">
        <v>6.25</v>
      </c>
      <c r="J46" s="734">
        <v>107199</v>
      </c>
    </row>
    <row r="47" spans="1:11" hidden="1" x14ac:dyDescent="0.25">
      <c r="A47" s="734" t="s">
        <v>703</v>
      </c>
      <c r="B47" s="734" t="s">
        <v>187</v>
      </c>
      <c r="C47" s="734" t="s">
        <v>188</v>
      </c>
      <c r="D47" s="734">
        <v>1.87</v>
      </c>
      <c r="E47" s="734">
        <v>624.61</v>
      </c>
      <c r="F47" s="734">
        <v>1168.0207</v>
      </c>
      <c r="G47" s="734">
        <v>598</v>
      </c>
      <c r="H47" s="734">
        <v>1118.26</v>
      </c>
      <c r="I47" s="734">
        <v>4.4498327759197309</v>
      </c>
      <c r="J47" s="734">
        <v>13856.7</v>
      </c>
    </row>
    <row r="48" spans="1:11" hidden="1" x14ac:dyDescent="0.25">
      <c r="A48" s="734" t="s">
        <v>701</v>
      </c>
      <c r="B48" s="734" t="s">
        <v>187</v>
      </c>
      <c r="C48" s="734" t="s">
        <v>188</v>
      </c>
      <c r="D48" s="734">
        <v>0.18179999999999999</v>
      </c>
      <c r="E48" s="734">
        <v>624.61</v>
      </c>
      <c r="F48" s="734">
        <v>113.554098</v>
      </c>
      <c r="G48" s="734">
        <v>598</v>
      </c>
      <c r="H48" s="734">
        <v>108.71639999999999</v>
      </c>
      <c r="I48" s="734">
        <v>4.4498327759197309</v>
      </c>
      <c r="J48" s="734">
        <v>1653.6527999999998</v>
      </c>
    </row>
    <row r="49" spans="1:10" hidden="1" x14ac:dyDescent="0.25">
      <c r="A49" s="734" t="s">
        <v>702</v>
      </c>
      <c r="B49" s="734" t="s">
        <v>187</v>
      </c>
      <c r="C49" s="734" t="s">
        <v>188</v>
      </c>
      <c r="D49" s="734">
        <v>0.88</v>
      </c>
      <c r="E49" s="734">
        <v>624.61</v>
      </c>
      <c r="F49" s="734">
        <v>549.65679999999998</v>
      </c>
      <c r="G49" s="734">
        <v>598</v>
      </c>
      <c r="H49" s="734">
        <v>526.24</v>
      </c>
      <c r="I49" s="734">
        <v>-4.2602584012423819</v>
      </c>
      <c r="J49" s="734">
        <v>6675.68</v>
      </c>
    </row>
    <row r="50" spans="1:10" hidden="1" x14ac:dyDescent="0.25">
      <c r="A50" s="734" t="s">
        <v>704</v>
      </c>
      <c r="B50" s="734" t="s">
        <v>420</v>
      </c>
      <c r="C50" s="734" t="s">
        <v>421</v>
      </c>
      <c r="D50" s="734">
        <v>0.45450000000000002</v>
      </c>
      <c r="E50" s="734">
        <v>613.08000000000004</v>
      </c>
      <c r="F50" s="734">
        <v>278.64486000000005</v>
      </c>
      <c r="G50" s="734">
        <v>574</v>
      </c>
      <c r="H50" s="734">
        <v>260.88299999999998</v>
      </c>
      <c r="I50" s="734">
        <v>6.8083623693379991</v>
      </c>
      <c r="J50" s="734">
        <v>1305.7785000000001</v>
      </c>
    </row>
    <row r="51" spans="1:10" hidden="1" x14ac:dyDescent="0.25">
      <c r="A51" s="734" t="s">
        <v>705</v>
      </c>
      <c r="B51" s="734" t="s">
        <v>420</v>
      </c>
      <c r="C51" s="734" t="s">
        <v>421</v>
      </c>
      <c r="D51" s="734">
        <v>0.90900000000000003</v>
      </c>
      <c r="E51" s="734">
        <v>613.08000000000004</v>
      </c>
      <c r="F51" s="734">
        <v>557.2897200000001</v>
      </c>
      <c r="G51" s="734">
        <v>574</v>
      </c>
      <c r="H51" s="734">
        <v>521.76599999999996</v>
      </c>
      <c r="I51" s="734">
        <v>6.8083623693380133</v>
      </c>
      <c r="J51" s="734">
        <v>4691.3490000000002</v>
      </c>
    </row>
    <row r="52" spans="1:10" hidden="1" x14ac:dyDescent="0.25">
      <c r="A52" s="734" t="s">
        <v>272</v>
      </c>
      <c r="B52" s="734" t="s">
        <v>274</v>
      </c>
      <c r="C52" s="734" t="s">
        <v>275</v>
      </c>
      <c r="D52" s="734">
        <v>2</v>
      </c>
      <c r="E52" s="734">
        <v>28</v>
      </c>
      <c r="F52" s="734">
        <v>56</v>
      </c>
      <c r="G52" s="734">
        <v>27</v>
      </c>
      <c r="H52" s="734">
        <v>54</v>
      </c>
      <c r="I52" s="734">
        <v>3.7037037037036953</v>
      </c>
      <c r="J52" s="734">
        <v>55372</v>
      </c>
    </row>
    <row r="53" spans="1:10" hidden="1" x14ac:dyDescent="0.25">
      <c r="A53" s="734" t="s">
        <v>329</v>
      </c>
      <c r="B53" s="734" t="s">
        <v>274</v>
      </c>
      <c r="C53" s="734" t="s">
        <v>275</v>
      </c>
      <c r="D53" s="734">
        <v>2</v>
      </c>
      <c r="E53" s="734">
        <v>28</v>
      </c>
      <c r="F53" s="734">
        <v>56</v>
      </c>
      <c r="G53" s="734">
        <v>27</v>
      </c>
      <c r="H53" s="734">
        <v>44</v>
      </c>
      <c r="I53" s="734">
        <v>3.7037037037036953</v>
      </c>
      <c r="J53" s="734">
        <v>7124</v>
      </c>
    </row>
    <row r="54" spans="1:10" hidden="1" x14ac:dyDescent="0.25">
      <c r="A54" s="734" t="s">
        <v>719</v>
      </c>
      <c r="B54" s="734" t="s">
        <v>70</v>
      </c>
      <c r="C54" s="734" t="s">
        <v>71</v>
      </c>
      <c r="D54" s="734">
        <v>2</v>
      </c>
      <c r="E54" s="734">
        <v>28</v>
      </c>
      <c r="F54" s="734">
        <v>56</v>
      </c>
      <c r="G54" s="734">
        <v>27</v>
      </c>
      <c r="H54" s="734">
        <v>54</v>
      </c>
      <c r="I54" s="734">
        <v>3.7037037037036953</v>
      </c>
      <c r="J54" s="734">
        <v>89012</v>
      </c>
    </row>
    <row r="55" spans="1:10" hidden="1" x14ac:dyDescent="0.25">
      <c r="A55" s="734" t="s">
        <v>696</v>
      </c>
      <c r="B55" s="734" t="s">
        <v>70</v>
      </c>
      <c r="C55" s="734" t="s">
        <v>71</v>
      </c>
      <c r="D55" s="734">
        <v>2</v>
      </c>
      <c r="E55" s="734">
        <v>28</v>
      </c>
      <c r="F55" s="734">
        <v>56</v>
      </c>
      <c r="G55" s="734">
        <v>27</v>
      </c>
      <c r="H55" s="734">
        <v>44</v>
      </c>
      <c r="I55" s="734">
        <v>27.272727272727266</v>
      </c>
      <c r="J55" s="123">
        <v>71102</v>
      </c>
    </row>
    <row r="56" spans="1:10" hidden="1" x14ac:dyDescent="0.25">
      <c r="A56" s="734" t="s">
        <v>697</v>
      </c>
      <c r="B56" s="734" t="s">
        <v>70</v>
      </c>
      <c r="C56" s="734" t="s">
        <v>71</v>
      </c>
      <c r="D56" s="734">
        <v>2</v>
      </c>
      <c r="E56" s="734">
        <v>28</v>
      </c>
      <c r="F56" s="734">
        <v>56</v>
      </c>
      <c r="G56" s="734">
        <v>27</v>
      </c>
      <c r="H56" s="734">
        <v>54</v>
      </c>
      <c r="I56" s="734">
        <v>3.7037037037036953</v>
      </c>
      <c r="J56" s="734">
        <v>89012</v>
      </c>
    </row>
    <row r="57" spans="1:10" hidden="1" x14ac:dyDescent="0.25">
      <c r="A57" s="225" t="s">
        <v>429</v>
      </c>
      <c r="B57" s="225" t="s">
        <v>70</v>
      </c>
      <c r="C57" s="225" t="s">
        <v>71</v>
      </c>
      <c r="D57" s="225">
        <v>0.1</v>
      </c>
      <c r="E57" s="225">
        <v>28</v>
      </c>
      <c r="F57" s="225">
        <f>E57*D57</f>
        <v>2.8000000000000003</v>
      </c>
      <c r="G57" s="225">
        <v>22</v>
      </c>
      <c r="H57" s="225">
        <f>G57*D57</f>
        <v>2.2000000000000002</v>
      </c>
      <c r="I57" s="444">
        <f>((E57/G57)*100)-100</f>
        <v>27.272727272727266</v>
      </c>
      <c r="J57" s="225">
        <v>570.80999999999995</v>
      </c>
    </row>
    <row r="58" spans="1:10" x14ac:dyDescent="0.25">
      <c r="A58" s="734" t="s">
        <v>727</v>
      </c>
      <c r="B58" s="734" t="s">
        <v>356</v>
      </c>
      <c r="C58" s="734" t="s">
        <v>355</v>
      </c>
      <c r="D58" s="734">
        <v>7.2999999999999995E-2</v>
      </c>
      <c r="E58" s="734">
        <v>1069</v>
      </c>
      <c r="F58" s="734">
        <v>78.036999999999992</v>
      </c>
      <c r="G58" s="734">
        <v>908</v>
      </c>
      <c r="H58" s="734">
        <v>64.093999999999994</v>
      </c>
      <c r="I58" s="734">
        <v>17.731277533039645</v>
      </c>
      <c r="J58" s="734">
        <v>25550</v>
      </c>
    </row>
    <row r="59" spans="1:10" s="146" customFormat="1" hidden="1" x14ac:dyDescent="0.25">
      <c r="A59" s="123" t="s">
        <v>271</v>
      </c>
      <c r="B59" s="734" t="s">
        <v>70</v>
      </c>
      <c r="C59" s="734" t="s">
        <v>71</v>
      </c>
      <c r="D59" s="734">
        <v>2</v>
      </c>
      <c r="E59" s="734"/>
      <c r="F59" s="734"/>
      <c r="G59" s="734"/>
      <c r="H59" s="734"/>
      <c r="I59" s="734"/>
      <c r="J59" s="734">
        <v>55372</v>
      </c>
    </row>
    <row r="60" spans="1:10" s="146" customFormat="1" hidden="1" x14ac:dyDescent="0.25">
      <c r="A60" s="123" t="s">
        <v>723</v>
      </c>
      <c r="B60" s="123" t="s">
        <v>70</v>
      </c>
      <c r="C60" s="123" t="s">
        <v>71</v>
      </c>
      <c r="D60" s="123">
        <v>2</v>
      </c>
      <c r="E60" s="123">
        <v>28</v>
      </c>
      <c r="F60" s="123">
        <v>56</v>
      </c>
      <c r="G60" s="123">
        <v>27</v>
      </c>
      <c r="H60" s="123">
        <v>54</v>
      </c>
      <c r="I60" s="735">
        <v>3.7037037037036953</v>
      </c>
      <c r="J60" s="123">
        <v>700000</v>
      </c>
    </row>
    <row r="61" spans="1:10" hidden="1" x14ac:dyDescent="0.25">
      <c r="A61" s="734" t="s">
        <v>724</v>
      </c>
      <c r="B61" s="734" t="s">
        <v>70</v>
      </c>
      <c r="C61" s="734" t="s">
        <v>71</v>
      </c>
      <c r="D61" s="734">
        <v>2</v>
      </c>
      <c r="E61" s="734">
        <v>28</v>
      </c>
      <c r="F61" s="734">
        <v>56</v>
      </c>
      <c r="G61" s="734">
        <v>27</v>
      </c>
      <c r="H61" s="734">
        <v>44</v>
      </c>
      <c r="I61" s="734">
        <v>3.7037037037036953</v>
      </c>
      <c r="J61" s="734">
        <v>360000</v>
      </c>
    </row>
    <row r="62" spans="1:10" hidden="1" x14ac:dyDescent="0.25">
      <c r="A62" s="734" t="s">
        <v>728</v>
      </c>
      <c r="B62" s="734" t="s">
        <v>370</v>
      </c>
      <c r="C62" s="734" t="s">
        <v>369</v>
      </c>
      <c r="D62" s="734">
        <v>0.88</v>
      </c>
      <c r="E62" s="734">
        <v>216.66</v>
      </c>
      <c r="F62" s="734">
        <v>190.66079999999999</v>
      </c>
      <c r="G62" s="734">
        <v>225</v>
      </c>
      <c r="H62" s="734">
        <v>198</v>
      </c>
      <c r="I62" s="734">
        <v>-3.7066666666666634</v>
      </c>
      <c r="J62" s="734">
        <v>308000</v>
      </c>
    </row>
    <row r="63" spans="1:10" hidden="1" x14ac:dyDescent="0.25">
      <c r="A63" s="225" t="s">
        <v>429</v>
      </c>
      <c r="B63" s="225" t="s">
        <v>437</v>
      </c>
      <c r="C63" s="225" t="s">
        <v>438</v>
      </c>
      <c r="D63" s="225">
        <v>0.09</v>
      </c>
      <c r="E63" s="225">
        <v>954</v>
      </c>
      <c r="F63" s="225">
        <f>E63*D63</f>
        <v>85.86</v>
      </c>
      <c r="G63" s="225">
        <v>954</v>
      </c>
      <c r="H63" s="225">
        <f>G63*D63</f>
        <v>85.86</v>
      </c>
      <c r="I63" s="225">
        <f>((E63/G63)*100)-100</f>
        <v>0</v>
      </c>
      <c r="J63" s="225">
        <v>1712.4299999999998</v>
      </c>
    </row>
    <row r="64" spans="1:10" hidden="1" x14ac:dyDescent="0.25">
      <c r="A64" s="734" t="s">
        <v>707</v>
      </c>
      <c r="B64" s="734" t="s">
        <v>205</v>
      </c>
      <c r="C64" s="734" t="s">
        <v>204</v>
      </c>
      <c r="D64" s="734">
        <v>0.14000000000000001</v>
      </c>
      <c r="E64" s="734">
        <v>2478</v>
      </c>
      <c r="F64" s="734">
        <v>346.92</v>
      </c>
      <c r="G64" s="734">
        <v>2388</v>
      </c>
      <c r="H64" s="734">
        <v>334.32000000000005</v>
      </c>
      <c r="I64" s="734">
        <v>3.7688442211055246</v>
      </c>
      <c r="J64" s="734">
        <v>1127.42</v>
      </c>
    </row>
    <row r="65" spans="1:10" hidden="1" x14ac:dyDescent="0.25">
      <c r="A65" s="818" t="s">
        <v>705</v>
      </c>
      <c r="B65" s="734" t="s">
        <v>172</v>
      </c>
      <c r="C65" s="818" t="s">
        <v>91</v>
      </c>
      <c r="D65" s="734">
        <v>7.4999999999999997E-2</v>
      </c>
      <c r="E65" s="734">
        <v>2219</v>
      </c>
      <c r="F65" s="734">
        <v>166.42499999999998</v>
      </c>
      <c r="G65" s="734">
        <v>2173</v>
      </c>
      <c r="H65" s="734">
        <v>162.97499999999999</v>
      </c>
      <c r="I65" s="734">
        <v>2.1168890934192319</v>
      </c>
      <c r="J65" s="734">
        <v>5161</v>
      </c>
    </row>
    <row r="66" spans="1:10" hidden="1" x14ac:dyDescent="0.25">
      <c r="A66" s="818" t="s">
        <v>703</v>
      </c>
      <c r="B66" s="734" t="s">
        <v>172</v>
      </c>
      <c r="C66" s="818" t="s">
        <v>91</v>
      </c>
      <c r="D66" s="734">
        <v>0.14499999999999999</v>
      </c>
      <c r="E66" s="734">
        <v>2219</v>
      </c>
      <c r="F66" s="734">
        <v>321.755</v>
      </c>
      <c r="G66" s="734">
        <v>2158</v>
      </c>
      <c r="H66" s="734">
        <v>312.90999999999997</v>
      </c>
      <c r="I66" s="734">
        <v>2.8266913809082581</v>
      </c>
      <c r="J66" s="734">
        <v>1074.4499999999998</v>
      </c>
    </row>
    <row r="67" spans="1:10" hidden="1" x14ac:dyDescent="0.25">
      <c r="A67" s="818" t="s">
        <v>702</v>
      </c>
      <c r="B67" s="734" t="s">
        <v>172</v>
      </c>
      <c r="C67" s="818" t="s">
        <v>91</v>
      </c>
      <c r="D67" s="734">
        <v>7.2999999999999995E-2</v>
      </c>
      <c r="E67" s="734">
        <v>2219</v>
      </c>
      <c r="F67" s="734">
        <v>161.98699999999999</v>
      </c>
      <c r="G67" s="734">
        <v>2219</v>
      </c>
      <c r="H67" s="734">
        <v>161.98699999999999</v>
      </c>
      <c r="I67" s="734">
        <v>0</v>
      </c>
      <c r="J67" s="734">
        <v>553.77800000000002</v>
      </c>
    </row>
    <row r="68" spans="1:10" hidden="1" x14ac:dyDescent="0.25">
      <c r="A68" s="818" t="s">
        <v>730</v>
      </c>
      <c r="B68" s="734" t="s">
        <v>172</v>
      </c>
      <c r="C68" s="818" t="s">
        <v>91</v>
      </c>
      <c r="D68" s="734">
        <v>0.16</v>
      </c>
      <c r="E68" s="734">
        <v>2283</v>
      </c>
      <c r="F68" s="734">
        <v>365.28000000000003</v>
      </c>
      <c r="G68" s="734">
        <v>2219</v>
      </c>
      <c r="H68" s="734">
        <v>355.04</v>
      </c>
      <c r="I68" s="734">
        <v>2.884182063992796</v>
      </c>
      <c r="J68" s="734">
        <v>847.84</v>
      </c>
    </row>
    <row r="69" spans="1:10" hidden="1" x14ac:dyDescent="0.25">
      <c r="A69" s="818" t="s">
        <v>716</v>
      </c>
      <c r="B69" s="734" t="s">
        <v>172</v>
      </c>
      <c r="C69" s="818" t="s">
        <v>91</v>
      </c>
      <c r="D69" s="734">
        <v>0.16</v>
      </c>
      <c r="E69" s="734">
        <v>2283</v>
      </c>
      <c r="F69" s="734">
        <v>365.28000000000003</v>
      </c>
      <c r="G69" s="734">
        <v>2219</v>
      </c>
      <c r="H69" s="734">
        <v>355.04</v>
      </c>
      <c r="I69" s="734">
        <v>2.884182063992796</v>
      </c>
      <c r="J69" s="734">
        <v>1591.3600000000001</v>
      </c>
    </row>
    <row r="70" spans="1:10" hidden="1" x14ac:dyDescent="0.25">
      <c r="A70" s="818" t="s">
        <v>722</v>
      </c>
      <c r="B70" s="734" t="s">
        <v>172</v>
      </c>
      <c r="C70" s="818" t="s">
        <v>91</v>
      </c>
      <c r="D70" s="734">
        <v>0.16</v>
      </c>
      <c r="E70" s="734">
        <v>2283</v>
      </c>
      <c r="F70" s="734">
        <v>365.28000000000003</v>
      </c>
      <c r="G70" s="734">
        <v>2219</v>
      </c>
      <c r="H70" s="734">
        <v>355.04</v>
      </c>
      <c r="I70" s="734">
        <v>2.884182063992796</v>
      </c>
      <c r="J70" s="734">
        <v>783.52</v>
      </c>
    </row>
    <row r="71" spans="1:10" hidden="1" x14ac:dyDescent="0.25">
      <c r="A71" s="818" t="s">
        <v>698</v>
      </c>
      <c r="B71" s="734" t="s">
        <v>172</v>
      </c>
      <c r="C71" s="818" t="s">
        <v>91</v>
      </c>
      <c r="D71" s="734">
        <v>0.14599999999999999</v>
      </c>
      <c r="E71" s="734">
        <v>2283</v>
      </c>
      <c r="F71" s="734">
        <v>333.31799999999998</v>
      </c>
      <c r="G71" s="734">
        <v>2219</v>
      </c>
      <c r="H71" s="734">
        <v>323.97399999999999</v>
      </c>
      <c r="I71" s="734">
        <v>2.884182063992796</v>
      </c>
      <c r="J71" s="734">
        <v>1549.9359999999999</v>
      </c>
    </row>
    <row r="72" spans="1:10" hidden="1" x14ac:dyDescent="0.25">
      <c r="A72" s="818" t="s">
        <v>699</v>
      </c>
      <c r="B72" s="734" t="s">
        <v>172</v>
      </c>
      <c r="C72" s="818" t="s">
        <v>91</v>
      </c>
      <c r="D72" s="734">
        <v>7.2999999999999995E-2</v>
      </c>
      <c r="E72" s="734">
        <v>2283</v>
      </c>
      <c r="F72" s="734">
        <v>166.65899999999999</v>
      </c>
      <c r="G72" s="734">
        <v>2219</v>
      </c>
      <c r="H72" s="734">
        <v>161.98699999999999</v>
      </c>
      <c r="I72" s="734">
        <v>2.884182063992796</v>
      </c>
      <c r="J72" s="734">
        <v>93.585999999999999</v>
      </c>
    </row>
    <row r="73" spans="1:10" hidden="1" x14ac:dyDescent="0.25">
      <c r="A73" s="818" t="s">
        <v>700</v>
      </c>
      <c r="B73" s="734" t="s">
        <v>172</v>
      </c>
      <c r="C73" s="818" t="s">
        <v>91</v>
      </c>
      <c r="D73" s="734">
        <v>0.14000000000000001</v>
      </c>
      <c r="E73" s="734">
        <v>2219</v>
      </c>
      <c r="F73" s="734">
        <v>310.66000000000003</v>
      </c>
      <c r="G73" s="734">
        <v>2173</v>
      </c>
      <c r="H73" s="734">
        <v>304.22000000000003</v>
      </c>
      <c r="I73" s="734">
        <v>2.1168890934192319</v>
      </c>
      <c r="J73" s="734">
        <v>1667.5400000000002</v>
      </c>
    </row>
    <row r="74" spans="1:10" hidden="1" x14ac:dyDescent="0.25">
      <c r="A74" s="818" t="s">
        <v>704</v>
      </c>
      <c r="B74" s="734" t="s">
        <v>128</v>
      </c>
      <c r="C74" s="818" t="s">
        <v>129</v>
      </c>
      <c r="D74" s="734">
        <v>7.2999999999999995E-2</v>
      </c>
      <c r="E74" s="734">
        <v>1399.05</v>
      </c>
      <c r="F74" s="734">
        <v>102.13064999999999</v>
      </c>
      <c r="G74" s="734">
        <v>1350</v>
      </c>
      <c r="H74" s="734">
        <v>98.55</v>
      </c>
      <c r="I74" s="734">
        <v>3.6333333333333258</v>
      </c>
      <c r="J74" s="734">
        <v>209.72899999999998</v>
      </c>
    </row>
    <row r="75" spans="1:10" hidden="1" x14ac:dyDescent="0.25">
      <c r="A75" s="818" t="s">
        <v>701</v>
      </c>
      <c r="B75" s="734" t="s">
        <v>128</v>
      </c>
      <c r="C75" s="818" t="s">
        <v>129</v>
      </c>
      <c r="D75" s="734">
        <v>0.04</v>
      </c>
      <c r="E75" s="734">
        <v>1399.05</v>
      </c>
      <c r="F75" s="734">
        <v>55.961999999999996</v>
      </c>
      <c r="G75" s="734">
        <v>1350</v>
      </c>
      <c r="H75" s="734">
        <v>54</v>
      </c>
      <c r="I75" s="734">
        <v>3.6333333333333258</v>
      </c>
      <c r="J75" s="734">
        <v>363.84000000000003</v>
      </c>
    </row>
    <row r="76" spans="1:10" hidden="1" x14ac:dyDescent="0.25">
      <c r="A76" s="819" t="s">
        <v>732</v>
      </c>
      <c r="B76" s="618" t="s">
        <v>128</v>
      </c>
      <c r="C76" s="821" t="s">
        <v>129</v>
      </c>
      <c r="D76" s="221">
        <v>7.4999999999999997E-2</v>
      </c>
      <c r="E76" s="225">
        <v>1399.05</v>
      </c>
      <c r="F76" s="225">
        <f>E76*D76</f>
        <v>104.92874999999999</v>
      </c>
      <c r="G76" s="225">
        <v>1350</v>
      </c>
      <c r="H76" s="225">
        <f>G76*D76</f>
        <v>101.25</v>
      </c>
      <c r="I76" s="648">
        <f>((E76/G76)*100)-100</f>
        <v>3.6333333333333258</v>
      </c>
      <c r="J76" s="225">
        <v>1036.575</v>
      </c>
    </row>
    <row r="77" spans="1:10" hidden="1" x14ac:dyDescent="0.25">
      <c r="A77" s="820" t="s">
        <v>721</v>
      </c>
      <c r="B77" s="225" t="s">
        <v>128</v>
      </c>
      <c r="C77" s="820" t="s">
        <v>129</v>
      </c>
      <c r="D77" s="225">
        <v>7.4999999999999997E-2</v>
      </c>
      <c r="E77" s="225">
        <v>1399.05</v>
      </c>
      <c r="F77" s="225">
        <v>104.92874999999999</v>
      </c>
      <c r="G77" s="225">
        <v>1431</v>
      </c>
      <c r="H77" s="225">
        <v>107.325</v>
      </c>
      <c r="I77" s="649">
        <v>-2.2327044025157221</v>
      </c>
      <c r="J77" s="225">
        <v>557.25</v>
      </c>
    </row>
    <row r="78" spans="1:10" hidden="1" x14ac:dyDescent="0.25">
      <c r="A78" s="820" t="s">
        <v>429</v>
      </c>
      <c r="B78" s="225" t="s">
        <v>128</v>
      </c>
      <c r="C78" s="820" t="s">
        <v>129</v>
      </c>
      <c r="D78" s="225">
        <v>0.09</v>
      </c>
      <c r="E78" s="225">
        <v>1399.05</v>
      </c>
      <c r="F78" s="225">
        <f>E78*D78</f>
        <v>125.91449999999999</v>
      </c>
      <c r="G78" s="225">
        <v>1125</v>
      </c>
      <c r="H78" s="225">
        <f>G78*D78</f>
        <v>101.25</v>
      </c>
      <c r="I78" s="444">
        <f>((E78/G78)*100)-100</f>
        <v>24.36</v>
      </c>
      <c r="J78" s="225">
        <v>1712.4299999999998</v>
      </c>
    </row>
    <row r="79" spans="1:10" hidden="1" x14ac:dyDescent="0.25">
      <c r="A79" s="734" t="s">
        <v>728</v>
      </c>
      <c r="B79" s="734" t="s">
        <v>51</v>
      </c>
      <c r="C79" s="734" t="s">
        <v>52</v>
      </c>
      <c r="D79" s="734">
        <v>7.2999999999999995E-2</v>
      </c>
      <c r="E79" s="734">
        <v>1700.46</v>
      </c>
      <c r="F79" s="734">
        <v>124.13357999999999</v>
      </c>
      <c r="G79" s="734">
        <v>1464</v>
      </c>
      <c r="H79" s="734">
        <v>106.872</v>
      </c>
      <c r="I79" s="734">
        <v>16.151639344262293</v>
      </c>
      <c r="J79" s="734">
        <v>25550</v>
      </c>
    </row>
    <row r="80" spans="1:10" hidden="1" x14ac:dyDescent="0.25">
      <c r="A80" s="734" t="s">
        <v>706</v>
      </c>
      <c r="B80" s="734" t="s">
        <v>51</v>
      </c>
      <c r="C80" s="818" t="s">
        <v>52</v>
      </c>
      <c r="D80" s="734">
        <v>0.14000000000000001</v>
      </c>
      <c r="E80" s="734">
        <v>1399.05</v>
      </c>
      <c r="F80" s="734">
        <v>195.86700000000002</v>
      </c>
      <c r="G80" s="734">
        <v>1464</v>
      </c>
      <c r="H80" s="734">
        <v>204.96</v>
      </c>
      <c r="I80" s="734">
        <v>-4.4364754098360777</v>
      </c>
      <c r="J80" s="734">
        <v>1596.9800000000002</v>
      </c>
    </row>
    <row r="81" spans="1:10" x14ac:dyDescent="0.25">
      <c r="A81" s="734" t="s">
        <v>714</v>
      </c>
      <c r="B81" s="734" t="s">
        <v>51</v>
      </c>
      <c r="C81" s="818" t="s">
        <v>52</v>
      </c>
      <c r="D81" s="734">
        <v>7.2999999999999995E-2</v>
      </c>
      <c r="E81" s="734">
        <v>1700.46</v>
      </c>
      <c r="F81" s="734">
        <v>124.13357999999999</v>
      </c>
      <c r="G81" s="734">
        <v>1464</v>
      </c>
      <c r="H81" s="734">
        <v>106.872</v>
      </c>
      <c r="I81" s="734">
        <v>16.151639344262293</v>
      </c>
      <c r="J81" s="734">
        <v>3217.0369999999998</v>
      </c>
    </row>
    <row r="82" spans="1:10" hidden="1" x14ac:dyDescent="0.25">
      <c r="A82" s="734" t="s">
        <v>728</v>
      </c>
      <c r="B82" s="734" t="s">
        <v>367</v>
      </c>
      <c r="C82" s="734" t="s">
        <v>368</v>
      </c>
      <c r="D82" s="734">
        <v>7.2999999999999995E-2</v>
      </c>
      <c r="E82" s="734">
        <v>1015.75</v>
      </c>
      <c r="F82" s="734">
        <v>74.149749999999997</v>
      </c>
      <c r="G82" s="734">
        <v>908</v>
      </c>
      <c r="H82" s="734">
        <v>66.283999999999992</v>
      </c>
      <c r="I82" s="734">
        <v>11.866740088105729</v>
      </c>
      <c r="J82" s="734">
        <v>25550</v>
      </c>
    </row>
    <row r="83" spans="1:10" hidden="1" x14ac:dyDescent="0.25">
      <c r="A83" s="734" t="s">
        <v>715</v>
      </c>
      <c r="B83" s="734" t="s">
        <v>51</v>
      </c>
      <c r="C83" s="818" t="s">
        <v>52</v>
      </c>
      <c r="D83" s="734">
        <v>7.2999999999999995E-2</v>
      </c>
      <c r="E83" s="734">
        <v>1700.46</v>
      </c>
      <c r="F83" s="734">
        <v>124.13357999999999</v>
      </c>
      <c r="G83" s="734">
        <v>1464</v>
      </c>
      <c r="H83" s="734">
        <v>106.872</v>
      </c>
      <c r="I83" s="734">
        <v>16.151639344262293</v>
      </c>
      <c r="J83" s="734">
        <v>2984.6779999999999</v>
      </c>
    </row>
    <row r="84" spans="1:10" hidden="1" x14ac:dyDescent="0.25">
      <c r="A84" s="734" t="s">
        <v>726</v>
      </c>
      <c r="B84" s="734" t="s">
        <v>70</v>
      </c>
      <c r="C84" s="734" t="s">
        <v>71</v>
      </c>
      <c r="D84" s="734">
        <v>2</v>
      </c>
      <c r="E84" s="734">
        <v>28</v>
      </c>
      <c r="F84" s="734">
        <v>56</v>
      </c>
      <c r="G84" s="734">
        <v>27</v>
      </c>
      <c r="H84" s="734">
        <v>54</v>
      </c>
      <c r="I84" s="734">
        <v>3.7037037037036953</v>
      </c>
      <c r="J84" s="734">
        <v>700000</v>
      </c>
    </row>
    <row r="85" spans="1:10" hidden="1" x14ac:dyDescent="0.25">
      <c r="A85" s="734" t="s">
        <v>716</v>
      </c>
      <c r="B85" s="734" t="s">
        <v>441</v>
      </c>
      <c r="C85" s="734" t="s">
        <v>442</v>
      </c>
      <c r="D85" s="734">
        <v>0.16</v>
      </c>
      <c r="E85" s="734">
        <v>1075</v>
      </c>
      <c r="F85" s="734">
        <v>172</v>
      </c>
      <c r="G85" s="734">
        <v>1075</v>
      </c>
      <c r="H85" s="734">
        <v>172</v>
      </c>
      <c r="I85" s="734">
        <v>0</v>
      </c>
      <c r="J85" s="734">
        <v>1591.3600000000001</v>
      </c>
    </row>
    <row r="86" spans="1:10" hidden="1" x14ac:dyDescent="0.25">
      <c r="A86" s="734" t="s">
        <v>703</v>
      </c>
      <c r="B86" s="734" t="s">
        <v>189</v>
      </c>
      <c r="C86" s="734" t="s">
        <v>190</v>
      </c>
      <c r="D86" s="734">
        <v>0.14499999999999999</v>
      </c>
      <c r="E86" s="734">
        <v>1411</v>
      </c>
      <c r="F86" s="734">
        <v>204.595</v>
      </c>
      <c r="G86" s="734">
        <v>1411</v>
      </c>
      <c r="H86" s="734">
        <v>204.595</v>
      </c>
      <c r="I86" s="734">
        <v>0</v>
      </c>
      <c r="J86" s="734">
        <v>1074.4499999999998</v>
      </c>
    </row>
    <row r="87" spans="1:10" hidden="1" x14ac:dyDescent="0.25">
      <c r="A87" s="734" t="s">
        <v>702</v>
      </c>
      <c r="B87" s="734" t="s">
        <v>192</v>
      </c>
      <c r="C87" s="734" t="s">
        <v>193</v>
      </c>
      <c r="D87" s="734">
        <v>7.2999999999999995E-2</v>
      </c>
      <c r="E87" s="734">
        <v>1450</v>
      </c>
      <c r="F87" s="734">
        <v>105.85</v>
      </c>
      <c r="G87" s="734">
        <v>1450</v>
      </c>
      <c r="H87" s="734">
        <v>105.85</v>
      </c>
      <c r="I87" s="734">
        <v>0</v>
      </c>
      <c r="J87" s="734">
        <v>553.77800000000002</v>
      </c>
    </row>
    <row r="88" spans="1:10" hidden="1" x14ac:dyDescent="0.25">
      <c r="A88" s="734" t="s">
        <v>706</v>
      </c>
      <c r="B88" s="734" t="s">
        <v>208</v>
      </c>
      <c r="C88" s="734" t="s">
        <v>209</v>
      </c>
      <c r="D88" s="734">
        <v>0.14000000000000001</v>
      </c>
      <c r="E88" s="734">
        <v>1535</v>
      </c>
      <c r="F88" s="734">
        <v>214.90000000000003</v>
      </c>
      <c r="G88" s="734">
        <v>1535</v>
      </c>
      <c r="H88" s="734">
        <v>214.90000000000003</v>
      </c>
      <c r="I88" s="734">
        <v>0</v>
      </c>
      <c r="J88" s="734">
        <v>1596.9800000000002</v>
      </c>
    </row>
    <row r="89" spans="1:10" hidden="1" x14ac:dyDescent="0.25">
      <c r="A89" s="734" t="s">
        <v>707</v>
      </c>
      <c r="B89" s="734" t="s">
        <v>202</v>
      </c>
      <c r="C89" s="734" t="s">
        <v>203</v>
      </c>
      <c r="D89" s="734">
        <v>0.14000000000000001</v>
      </c>
      <c r="E89" s="734">
        <v>1895</v>
      </c>
      <c r="F89" s="734">
        <v>265.3</v>
      </c>
      <c r="G89" s="734">
        <v>1895</v>
      </c>
      <c r="H89" s="734">
        <v>265.3</v>
      </c>
      <c r="I89" s="734">
        <v>0</v>
      </c>
      <c r="J89" s="734">
        <v>1127.42</v>
      </c>
    </row>
    <row r="90" spans="1:10" hidden="1" x14ac:dyDescent="0.25">
      <c r="A90" s="734" t="s">
        <v>726</v>
      </c>
      <c r="B90" s="734" t="s">
        <v>411</v>
      </c>
      <c r="C90" s="734" t="s">
        <v>412</v>
      </c>
      <c r="D90" s="734">
        <v>0.22</v>
      </c>
      <c r="E90" s="734">
        <v>491.73</v>
      </c>
      <c r="F90" s="734">
        <v>108.1806</v>
      </c>
      <c r="G90" s="734">
        <v>474</v>
      </c>
      <c r="H90" s="734">
        <v>104.28</v>
      </c>
      <c r="I90" s="734">
        <v>3.7405063291139413</v>
      </c>
      <c r="J90" s="734">
        <v>154000</v>
      </c>
    </row>
    <row r="91" spans="1:10" hidden="1" x14ac:dyDescent="0.25">
      <c r="A91" s="734" t="s">
        <v>287</v>
      </c>
      <c r="B91" s="734" t="s">
        <v>296</v>
      </c>
      <c r="C91" s="734" t="s">
        <v>297</v>
      </c>
      <c r="D91" s="734">
        <v>1.09E-2</v>
      </c>
      <c r="E91" s="734">
        <v>26300</v>
      </c>
      <c r="F91" s="734">
        <v>286.67</v>
      </c>
      <c r="G91" s="734">
        <v>26300</v>
      </c>
      <c r="H91" s="734">
        <v>286.67</v>
      </c>
      <c r="I91" s="734">
        <v>0</v>
      </c>
      <c r="J91" s="734">
        <v>301.77999999999997</v>
      </c>
    </row>
    <row r="92" spans="1:10" x14ac:dyDescent="0.25">
      <c r="A92" s="734" t="s">
        <v>714</v>
      </c>
      <c r="B92" s="734" t="s">
        <v>281</v>
      </c>
      <c r="C92" s="734" t="s">
        <v>282</v>
      </c>
      <c r="D92" s="734">
        <v>7.2999999999999995E-2</v>
      </c>
      <c r="E92" s="734">
        <v>1496</v>
      </c>
      <c r="F92" s="734">
        <v>109.208</v>
      </c>
      <c r="G92" s="734">
        <v>1496</v>
      </c>
      <c r="H92" s="734">
        <v>109.208</v>
      </c>
      <c r="I92" s="734">
        <v>0</v>
      </c>
      <c r="J92" s="734">
        <v>3217.0369999999998</v>
      </c>
    </row>
    <row r="93" spans="1:10" hidden="1" x14ac:dyDescent="0.25">
      <c r="A93" s="734" t="s">
        <v>698</v>
      </c>
      <c r="B93" s="734" t="s">
        <v>176</v>
      </c>
      <c r="C93" s="734" t="s">
        <v>177</v>
      </c>
      <c r="D93" s="734">
        <v>0.14599999999999999</v>
      </c>
      <c r="E93" s="734">
        <v>918</v>
      </c>
      <c r="F93" s="734">
        <v>134.02799999999999</v>
      </c>
      <c r="G93" s="734">
        <v>918</v>
      </c>
      <c r="H93" s="734">
        <v>134.02799999999999</v>
      </c>
      <c r="I93" s="734">
        <v>0</v>
      </c>
      <c r="J93" s="734">
        <v>1549.9359999999999</v>
      </c>
    </row>
    <row r="94" spans="1:10" hidden="1" x14ac:dyDescent="0.25">
      <c r="A94" s="734" t="s">
        <v>700</v>
      </c>
      <c r="B94" s="734" t="s">
        <v>170</v>
      </c>
      <c r="C94" s="734" t="s">
        <v>171</v>
      </c>
      <c r="D94" s="734">
        <v>0.14000000000000001</v>
      </c>
      <c r="E94" s="734">
        <v>823</v>
      </c>
      <c r="F94" s="734">
        <v>115.22000000000001</v>
      </c>
      <c r="G94" s="734">
        <v>823</v>
      </c>
      <c r="H94" s="734">
        <v>115.22000000000001</v>
      </c>
      <c r="I94" s="734">
        <v>0</v>
      </c>
      <c r="J94" s="734">
        <v>1667.5400000000002</v>
      </c>
    </row>
    <row r="95" spans="1:10" hidden="1" x14ac:dyDescent="0.25">
      <c r="A95" s="734" t="s">
        <v>725</v>
      </c>
      <c r="B95" s="734" t="s">
        <v>352</v>
      </c>
      <c r="C95" s="734" t="s">
        <v>353</v>
      </c>
      <c r="D95" s="734">
        <v>4.5999999999999999E-2</v>
      </c>
      <c r="E95" s="734">
        <v>2561</v>
      </c>
      <c r="F95" s="734">
        <v>117.806</v>
      </c>
      <c r="G95" s="734">
        <v>1624</v>
      </c>
      <c r="H95" s="734">
        <v>74.703999999999994</v>
      </c>
      <c r="I95" s="734">
        <v>57.697044334975374</v>
      </c>
      <c r="J95" s="734">
        <v>9200</v>
      </c>
    </row>
    <row r="96" spans="1:10" hidden="1" x14ac:dyDescent="0.25">
      <c r="A96" s="734" t="s">
        <v>715</v>
      </c>
      <c r="B96" s="734" t="s">
        <v>285</v>
      </c>
      <c r="C96" s="734" t="s">
        <v>286</v>
      </c>
      <c r="D96" s="734">
        <v>7.2999999999999995E-2</v>
      </c>
      <c r="E96" s="734">
        <v>1519</v>
      </c>
      <c r="F96" s="734">
        <v>110.88699999999999</v>
      </c>
      <c r="G96" s="734">
        <v>1519</v>
      </c>
      <c r="H96" s="734">
        <v>110.88699999999999</v>
      </c>
      <c r="I96" s="734">
        <v>0</v>
      </c>
      <c r="J96" s="734">
        <v>2984.6779999999999</v>
      </c>
    </row>
    <row r="97" spans="1:10" hidden="1" x14ac:dyDescent="0.25">
      <c r="A97" s="734" t="s">
        <v>725</v>
      </c>
      <c r="B97" s="734" t="s">
        <v>70</v>
      </c>
      <c r="C97" s="734" t="s">
        <v>71</v>
      </c>
      <c r="D97" s="734">
        <v>2</v>
      </c>
      <c r="E97" s="734">
        <v>28</v>
      </c>
      <c r="F97" s="734">
        <v>56</v>
      </c>
      <c r="G97" s="734">
        <v>27</v>
      </c>
      <c r="H97" s="734">
        <v>54</v>
      </c>
      <c r="I97" s="734">
        <v>3.7037037037036953</v>
      </c>
      <c r="J97" s="734">
        <v>400000</v>
      </c>
    </row>
    <row r="98" spans="1:10" hidden="1" x14ac:dyDescent="0.25">
      <c r="A98" s="819" t="s">
        <v>732</v>
      </c>
      <c r="B98" s="618" t="s">
        <v>126</v>
      </c>
      <c r="C98" s="619" t="s">
        <v>127</v>
      </c>
      <c r="D98" s="221">
        <v>7.4999999999999997E-2</v>
      </c>
      <c r="E98" s="225">
        <v>861</v>
      </c>
      <c r="F98" s="225">
        <f>E98*D98</f>
        <v>64.575000000000003</v>
      </c>
      <c r="G98" s="225">
        <v>861</v>
      </c>
      <c r="H98" s="225">
        <f>G98*D98</f>
        <v>64.575000000000003</v>
      </c>
      <c r="I98" s="634">
        <f>((E98/G98)*100)-100</f>
        <v>0</v>
      </c>
      <c r="J98" s="225">
        <v>1036.575</v>
      </c>
    </row>
    <row r="99" spans="1:10" hidden="1" x14ac:dyDescent="0.25">
      <c r="A99" s="818" t="s">
        <v>699</v>
      </c>
      <c r="B99" s="734" t="s">
        <v>126</v>
      </c>
      <c r="C99" s="734" t="s">
        <v>127</v>
      </c>
      <c r="D99" s="734">
        <v>1</v>
      </c>
      <c r="E99" s="734">
        <v>990</v>
      </c>
      <c r="F99" s="734">
        <v>990</v>
      </c>
      <c r="G99" s="734">
        <v>990</v>
      </c>
      <c r="H99" s="734">
        <v>990</v>
      </c>
      <c r="I99" s="734">
        <v>0</v>
      </c>
      <c r="J99" s="734">
        <v>93.585999999999999</v>
      </c>
    </row>
    <row r="100" spans="1:10" hidden="1" x14ac:dyDescent="0.25">
      <c r="A100" s="818" t="s">
        <v>704</v>
      </c>
      <c r="B100" s="734" t="s">
        <v>314</v>
      </c>
      <c r="C100" s="734" t="s">
        <v>315</v>
      </c>
      <c r="D100" s="734">
        <v>7.2999999999999995E-2</v>
      </c>
      <c r="E100" s="734">
        <v>861</v>
      </c>
      <c r="F100" s="734">
        <v>62.852999999999994</v>
      </c>
      <c r="G100" s="734">
        <v>861</v>
      </c>
      <c r="H100" s="734">
        <v>62.852999999999994</v>
      </c>
      <c r="I100" s="734">
        <v>0</v>
      </c>
      <c r="J100" s="734">
        <v>2873</v>
      </c>
    </row>
    <row r="101" spans="1:10" hidden="1" x14ac:dyDescent="0.25">
      <c r="A101" s="818" t="s">
        <v>705</v>
      </c>
      <c r="B101" s="734" t="s">
        <v>314</v>
      </c>
      <c r="C101" s="734" t="s">
        <v>315</v>
      </c>
      <c r="D101" s="734">
        <v>7.4999999999999997E-2</v>
      </c>
      <c r="E101" s="734">
        <v>861</v>
      </c>
      <c r="F101" s="734">
        <v>64.575000000000003</v>
      </c>
      <c r="G101" s="734">
        <v>861</v>
      </c>
      <c r="H101" s="734">
        <v>64.575000000000003</v>
      </c>
      <c r="I101" s="734">
        <v>0</v>
      </c>
      <c r="J101" s="734">
        <v>387.07499999999999</v>
      </c>
    </row>
    <row r="102" spans="1:10" hidden="1" x14ac:dyDescent="0.25">
      <c r="A102" s="818" t="s">
        <v>701</v>
      </c>
      <c r="B102" s="734" t="s">
        <v>314</v>
      </c>
      <c r="C102" s="734" t="s">
        <v>315</v>
      </c>
      <c r="D102" s="734">
        <v>0.04</v>
      </c>
      <c r="E102" s="734">
        <v>861</v>
      </c>
      <c r="F102" s="734">
        <v>34.44</v>
      </c>
      <c r="G102" s="734">
        <v>861</v>
      </c>
      <c r="H102" s="734">
        <v>34.44</v>
      </c>
      <c r="I102" s="734">
        <v>0</v>
      </c>
      <c r="J102" s="734">
        <v>9096</v>
      </c>
    </row>
    <row r="103" spans="1:10" hidden="1" x14ac:dyDescent="0.25">
      <c r="A103" s="818" t="s">
        <v>730</v>
      </c>
      <c r="B103" s="734" t="s">
        <v>314</v>
      </c>
      <c r="C103" s="734" t="s">
        <v>315</v>
      </c>
      <c r="D103" s="734">
        <v>0.16</v>
      </c>
      <c r="E103" s="734">
        <v>861</v>
      </c>
      <c r="F103" s="734">
        <v>137.76</v>
      </c>
      <c r="G103" s="734">
        <v>861</v>
      </c>
      <c r="H103" s="734">
        <v>137.76</v>
      </c>
      <c r="I103" s="734">
        <v>0</v>
      </c>
      <c r="J103" s="734">
        <v>5299</v>
      </c>
    </row>
    <row r="104" spans="1:10" hidden="1" x14ac:dyDescent="0.25">
      <c r="A104" s="818" t="s">
        <v>722</v>
      </c>
      <c r="B104" s="734" t="s">
        <v>314</v>
      </c>
      <c r="C104" s="734" t="s">
        <v>315</v>
      </c>
      <c r="D104" s="734">
        <v>0.16</v>
      </c>
      <c r="E104" s="734">
        <v>861</v>
      </c>
      <c r="F104" s="734">
        <v>137.76</v>
      </c>
      <c r="G104" s="734">
        <v>861</v>
      </c>
      <c r="H104" s="734">
        <v>137.76</v>
      </c>
      <c r="I104" s="734">
        <v>0</v>
      </c>
      <c r="J104" s="734">
        <v>4897</v>
      </c>
    </row>
    <row r="105" spans="1:10" hidden="1" x14ac:dyDescent="0.25">
      <c r="A105" s="820" t="s">
        <v>721</v>
      </c>
      <c r="B105" s="225" t="s">
        <v>314</v>
      </c>
      <c r="C105" s="225" t="s">
        <v>315</v>
      </c>
      <c r="D105" s="225">
        <v>7.4999999999999997E-2</v>
      </c>
      <c r="E105" s="225">
        <v>861</v>
      </c>
      <c r="F105" s="225">
        <v>64.575000000000003</v>
      </c>
      <c r="G105" s="225">
        <v>861</v>
      </c>
      <c r="H105" s="225">
        <v>64.575000000000003</v>
      </c>
      <c r="I105" s="634">
        <v>0</v>
      </c>
      <c r="J105" s="225">
        <v>7430</v>
      </c>
    </row>
    <row r="106" spans="1:10" hidden="1" x14ac:dyDescent="0.25">
      <c r="A106" s="734" t="s">
        <v>725</v>
      </c>
      <c r="B106" s="734" t="s">
        <v>350</v>
      </c>
      <c r="C106" s="734" t="s">
        <v>351</v>
      </c>
      <c r="D106" s="734">
        <v>0.4</v>
      </c>
      <c r="E106" s="734">
        <v>556.86</v>
      </c>
      <c r="F106" s="734">
        <v>222.74400000000003</v>
      </c>
      <c r="G106" s="734">
        <v>522</v>
      </c>
      <c r="H106" s="734">
        <v>208.8</v>
      </c>
      <c r="I106" s="734">
        <v>6.6781609195402325</v>
      </c>
      <c r="J106" s="734">
        <v>80000</v>
      </c>
    </row>
    <row r="107" spans="1:10" hidden="1" x14ac:dyDescent="0.25">
      <c r="A107" s="734" t="s">
        <v>719</v>
      </c>
      <c r="B107" s="734" t="s">
        <v>160</v>
      </c>
      <c r="C107" s="734" t="s">
        <v>159</v>
      </c>
      <c r="D107" s="734">
        <v>1</v>
      </c>
      <c r="E107" s="734">
        <v>45.66</v>
      </c>
      <c r="F107" s="734">
        <v>45.66</v>
      </c>
      <c r="G107" s="734">
        <v>46</v>
      </c>
      <c r="H107" s="734">
        <v>46</v>
      </c>
      <c r="I107" s="734">
        <v>-0.73913043478262352</v>
      </c>
      <c r="J107" s="734">
        <v>44506</v>
      </c>
    </row>
    <row r="108" spans="1:10" hidden="1" x14ac:dyDescent="0.25">
      <c r="A108" s="734" t="s">
        <v>697</v>
      </c>
      <c r="B108" s="734" t="s">
        <v>160</v>
      </c>
      <c r="C108" s="734" t="s">
        <v>159</v>
      </c>
      <c r="D108" s="734">
        <v>1</v>
      </c>
      <c r="E108" s="734">
        <v>45.66</v>
      </c>
      <c r="F108" s="734">
        <v>45.66</v>
      </c>
      <c r="G108" s="734">
        <v>46</v>
      </c>
      <c r="H108" s="734">
        <v>46</v>
      </c>
      <c r="I108" s="734">
        <v>-0.73913043478262352</v>
      </c>
      <c r="J108" s="734">
        <v>44506</v>
      </c>
    </row>
    <row r="109" spans="1:10" hidden="1" x14ac:dyDescent="0.25">
      <c r="A109" s="734" t="s">
        <v>712</v>
      </c>
      <c r="B109" s="734" t="s">
        <v>250</v>
      </c>
      <c r="C109" s="734" t="s">
        <v>251</v>
      </c>
      <c r="D109" s="734">
        <v>0.15</v>
      </c>
      <c r="E109" s="734">
        <v>1299.33</v>
      </c>
      <c r="F109" s="734">
        <v>194.89949999999999</v>
      </c>
      <c r="G109" s="734">
        <v>795</v>
      </c>
      <c r="H109" s="734">
        <v>119.25</v>
      </c>
      <c r="I109" s="734">
        <v>63.437735849056594</v>
      </c>
      <c r="J109" s="734">
        <v>1374.3</v>
      </c>
    </row>
    <row r="110" spans="1:10" hidden="1" x14ac:dyDescent="0.25">
      <c r="A110" s="734" t="s">
        <v>711</v>
      </c>
      <c r="B110" s="734" t="s">
        <v>250</v>
      </c>
      <c r="C110" s="734" t="s">
        <v>251</v>
      </c>
      <c r="D110" s="734">
        <v>0.15</v>
      </c>
      <c r="E110" s="734">
        <v>1299.33</v>
      </c>
      <c r="F110" s="734">
        <v>194.89949999999999</v>
      </c>
      <c r="G110" s="734">
        <v>795</v>
      </c>
      <c r="H110" s="734">
        <v>119.25</v>
      </c>
      <c r="I110" s="734">
        <v>63.437735849056594</v>
      </c>
      <c r="J110" s="734">
        <v>568.94999999999993</v>
      </c>
    </row>
    <row r="111" spans="1:10" hidden="1" x14ac:dyDescent="0.25">
      <c r="A111" s="225" t="s">
        <v>258</v>
      </c>
      <c r="B111" s="225" t="s">
        <v>263</v>
      </c>
      <c r="C111" s="225" t="s">
        <v>264</v>
      </c>
      <c r="D111" s="225">
        <v>1.68</v>
      </c>
      <c r="E111" s="225">
        <v>264.82</v>
      </c>
      <c r="F111" s="225">
        <v>444.89759999999995</v>
      </c>
      <c r="G111" s="225">
        <v>255</v>
      </c>
      <c r="H111" s="225">
        <v>428.4</v>
      </c>
      <c r="I111" s="444">
        <v>3.8509803921568562</v>
      </c>
      <c r="J111" s="225">
        <v>31931.759999999998</v>
      </c>
    </row>
    <row r="112" spans="1:10" hidden="1" x14ac:dyDescent="0.25">
      <c r="A112" s="225" t="s">
        <v>710</v>
      </c>
      <c r="B112" s="225" t="s">
        <v>222</v>
      </c>
      <c r="C112" s="225" t="s">
        <v>223</v>
      </c>
      <c r="D112" s="225">
        <v>30</v>
      </c>
      <c r="E112" s="225">
        <v>19</v>
      </c>
      <c r="F112" s="225">
        <f>E112*D112</f>
        <v>570</v>
      </c>
      <c r="G112" s="225">
        <v>19</v>
      </c>
      <c r="H112" s="225">
        <f>G112*D112</f>
        <v>570</v>
      </c>
      <c r="I112" s="225">
        <f>((E112/G112)*100)-100</f>
        <v>0</v>
      </c>
      <c r="J112" s="225">
        <v>1403</v>
      </c>
    </row>
    <row r="113" spans="1:10" hidden="1" x14ac:dyDescent="0.25">
      <c r="A113" s="734" t="s">
        <v>708</v>
      </c>
      <c r="B113" s="734" t="s">
        <v>222</v>
      </c>
      <c r="C113" s="734" t="s">
        <v>223</v>
      </c>
      <c r="D113" s="734">
        <v>5</v>
      </c>
      <c r="E113" s="734">
        <v>19</v>
      </c>
      <c r="F113" s="734">
        <v>95</v>
      </c>
      <c r="G113" s="734">
        <v>19</v>
      </c>
      <c r="H113" s="734">
        <v>95</v>
      </c>
      <c r="I113" s="734">
        <v>0</v>
      </c>
      <c r="J113" s="734">
        <v>2807</v>
      </c>
    </row>
    <row r="114" spans="1:10" hidden="1" x14ac:dyDescent="0.25">
      <c r="A114" s="734" t="s">
        <v>709</v>
      </c>
      <c r="B114" s="734" t="s">
        <v>222</v>
      </c>
      <c r="C114" s="734" t="s">
        <v>223</v>
      </c>
      <c r="D114" s="734">
        <v>10</v>
      </c>
      <c r="E114" s="734">
        <v>19</v>
      </c>
      <c r="F114" s="734">
        <v>190</v>
      </c>
      <c r="G114" s="734">
        <v>19</v>
      </c>
      <c r="H114" s="734">
        <v>190</v>
      </c>
      <c r="I114" s="734">
        <v>0</v>
      </c>
      <c r="J114" s="734">
        <v>2687</v>
      </c>
    </row>
    <row r="115" spans="1:10" hidden="1" x14ac:dyDescent="0.25">
      <c r="A115" s="734" t="s">
        <v>720</v>
      </c>
      <c r="B115" s="734" t="s">
        <v>222</v>
      </c>
      <c r="C115" s="734" t="s">
        <v>223</v>
      </c>
      <c r="D115" s="734">
        <v>10</v>
      </c>
      <c r="E115" s="734">
        <v>19</v>
      </c>
      <c r="F115" s="734">
        <v>190</v>
      </c>
      <c r="G115" s="734">
        <v>19</v>
      </c>
      <c r="H115" s="734">
        <v>190</v>
      </c>
      <c r="I115" s="734">
        <v>0</v>
      </c>
      <c r="J115" s="734">
        <v>12009</v>
      </c>
    </row>
    <row r="116" spans="1:10" hidden="1" x14ac:dyDescent="0.25">
      <c r="A116" s="734" t="s">
        <v>712</v>
      </c>
      <c r="B116" s="734" t="s">
        <v>222</v>
      </c>
      <c r="C116" s="734" t="s">
        <v>223</v>
      </c>
      <c r="D116" s="734">
        <v>15</v>
      </c>
      <c r="E116" s="734">
        <v>19</v>
      </c>
      <c r="F116" s="734">
        <v>285</v>
      </c>
      <c r="G116" s="734">
        <v>19</v>
      </c>
      <c r="H116" s="734">
        <v>285</v>
      </c>
      <c r="I116" s="734">
        <v>0</v>
      </c>
      <c r="J116" s="734">
        <v>9162</v>
      </c>
    </row>
    <row r="117" spans="1:10" hidden="1" x14ac:dyDescent="0.25">
      <c r="A117" s="734" t="s">
        <v>711</v>
      </c>
      <c r="B117" s="734" t="s">
        <v>222</v>
      </c>
      <c r="C117" s="734" t="s">
        <v>223</v>
      </c>
      <c r="D117" s="734">
        <v>15</v>
      </c>
      <c r="E117" s="734">
        <v>19</v>
      </c>
      <c r="F117" s="734">
        <v>285</v>
      </c>
      <c r="G117" s="734">
        <v>19</v>
      </c>
      <c r="H117" s="734">
        <v>285</v>
      </c>
      <c r="I117" s="734">
        <v>0</v>
      </c>
      <c r="J117" s="734">
        <v>3793</v>
      </c>
    </row>
    <row r="118" spans="1:10" hidden="1" x14ac:dyDescent="0.25">
      <c r="A118" s="734" t="s">
        <v>272</v>
      </c>
      <c r="B118" s="734" t="s">
        <v>276</v>
      </c>
      <c r="C118" s="734" t="s">
        <v>277</v>
      </c>
      <c r="D118" s="734">
        <v>0.22</v>
      </c>
      <c r="E118" s="734">
        <v>581</v>
      </c>
      <c r="F118" s="734">
        <v>127.82000000000001</v>
      </c>
      <c r="G118" s="734">
        <v>581</v>
      </c>
      <c r="H118" s="734">
        <v>127.82000000000001</v>
      </c>
      <c r="I118" s="734">
        <v>0</v>
      </c>
      <c r="J118" s="734">
        <v>6090.92</v>
      </c>
    </row>
    <row r="119" spans="1:10" hidden="1" x14ac:dyDescent="0.25">
      <c r="A119" s="734" t="s">
        <v>719</v>
      </c>
      <c r="B119" s="734" t="s">
        <v>165</v>
      </c>
      <c r="C119" s="734" t="s">
        <v>164</v>
      </c>
      <c r="D119" s="734">
        <v>0.7</v>
      </c>
      <c r="E119" s="734">
        <v>629</v>
      </c>
      <c r="F119" s="734">
        <v>440.29999999999995</v>
      </c>
      <c r="G119" s="734">
        <v>589</v>
      </c>
      <c r="H119" s="734">
        <v>412.29999999999995</v>
      </c>
      <c r="I119" s="734">
        <v>6.7911714770798</v>
      </c>
      <c r="J119" s="734">
        <v>31154.199999999997</v>
      </c>
    </row>
    <row r="120" spans="1:10" hidden="1" x14ac:dyDescent="0.25">
      <c r="A120" s="734" t="s">
        <v>371</v>
      </c>
      <c r="B120" s="734" t="s">
        <v>379</v>
      </c>
      <c r="C120" s="734" t="s">
        <v>380</v>
      </c>
      <c r="D120" s="734">
        <v>0.11</v>
      </c>
      <c r="E120" s="734">
        <v>1727</v>
      </c>
      <c r="F120" s="734">
        <v>189.97</v>
      </c>
      <c r="G120" s="734">
        <v>1727</v>
      </c>
      <c r="H120" s="734">
        <v>189.97</v>
      </c>
      <c r="I120" s="734">
        <v>0</v>
      </c>
      <c r="J120" s="734">
        <v>38500</v>
      </c>
    </row>
    <row r="121" spans="1:10" hidden="1" x14ac:dyDescent="0.25">
      <c r="A121" s="734" t="s">
        <v>696</v>
      </c>
      <c r="B121" s="734" t="s">
        <v>153</v>
      </c>
      <c r="C121" s="734" t="s">
        <v>154</v>
      </c>
      <c r="D121" s="734">
        <v>0.3</v>
      </c>
      <c r="E121" s="734">
        <v>711.54</v>
      </c>
      <c r="F121" s="734">
        <v>213.46199999999999</v>
      </c>
      <c r="G121" s="734">
        <v>686</v>
      </c>
      <c r="H121" s="734">
        <v>192.9</v>
      </c>
      <c r="I121" s="734">
        <v>10.659409020217709</v>
      </c>
      <c r="J121" s="123">
        <v>21330.6</v>
      </c>
    </row>
    <row r="122" spans="1:10" hidden="1" x14ac:dyDescent="0.25">
      <c r="A122" s="734" t="s">
        <v>697</v>
      </c>
      <c r="B122" s="734" t="s">
        <v>157</v>
      </c>
      <c r="C122" s="734" t="s">
        <v>158</v>
      </c>
      <c r="D122" s="734">
        <v>0.35</v>
      </c>
      <c r="E122" s="734">
        <v>629</v>
      </c>
      <c r="F122" s="734">
        <v>220.14999999999998</v>
      </c>
      <c r="G122" s="734">
        <v>606</v>
      </c>
      <c r="H122" s="734">
        <v>212.1</v>
      </c>
      <c r="I122" s="734">
        <v>3.7953795379537922</v>
      </c>
      <c r="J122" s="734">
        <v>31154.199999999997</v>
      </c>
    </row>
    <row r="123" spans="1:10" s="120" customFormat="1" hidden="1" x14ac:dyDescent="0.25">
      <c r="A123" s="123" t="s">
        <v>723</v>
      </c>
      <c r="B123" s="123" t="s">
        <v>341</v>
      </c>
      <c r="C123" s="123" t="s">
        <v>340</v>
      </c>
      <c r="D123" s="123">
        <v>0.22</v>
      </c>
      <c r="E123" s="123">
        <v>531</v>
      </c>
      <c r="F123" s="123">
        <v>116.82000000000001</v>
      </c>
      <c r="G123" s="123">
        <v>512</v>
      </c>
      <c r="H123" s="123">
        <v>112.64</v>
      </c>
      <c r="I123" s="735">
        <v>3.7109375</v>
      </c>
      <c r="J123" s="123">
        <v>77000</v>
      </c>
    </row>
    <row r="124" spans="1:10" s="120" customFormat="1" hidden="1" x14ac:dyDescent="0.25">
      <c r="A124" s="734" t="s">
        <v>724</v>
      </c>
      <c r="B124" s="734" t="s">
        <v>346</v>
      </c>
      <c r="C124" s="734" t="s">
        <v>347</v>
      </c>
      <c r="D124" s="734">
        <v>0.4</v>
      </c>
      <c r="E124" s="734">
        <v>515.6</v>
      </c>
      <c r="F124" s="734">
        <v>206.24</v>
      </c>
      <c r="G124" s="734">
        <v>505</v>
      </c>
      <c r="H124" s="734">
        <v>208.8</v>
      </c>
      <c r="I124" s="734">
        <v>2.0990099009900973</v>
      </c>
      <c r="J124" s="734">
        <v>72000</v>
      </c>
    </row>
    <row r="125" spans="1:10" s="120" customFormat="1" hidden="1" x14ac:dyDescent="0.25">
      <c r="A125" s="123" t="s">
        <v>271</v>
      </c>
      <c r="B125" s="734" t="s">
        <v>269</v>
      </c>
      <c r="C125" s="734" t="s">
        <v>270</v>
      </c>
      <c r="D125" s="734">
        <v>0.22</v>
      </c>
      <c r="E125" s="734"/>
      <c r="F125" s="734"/>
      <c r="G125" s="734"/>
      <c r="H125" s="734"/>
      <c r="I125" s="734"/>
      <c r="J125" s="734">
        <v>6090.92</v>
      </c>
    </row>
    <row r="126" spans="1:10" s="120" customFormat="1" hidden="1" x14ac:dyDescent="0.25">
      <c r="A126" s="734" t="s">
        <v>371</v>
      </c>
      <c r="B126" s="734" t="s">
        <v>378</v>
      </c>
      <c r="C126" s="734" t="s">
        <v>377</v>
      </c>
      <c r="D126" s="734">
        <v>1.09E-2</v>
      </c>
      <c r="E126" s="734">
        <v>26300</v>
      </c>
      <c r="F126" s="734">
        <v>286.67</v>
      </c>
      <c r="G126" s="734">
        <v>26300</v>
      </c>
      <c r="H126" s="734">
        <v>286.67</v>
      </c>
      <c r="I126" s="734">
        <v>0</v>
      </c>
      <c r="J126" s="734">
        <v>3815</v>
      </c>
    </row>
    <row r="127" spans="1:10" hidden="1" x14ac:dyDescent="0.25">
      <c r="A127" s="822" t="s">
        <v>329</v>
      </c>
      <c r="B127" s="822" t="s">
        <v>330</v>
      </c>
      <c r="C127" s="822" t="s">
        <v>331</v>
      </c>
      <c r="D127" s="822">
        <v>0.5</v>
      </c>
      <c r="E127" s="822">
        <v>629.04</v>
      </c>
      <c r="F127" s="822">
        <v>314.52</v>
      </c>
      <c r="G127" s="822">
        <v>606</v>
      </c>
      <c r="H127" s="822">
        <v>303</v>
      </c>
      <c r="I127" s="822">
        <v>3.8019801980198054</v>
      </c>
      <c r="J127" s="822">
        <v>1781</v>
      </c>
    </row>
  </sheetData>
  <autoFilter ref="A1:J127" xr:uid="{BC496615-AEC2-464E-91E0-BFF3EE5EE867}">
    <filterColumn colId="0">
      <filters>
        <filter val="MDELA FAIZAN  225 G 14 U SC"/>
        <filter val="MDELA VIANDÉ X 225 G 14 UND"/>
      </filters>
    </filterColumn>
    <sortState xmlns:xlrd2="http://schemas.microsoft.com/office/spreadsheetml/2017/richdata2" ref="A9:J126">
      <sortCondition ref="A1:A127"/>
    </sortState>
  </autoFilter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62D3-A299-4219-8486-FEA6BAB8FF37}">
  <sheetPr codeName="Hoja94"/>
  <dimension ref="B2:J56"/>
  <sheetViews>
    <sheetView view="pageBreakPreview" zoomScale="70" zoomScaleNormal="100" zoomScaleSheetLayoutView="70" workbookViewId="0">
      <selection activeCell="I12" sqref="I12"/>
    </sheetView>
  </sheetViews>
  <sheetFormatPr baseColWidth="10" defaultColWidth="11.5703125" defaultRowHeight="13.5" x14ac:dyDescent="0.25"/>
  <cols>
    <col min="1" max="1" width="11.5703125" style="1"/>
    <col min="2" max="2" width="11.28515625" style="1" customWidth="1"/>
    <col min="3" max="3" width="56.28515625" style="1" customWidth="1"/>
    <col min="4" max="4" width="11.140625" style="307" bestFit="1" customWidth="1"/>
    <col min="5" max="5" width="11.5703125" style="1"/>
    <col min="6" max="6" width="16.28515625" style="1" bestFit="1" customWidth="1"/>
    <col min="7" max="7" width="13.7109375" style="1" bestFit="1" customWidth="1"/>
    <col min="8" max="8" width="13.7109375" style="1" customWidth="1"/>
    <col min="9" max="9" width="12.5703125" style="268" bestFit="1" customWidth="1"/>
    <col min="10" max="16384" width="11.5703125" style="1"/>
  </cols>
  <sheetData>
    <row r="2" spans="2:8" ht="25.5" x14ac:dyDescent="0.35">
      <c r="B2" s="1751" t="s">
        <v>450</v>
      </c>
      <c r="C2" s="1751"/>
      <c r="D2" s="1751"/>
      <c r="E2" s="1751"/>
      <c r="F2" s="1751"/>
      <c r="G2" s="1751"/>
      <c r="H2" s="1751"/>
    </row>
    <row r="3" spans="2:8" ht="18" x14ac:dyDescent="0.25">
      <c r="C3" s="306"/>
    </row>
    <row r="4" spans="2:8" x14ac:dyDescent="0.25">
      <c r="B4" s="308" t="s">
        <v>0</v>
      </c>
      <c r="C4" s="308" t="s">
        <v>1</v>
      </c>
      <c r="D4" s="309" t="s">
        <v>2</v>
      </c>
      <c r="E4" s="308" t="s">
        <v>3</v>
      </c>
      <c r="F4" s="305" t="s">
        <v>451</v>
      </c>
      <c r="G4" s="305" t="s">
        <v>452</v>
      </c>
      <c r="H4" s="310">
        <v>1.3120000000000001</v>
      </c>
    </row>
    <row r="5" spans="2:8" x14ac:dyDescent="0.25">
      <c r="B5" s="154" t="s">
        <v>5</v>
      </c>
      <c r="C5" s="154" t="s">
        <v>55</v>
      </c>
      <c r="D5" s="7">
        <v>0.53528465652785384</v>
      </c>
      <c r="E5" s="8">
        <f t="shared" ref="E5:E24" si="0">(D5*100)/$D$26</f>
        <v>40.799135406086435</v>
      </c>
      <c r="F5" s="9">
        <v>6000</v>
      </c>
      <c r="G5" s="25">
        <f t="shared" ref="G5:G24" si="1">F5*D5</f>
        <v>3211.7079391671232</v>
      </c>
      <c r="H5" s="7">
        <f t="shared" ref="H5:H24" si="2">$H$4*E5%</f>
        <v>0.53528465652785406</v>
      </c>
    </row>
    <row r="6" spans="2:8" x14ac:dyDescent="0.25">
      <c r="B6" s="154" t="s">
        <v>4</v>
      </c>
      <c r="C6" s="154" t="s">
        <v>53</v>
      </c>
      <c r="D6" s="7">
        <v>0.28691863734443535</v>
      </c>
      <c r="E6" s="8">
        <f t="shared" si="0"/>
        <v>21.868798578081968</v>
      </c>
      <c r="F6" s="9">
        <v>7</v>
      </c>
      <c r="G6" s="25">
        <f t="shared" si="1"/>
        <v>2.0084304614110473</v>
      </c>
      <c r="H6" s="7">
        <f t="shared" si="2"/>
        <v>0.28691863734443546</v>
      </c>
    </row>
    <row r="7" spans="2:8" x14ac:dyDescent="0.25">
      <c r="B7" s="6" t="s">
        <v>453</v>
      </c>
      <c r="C7" s="6" t="s">
        <v>454</v>
      </c>
      <c r="D7" s="7">
        <v>0.11807941030095156</v>
      </c>
      <c r="E7" s="8">
        <f t="shared" si="0"/>
        <v>8.9999550534261896</v>
      </c>
      <c r="F7" s="9">
        <v>10333</v>
      </c>
      <c r="G7" s="25">
        <f t="shared" si="1"/>
        <v>1220.1145466397325</v>
      </c>
      <c r="H7" s="7">
        <f t="shared" si="2"/>
        <v>0.11807941030095161</v>
      </c>
    </row>
    <row r="8" spans="2:8" x14ac:dyDescent="0.25">
      <c r="B8" s="30" t="s">
        <v>8</v>
      </c>
      <c r="C8" s="30" t="s">
        <v>56</v>
      </c>
      <c r="D8" s="7">
        <v>9.4461998210797746E-2</v>
      </c>
      <c r="E8" s="8">
        <f t="shared" si="0"/>
        <v>7.1998474246034894</v>
      </c>
      <c r="F8" s="9">
        <v>1500</v>
      </c>
      <c r="G8" s="25">
        <f t="shared" si="1"/>
        <v>141.69299731619662</v>
      </c>
      <c r="H8" s="7">
        <f t="shared" si="2"/>
        <v>9.4461998210797787E-2</v>
      </c>
    </row>
    <row r="9" spans="2:8" x14ac:dyDescent="0.25">
      <c r="B9" s="231" t="s">
        <v>7</v>
      </c>
      <c r="C9" s="231" t="s">
        <v>58</v>
      </c>
      <c r="D9" s="7">
        <v>9.1834954797030036E-2</v>
      </c>
      <c r="E9" s="8">
        <f t="shared" si="0"/>
        <v>6.9996154570907061</v>
      </c>
      <c r="F9" s="9">
        <v>6648</v>
      </c>
      <c r="G9" s="25">
        <f t="shared" si="1"/>
        <v>610.51877949065567</v>
      </c>
      <c r="H9" s="7">
        <f t="shared" si="2"/>
        <v>9.1834954797030063E-2</v>
      </c>
    </row>
    <row r="10" spans="2:8" x14ac:dyDescent="0.25">
      <c r="B10" s="231" t="s">
        <v>9</v>
      </c>
      <c r="C10" s="231" t="s">
        <v>10</v>
      </c>
      <c r="D10" s="7">
        <v>6.55963962835929E-2</v>
      </c>
      <c r="E10" s="8">
        <f t="shared" si="0"/>
        <v>4.9997253264933628</v>
      </c>
      <c r="F10" s="9">
        <v>5761</v>
      </c>
      <c r="G10" s="25">
        <f t="shared" si="1"/>
        <v>377.90083898977872</v>
      </c>
      <c r="H10" s="7">
        <f t="shared" si="2"/>
        <v>6.5596396283592928E-2</v>
      </c>
    </row>
    <row r="11" spans="2:8" x14ac:dyDescent="0.25">
      <c r="B11" s="231" t="s">
        <v>11</v>
      </c>
      <c r="C11" s="231" t="s">
        <v>12</v>
      </c>
      <c r="D11" s="7">
        <v>4.5917477398515018E-2</v>
      </c>
      <c r="E11" s="8">
        <f t="shared" si="0"/>
        <v>3.499807728545353</v>
      </c>
      <c r="F11" s="9">
        <v>16262</v>
      </c>
      <c r="G11" s="25">
        <f t="shared" si="1"/>
        <v>746.71001745465117</v>
      </c>
      <c r="H11" s="7">
        <f t="shared" si="2"/>
        <v>4.5917477398515032E-2</v>
      </c>
    </row>
    <row r="12" spans="2:8" x14ac:dyDescent="0.25">
      <c r="B12" s="6" t="s">
        <v>455</v>
      </c>
      <c r="C12" s="6" t="s">
        <v>456</v>
      </c>
      <c r="D12" s="7">
        <v>2.0990108410660787E-2</v>
      </c>
      <c r="E12" s="8">
        <f t="shared" si="0"/>
        <v>1.5998558239832923</v>
      </c>
      <c r="F12" s="33">
        <v>5990</v>
      </c>
      <c r="G12" s="25">
        <f t="shared" si="1"/>
        <v>125.73074937985811</v>
      </c>
      <c r="H12" s="7">
        <f t="shared" si="2"/>
        <v>2.0990108410660797E-2</v>
      </c>
    </row>
    <row r="13" spans="2:8" x14ac:dyDescent="0.25">
      <c r="B13" s="6" t="s">
        <v>21</v>
      </c>
      <c r="C13" s="6" t="s">
        <v>22</v>
      </c>
      <c r="D13" s="7">
        <v>1.3118817756662989E-2</v>
      </c>
      <c r="E13" s="8">
        <f t="shared" si="0"/>
        <v>0.99990988998955732</v>
      </c>
      <c r="F13" s="33">
        <v>10412</v>
      </c>
      <c r="G13" s="25">
        <f t="shared" si="1"/>
        <v>136.59313048237505</v>
      </c>
      <c r="H13" s="7">
        <f t="shared" si="2"/>
        <v>1.3118817756662992E-2</v>
      </c>
    </row>
    <row r="14" spans="2:8" x14ac:dyDescent="0.25">
      <c r="B14" s="6" t="s">
        <v>457</v>
      </c>
      <c r="C14" s="6" t="s">
        <v>458</v>
      </c>
      <c r="D14" s="7">
        <v>5.2475271026651968E-3</v>
      </c>
      <c r="E14" s="8">
        <f t="shared" si="0"/>
        <v>0.39996395599582307</v>
      </c>
      <c r="F14" s="33">
        <v>36383</v>
      </c>
      <c r="G14" s="25">
        <f t="shared" si="1"/>
        <v>190.92077857626785</v>
      </c>
      <c r="H14" s="7">
        <f t="shared" si="2"/>
        <v>5.2475271026651994E-3</v>
      </c>
    </row>
    <row r="15" spans="2:8" x14ac:dyDescent="0.25">
      <c r="B15" s="154" t="s">
        <v>25</v>
      </c>
      <c r="C15" s="154" t="s">
        <v>26</v>
      </c>
      <c r="D15" s="7">
        <v>3.9357837770155725E-3</v>
      </c>
      <c r="E15" s="8">
        <f t="shared" si="0"/>
        <v>0.29998351958960162</v>
      </c>
      <c r="F15" s="33">
        <v>59227</v>
      </c>
      <c r="G15" s="25">
        <f t="shared" si="1"/>
        <v>233.10466576130131</v>
      </c>
      <c r="H15" s="7">
        <f t="shared" si="2"/>
        <v>3.9357837770155734E-3</v>
      </c>
    </row>
    <row r="16" spans="2:8" x14ac:dyDescent="0.25">
      <c r="B16" s="6" t="s">
        <v>80</v>
      </c>
      <c r="C16" s="6" t="s">
        <v>81</v>
      </c>
      <c r="D16" s="7">
        <v>3.9356453269988947E-3</v>
      </c>
      <c r="E16" s="8">
        <f t="shared" si="0"/>
        <v>0.29997296699686704</v>
      </c>
      <c r="F16" s="33">
        <v>20650</v>
      </c>
      <c r="G16" s="25">
        <f t="shared" si="1"/>
        <v>81.271076002527181</v>
      </c>
      <c r="H16" s="7">
        <f t="shared" si="2"/>
        <v>3.9356453269988956E-3</v>
      </c>
    </row>
    <row r="17" spans="2:10" x14ac:dyDescent="0.25">
      <c r="B17" s="6" t="s">
        <v>103</v>
      </c>
      <c r="C17" s="6" t="s">
        <v>104</v>
      </c>
      <c r="D17" s="7">
        <v>3.4110126067468305E-3</v>
      </c>
      <c r="E17" s="8">
        <f t="shared" si="0"/>
        <v>0.25998571697765482</v>
      </c>
      <c r="F17" s="9">
        <v>10972</v>
      </c>
      <c r="G17" s="25">
        <f t="shared" si="1"/>
        <v>37.425630321226222</v>
      </c>
      <c r="H17" s="7">
        <f t="shared" si="2"/>
        <v>3.4110126067468318E-3</v>
      </c>
    </row>
    <row r="18" spans="2:10" x14ac:dyDescent="0.25">
      <c r="B18" s="6" t="s">
        <v>15</v>
      </c>
      <c r="C18" s="6" t="s">
        <v>16</v>
      </c>
      <c r="D18" s="7">
        <v>1.3119934477883507E-2</v>
      </c>
      <c r="E18" s="8">
        <f t="shared" si="0"/>
        <v>0.99999500593624313</v>
      </c>
      <c r="F18" s="9">
        <v>29262</v>
      </c>
      <c r="G18" s="25">
        <f t="shared" si="1"/>
        <v>383.91552269182716</v>
      </c>
      <c r="H18" s="7">
        <f t="shared" si="2"/>
        <v>1.3119934477883512E-2</v>
      </c>
    </row>
    <row r="19" spans="2:10" x14ac:dyDescent="0.25">
      <c r="B19" s="311"/>
      <c r="C19" s="6" t="s">
        <v>459</v>
      </c>
      <c r="D19" s="7">
        <v>2.6237635513325984E-3</v>
      </c>
      <c r="E19" s="8">
        <f t="shared" si="0"/>
        <v>0.19998197799791154</v>
      </c>
      <c r="F19" s="33">
        <v>65000</v>
      </c>
      <c r="G19" s="25">
        <f t="shared" si="1"/>
        <v>170.54463083661889</v>
      </c>
      <c r="H19" s="7">
        <f t="shared" si="2"/>
        <v>2.6237635513325997E-3</v>
      </c>
      <c r="J19" s="1" t="s">
        <v>85</v>
      </c>
    </row>
    <row r="20" spans="2:10" ht="16.5" x14ac:dyDescent="0.25">
      <c r="B20" s="70" t="s">
        <v>29</v>
      </c>
      <c r="C20" s="56" t="s">
        <v>30</v>
      </c>
      <c r="D20" s="7">
        <v>2.2301990186327082E-3</v>
      </c>
      <c r="E20" s="8">
        <f t="shared" si="0"/>
        <v>0.16998468129822475</v>
      </c>
      <c r="F20" s="33">
        <v>2550</v>
      </c>
      <c r="G20" s="25">
        <f t="shared" si="1"/>
        <v>5.687007497513406</v>
      </c>
      <c r="H20" s="7">
        <f t="shared" si="2"/>
        <v>2.2301990186327091E-3</v>
      </c>
    </row>
    <row r="21" spans="2:10" x14ac:dyDescent="0.25">
      <c r="B21" s="311"/>
      <c r="C21" s="6" t="s">
        <v>460</v>
      </c>
      <c r="D21" s="7">
        <v>1.6288237256074068E-3</v>
      </c>
      <c r="E21" s="8">
        <f t="shared" si="0"/>
        <v>0.12414814981763775</v>
      </c>
      <c r="F21" s="33">
        <v>28151</v>
      </c>
      <c r="G21" s="25">
        <f t="shared" si="1"/>
        <v>45.853016699574106</v>
      </c>
      <c r="H21" s="7">
        <f t="shared" si="2"/>
        <v>1.6288237256074074E-3</v>
      </c>
    </row>
    <row r="22" spans="2:10" x14ac:dyDescent="0.25">
      <c r="B22" s="154" t="s">
        <v>121</v>
      </c>
      <c r="C22" s="154" t="s">
        <v>122</v>
      </c>
      <c r="D22" s="7">
        <v>1.6288237256074068E-3</v>
      </c>
      <c r="E22" s="8">
        <f t="shared" si="0"/>
        <v>0.12414814981763775</v>
      </c>
      <c r="F22" s="33">
        <v>43120</v>
      </c>
      <c r="G22" s="25">
        <f t="shared" si="1"/>
        <v>70.234879048191374</v>
      </c>
      <c r="H22" s="7">
        <f t="shared" si="2"/>
        <v>1.6288237256074074E-3</v>
      </c>
    </row>
    <row r="23" spans="2:10" ht="16.5" x14ac:dyDescent="0.25">
      <c r="B23" s="312"/>
      <c r="C23" s="56" t="s">
        <v>461</v>
      </c>
      <c r="D23" s="7">
        <v>1.3573531046728387E-3</v>
      </c>
      <c r="E23" s="8">
        <f t="shared" si="0"/>
        <v>0.10345679151469811</v>
      </c>
      <c r="F23" s="9">
        <v>58553.279999999999</v>
      </c>
      <c r="G23" s="25">
        <f t="shared" si="1"/>
        <v>79.47747639677803</v>
      </c>
      <c r="H23" s="7">
        <f t="shared" si="2"/>
        <v>1.3573531046728394E-3</v>
      </c>
    </row>
    <row r="24" spans="2:10" ht="16.5" x14ac:dyDescent="0.3">
      <c r="B24" s="70" t="s">
        <v>33</v>
      </c>
      <c r="C24" s="74" t="s">
        <v>34</v>
      </c>
      <c r="D24" s="7">
        <v>6.7867655233641935E-4</v>
      </c>
      <c r="E24" s="8">
        <f t="shared" si="0"/>
        <v>5.1728395757349055E-2</v>
      </c>
      <c r="F24" s="9">
        <v>26800</v>
      </c>
      <c r="G24" s="25">
        <f t="shared" si="1"/>
        <v>18.188531602616038</v>
      </c>
      <c r="H24" s="7">
        <f t="shared" si="2"/>
        <v>6.7867655233641968E-4</v>
      </c>
    </row>
    <row r="25" spans="2:10" hidden="1" x14ac:dyDescent="0.25">
      <c r="B25" s="6"/>
      <c r="C25" s="6"/>
      <c r="D25" s="7"/>
      <c r="E25" s="6"/>
      <c r="F25" s="9"/>
      <c r="G25" s="25"/>
      <c r="H25" s="25"/>
    </row>
    <row r="26" spans="2:10" x14ac:dyDescent="0.25">
      <c r="B26" s="1928" t="s">
        <v>37</v>
      </c>
      <c r="C26" s="1928"/>
      <c r="D26" s="313">
        <f>SUM(D5:D24)</f>
        <v>1.3119999999999996</v>
      </c>
      <c r="E26" s="314">
        <f>SUM(E5:E24)</f>
        <v>100.00000000000001</v>
      </c>
      <c r="F26" s="315"/>
      <c r="G26" s="316">
        <f>SUM(G5:G24)</f>
        <v>7889.6006448162261</v>
      </c>
      <c r="H26" s="313">
        <f>SUM(H5:H24)</f>
        <v>1.3120000000000003</v>
      </c>
      <c r="I26" s="268" t="s">
        <v>85</v>
      </c>
    </row>
    <row r="27" spans="2:10" x14ac:dyDescent="0.25">
      <c r="G27" s="317"/>
    </row>
    <row r="28" spans="2:10" x14ac:dyDescent="0.25">
      <c r="G28" s="153"/>
    </row>
    <row r="29" spans="2:10" x14ac:dyDescent="0.25">
      <c r="B29" s="20" t="s">
        <v>462</v>
      </c>
      <c r="C29" s="21" t="s">
        <v>167</v>
      </c>
      <c r="I29" s="268" t="s">
        <v>85</v>
      </c>
    </row>
    <row r="30" spans="2:10" x14ac:dyDescent="0.25">
      <c r="B30" s="20" t="s">
        <v>463</v>
      </c>
      <c r="C30" s="21" t="s">
        <v>464</v>
      </c>
      <c r="G30" s="318"/>
    </row>
    <row r="31" spans="2:10" x14ac:dyDescent="0.25">
      <c r="B31" s="20" t="s">
        <v>40</v>
      </c>
      <c r="C31" s="21">
        <v>1150</v>
      </c>
    </row>
    <row r="32" spans="2:10" x14ac:dyDescent="0.25">
      <c r="B32" s="20" t="s">
        <v>41</v>
      </c>
      <c r="C32" s="21">
        <v>0</v>
      </c>
    </row>
    <row r="33" spans="2:7" x14ac:dyDescent="0.25">
      <c r="B33" s="20" t="s">
        <v>42</v>
      </c>
      <c r="C33" s="21">
        <v>9</v>
      </c>
    </row>
    <row r="34" spans="2:7" x14ac:dyDescent="0.25">
      <c r="B34" s="20" t="s">
        <v>43</v>
      </c>
      <c r="C34" s="21">
        <v>2</v>
      </c>
    </row>
    <row r="35" spans="2:7" x14ac:dyDescent="0.25">
      <c r="B35" s="20" t="s">
        <v>44</v>
      </c>
      <c r="C35" s="21">
        <v>1</v>
      </c>
      <c r="F35" s="1" t="s">
        <v>85</v>
      </c>
    </row>
    <row r="36" spans="2:7" x14ac:dyDescent="0.25">
      <c r="B36" s="20" t="s">
        <v>45</v>
      </c>
      <c r="C36" s="21">
        <v>2.1</v>
      </c>
    </row>
    <row r="37" spans="2:7" x14ac:dyDescent="0.25">
      <c r="B37" s="20" t="s">
        <v>465</v>
      </c>
      <c r="C37" s="21">
        <f>SUM(C36,C35,C34,C33,C32)</f>
        <v>14.1</v>
      </c>
    </row>
    <row r="40" spans="2:7" ht="25.5" x14ac:dyDescent="0.35">
      <c r="B40" s="1920" t="s">
        <v>47</v>
      </c>
      <c r="C40" s="1920"/>
      <c r="D40" s="1920"/>
      <c r="E40" s="1920"/>
      <c r="F40" s="1920"/>
    </row>
    <row r="41" spans="2:7" x14ac:dyDescent="0.25">
      <c r="B41" s="22" t="s">
        <v>0</v>
      </c>
      <c r="C41" s="22" t="s">
        <v>1</v>
      </c>
      <c r="D41" s="102" t="s">
        <v>2</v>
      </c>
      <c r="E41" s="23" t="s">
        <v>466</v>
      </c>
      <c r="F41" s="23" t="s">
        <v>452</v>
      </c>
    </row>
    <row r="42" spans="2:7" x14ac:dyDescent="0.25">
      <c r="B42" s="165" t="s">
        <v>128</v>
      </c>
      <c r="C42" s="165" t="s">
        <v>129</v>
      </c>
      <c r="D42" s="103">
        <v>0.14000000000000001</v>
      </c>
      <c r="E42" s="24">
        <v>1125</v>
      </c>
      <c r="F42" s="5">
        <f>E42*D42</f>
        <v>157.50000000000003</v>
      </c>
    </row>
    <row r="43" spans="2:7" x14ac:dyDescent="0.25">
      <c r="B43" s="4" t="s">
        <v>314</v>
      </c>
      <c r="C43" s="4" t="s">
        <v>315</v>
      </c>
      <c r="D43" s="103">
        <v>0.14000000000000001</v>
      </c>
      <c r="E43" s="24">
        <v>861</v>
      </c>
      <c r="F43" s="319">
        <f>E43*D43</f>
        <v>120.54</v>
      </c>
    </row>
    <row r="44" spans="2:7" x14ac:dyDescent="0.25">
      <c r="B44" s="4" t="s">
        <v>467</v>
      </c>
      <c r="C44" s="4" t="s">
        <v>468</v>
      </c>
      <c r="D44" s="103">
        <v>1</v>
      </c>
      <c r="E44" s="24">
        <v>95</v>
      </c>
      <c r="F44" s="319">
        <f>E44*D44</f>
        <v>95</v>
      </c>
    </row>
    <row r="45" spans="2:7" x14ac:dyDescent="0.25">
      <c r="B45" s="320" t="s">
        <v>467</v>
      </c>
      <c r="C45" s="320" t="s">
        <v>469</v>
      </c>
      <c r="D45" s="321">
        <v>2.88</v>
      </c>
      <c r="E45" s="322">
        <v>246</v>
      </c>
      <c r="F45" s="323">
        <f>E45*D45</f>
        <v>708.48</v>
      </c>
    </row>
    <row r="46" spans="2:7" x14ac:dyDescent="0.25">
      <c r="B46" s="324"/>
      <c r="C46" s="324" t="s">
        <v>37</v>
      </c>
      <c r="D46" s="325"/>
      <c r="E46" s="326"/>
      <c r="F46" s="327">
        <f>SUM(F42:F45)</f>
        <v>1081.52</v>
      </c>
    </row>
    <row r="47" spans="2:7" x14ac:dyDescent="0.25">
      <c r="G47" s="153"/>
    </row>
    <row r="48" spans="2:7" x14ac:dyDescent="0.25">
      <c r="B48" s="1825" t="s">
        <v>470</v>
      </c>
      <c r="C48" s="1825"/>
      <c r="D48" s="1755">
        <f>F46+G26</f>
        <v>8971.1206448162266</v>
      </c>
      <c r="E48" s="1755"/>
      <c r="F48" s="1755"/>
      <c r="G48" s="28"/>
    </row>
    <row r="49" spans="2:7" x14ac:dyDescent="0.25">
      <c r="B49" s="1830" t="s">
        <v>48</v>
      </c>
      <c r="C49" s="1831"/>
      <c r="D49" s="1755">
        <f>+(921.6/1000)*1150</f>
        <v>1059.8399999999999</v>
      </c>
      <c r="E49" s="1755"/>
      <c r="F49" s="1755"/>
    </row>
    <row r="50" spans="2:7" x14ac:dyDescent="0.25">
      <c r="B50" s="1830" t="s">
        <v>471</v>
      </c>
      <c r="C50" s="1831"/>
      <c r="D50" s="1929">
        <f>+D48+D49</f>
        <v>10030.960644816227</v>
      </c>
      <c r="E50" s="1930"/>
      <c r="F50" s="1931"/>
    </row>
    <row r="51" spans="2:7" ht="14.45" customHeight="1" x14ac:dyDescent="0.25">
      <c r="B51" s="1830" t="s">
        <v>472</v>
      </c>
      <c r="C51" s="1831"/>
      <c r="D51" s="1929">
        <f>D50*G51</f>
        <v>501.54803224081138</v>
      </c>
      <c r="E51" s="1930"/>
      <c r="F51" s="1931"/>
      <c r="G51" s="331">
        <v>0.05</v>
      </c>
    </row>
    <row r="52" spans="2:7" ht="14.45" customHeight="1" x14ac:dyDescent="0.25">
      <c r="B52" s="1830" t="s">
        <v>473</v>
      </c>
      <c r="C52" s="1831"/>
      <c r="D52" s="1929">
        <f>+D51+D50</f>
        <v>10532.508677057038</v>
      </c>
      <c r="E52" s="1930"/>
      <c r="F52" s="1931"/>
      <c r="G52" s="331"/>
    </row>
    <row r="53" spans="2:7" x14ac:dyDescent="0.25">
      <c r="B53" s="1825" t="s">
        <v>49</v>
      </c>
      <c r="C53" s="1825"/>
      <c r="D53" s="1755">
        <f>D52/G54</f>
        <v>17554.181128428398</v>
      </c>
      <c r="E53" s="1755"/>
      <c r="F53" s="1755"/>
      <c r="G53" s="29">
        <v>0.4</v>
      </c>
    </row>
    <row r="54" spans="2:7" x14ac:dyDescent="0.25">
      <c r="E54" s="115"/>
      <c r="F54" s="332"/>
      <c r="G54" s="333">
        <f>1-G53</f>
        <v>0.6</v>
      </c>
    </row>
    <row r="56" spans="2:7" x14ac:dyDescent="0.25">
      <c r="F56" s="153"/>
    </row>
  </sheetData>
  <mergeCells count="15">
    <mergeCell ref="B53:C53"/>
    <mergeCell ref="D53:F53"/>
    <mergeCell ref="B50:C50"/>
    <mergeCell ref="D50:F50"/>
    <mergeCell ref="B51:C51"/>
    <mergeCell ref="D51:F51"/>
    <mergeCell ref="B52:C52"/>
    <mergeCell ref="D52:F52"/>
    <mergeCell ref="B49:C49"/>
    <mergeCell ref="D49:F49"/>
    <mergeCell ref="B2:H2"/>
    <mergeCell ref="B26:C26"/>
    <mergeCell ref="B40:F40"/>
    <mergeCell ref="B48:C48"/>
    <mergeCell ref="D48:F48"/>
  </mergeCells>
  <pageMargins left="0.7" right="0.7" top="0.75" bottom="0.75" header="0.3" footer="0.3"/>
  <pageSetup scale="53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9318-41E0-4FCD-A8F3-AB9D42E92618}">
  <sheetPr codeName="Hoja95"/>
  <dimension ref="B2:J57"/>
  <sheetViews>
    <sheetView view="pageBreakPreview" zoomScale="70" zoomScaleNormal="100" zoomScaleSheetLayoutView="70" workbookViewId="0">
      <selection sqref="A1:XFD1048576"/>
    </sheetView>
  </sheetViews>
  <sheetFormatPr baseColWidth="10" defaultColWidth="11.5703125" defaultRowHeight="13.5" x14ac:dyDescent="0.25"/>
  <cols>
    <col min="1" max="1" width="11.5703125" style="1"/>
    <col min="2" max="2" width="11.28515625" style="1" customWidth="1"/>
    <col min="3" max="3" width="56.28515625" style="1" customWidth="1"/>
    <col min="4" max="4" width="11.140625" style="307" bestFit="1" customWidth="1"/>
    <col min="5" max="5" width="11.5703125" style="1"/>
    <col min="6" max="6" width="16.28515625" style="1" bestFit="1" customWidth="1"/>
    <col min="7" max="7" width="13.7109375" style="1" bestFit="1" customWidth="1"/>
    <col min="8" max="8" width="13.7109375" style="1" customWidth="1"/>
    <col min="9" max="9" width="12.5703125" style="268" bestFit="1" customWidth="1"/>
    <col min="10" max="16384" width="11.5703125" style="1"/>
  </cols>
  <sheetData>
    <row r="2" spans="2:8" ht="25.5" x14ac:dyDescent="0.35">
      <c r="B2" s="1751" t="s">
        <v>474</v>
      </c>
      <c r="C2" s="1751"/>
      <c r="D2" s="1751"/>
      <c r="E2" s="1751"/>
      <c r="F2" s="1751"/>
      <c r="G2" s="1751"/>
      <c r="H2" s="1751"/>
    </row>
    <row r="3" spans="2:8" ht="18" x14ac:dyDescent="0.25">
      <c r="C3" s="306"/>
    </row>
    <row r="4" spans="2:8" x14ac:dyDescent="0.25">
      <c r="B4" s="308" t="s">
        <v>0</v>
      </c>
      <c r="C4" s="308" t="s">
        <v>1</v>
      </c>
      <c r="D4" s="309" t="s">
        <v>2</v>
      </c>
      <c r="E4" s="308" t="s">
        <v>3</v>
      </c>
      <c r="F4" s="305" t="s">
        <v>451</v>
      </c>
      <c r="G4" s="305" t="s">
        <v>452</v>
      </c>
      <c r="H4" s="310">
        <v>0.49099999999999999</v>
      </c>
    </row>
    <row r="5" spans="2:8" x14ac:dyDescent="0.25">
      <c r="B5" s="154" t="s">
        <v>5</v>
      </c>
      <c r="C5" s="154" t="s">
        <v>55</v>
      </c>
      <c r="D5" s="7">
        <v>0.20073174619794526</v>
      </c>
      <c r="E5" s="8">
        <f t="shared" ref="E5:E24" si="0">(D5*100)/$D$26</f>
        <v>40.799135406086435</v>
      </c>
      <c r="F5" s="9">
        <v>6000</v>
      </c>
      <c r="G5" s="25">
        <f t="shared" ref="G5:G24" si="1">F5*D5</f>
        <v>1204.3904771876716</v>
      </c>
      <c r="H5" s="7">
        <f t="shared" ref="H5:H24" si="2">$H$4*E5%</f>
        <v>0.2003237548438844</v>
      </c>
    </row>
    <row r="6" spans="2:8" x14ac:dyDescent="0.25">
      <c r="B6" s="154" t="s">
        <v>4</v>
      </c>
      <c r="C6" s="154" t="s">
        <v>53</v>
      </c>
      <c r="D6" s="7">
        <v>0.10759448900416328</v>
      </c>
      <c r="E6" s="8">
        <f t="shared" si="0"/>
        <v>21.868798578081972</v>
      </c>
      <c r="F6" s="9">
        <v>7</v>
      </c>
      <c r="G6" s="25">
        <f t="shared" si="1"/>
        <v>0.75316142302914302</v>
      </c>
      <c r="H6" s="7">
        <f t="shared" si="2"/>
        <v>0.10737580101838248</v>
      </c>
    </row>
    <row r="7" spans="2:8" x14ac:dyDescent="0.25">
      <c r="B7" s="6" t="s">
        <v>453</v>
      </c>
      <c r="C7" s="6" t="s">
        <v>454</v>
      </c>
      <c r="D7" s="7">
        <v>4.4279778862856854E-2</v>
      </c>
      <c r="E7" s="8">
        <f t="shared" si="0"/>
        <v>8.9999550534261896</v>
      </c>
      <c r="F7" s="9">
        <v>10333</v>
      </c>
      <c r="G7" s="25">
        <f t="shared" si="1"/>
        <v>457.5429549898999</v>
      </c>
      <c r="H7" s="7">
        <f t="shared" si="2"/>
        <v>4.418977931232259E-2</v>
      </c>
    </row>
    <row r="8" spans="2:8" x14ac:dyDescent="0.25">
      <c r="B8" s="30" t="s">
        <v>8</v>
      </c>
      <c r="C8" s="30" t="s">
        <v>56</v>
      </c>
      <c r="D8" s="7">
        <v>3.5423249329049167E-2</v>
      </c>
      <c r="E8" s="8">
        <f t="shared" si="0"/>
        <v>7.1998474246034903</v>
      </c>
      <c r="F8" s="9">
        <v>1500</v>
      </c>
      <c r="G8" s="25">
        <f t="shared" si="1"/>
        <v>53.134873993573748</v>
      </c>
      <c r="H8" s="7">
        <f t="shared" si="2"/>
        <v>3.5351250854803139E-2</v>
      </c>
    </row>
    <row r="9" spans="2:8" x14ac:dyDescent="0.25">
      <c r="B9" s="231" t="s">
        <v>7</v>
      </c>
      <c r="C9" s="231" t="s">
        <v>58</v>
      </c>
      <c r="D9" s="7">
        <v>3.4438108048886272E-2</v>
      </c>
      <c r="E9" s="8">
        <f t="shared" si="0"/>
        <v>6.999615457090707</v>
      </c>
      <c r="F9" s="9">
        <v>6648</v>
      </c>
      <c r="G9" s="25">
        <f t="shared" si="1"/>
        <v>228.94454230899595</v>
      </c>
      <c r="H9" s="7">
        <f t="shared" si="2"/>
        <v>3.4368111894315372E-2</v>
      </c>
    </row>
    <row r="10" spans="2:8" x14ac:dyDescent="0.25">
      <c r="B10" s="231" t="s">
        <v>9</v>
      </c>
      <c r="C10" s="231" t="s">
        <v>10</v>
      </c>
      <c r="D10" s="7">
        <v>2.4598648606347345E-2</v>
      </c>
      <c r="E10" s="8">
        <f t="shared" si="0"/>
        <v>4.9997253264933637</v>
      </c>
      <c r="F10" s="9">
        <v>5761</v>
      </c>
      <c r="G10" s="25">
        <f t="shared" si="1"/>
        <v>141.71281462116704</v>
      </c>
      <c r="H10" s="7">
        <f t="shared" si="2"/>
        <v>2.4548651353082415E-2</v>
      </c>
    </row>
    <row r="11" spans="2:8" x14ac:dyDescent="0.25">
      <c r="B11" s="231" t="s">
        <v>11</v>
      </c>
      <c r="C11" s="231" t="s">
        <v>12</v>
      </c>
      <c r="D11" s="7">
        <v>1.7219054024443136E-2</v>
      </c>
      <c r="E11" s="8">
        <f t="shared" si="0"/>
        <v>3.4998077285453535</v>
      </c>
      <c r="F11" s="9">
        <v>16262</v>
      </c>
      <c r="G11" s="25">
        <f t="shared" si="1"/>
        <v>280.01625654549429</v>
      </c>
      <c r="H11" s="7">
        <f t="shared" si="2"/>
        <v>1.7184055947157686E-2</v>
      </c>
    </row>
    <row r="12" spans="2:8" x14ac:dyDescent="0.25">
      <c r="B12" s="6" t="s">
        <v>455</v>
      </c>
      <c r="C12" s="6" t="s">
        <v>456</v>
      </c>
      <c r="D12" s="7">
        <v>7.8712906539977982E-3</v>
      </c>
      <c r="E12" s="8">
        <f t="shared" si="0"/>
        <v>1.5998558239832925</v>
      </c>
      <c r="F12" s="33">
        <v>5990</v>
      </c>
      <c r="G12" s="25">
        <f t="shared" si="1"/>
        <v>47.149031017446809</v>
      </c>
      <c r="H12" s="7">
        <f t="shared" si="2"/>
        <v>7.8552920957579656E-3</v>
      </c>
    </row>
    <row r="13" spans="2:8" x14ac:dyDescent="0.25">
      <c r="B13" s="6" t="s">
        <v>21</v>
      </c>
      <c r="C13" s="6" t="s">
        <v>22</v>
      </c>
      <c r="D13" s="7">
        <v>4.9195566587486219E-3</v>
      </c>
      <c r="E13" s="8">
        <f t="shared" si="0"/>
        <v>0.99990988998955743</v>
      </c>
      <c r="F13" s="33">
        <v>10412</v>
      </c>
      <c r="G13" s="25">
        <f t="shared" si="1"/>
        <v>51.222423930890649</v>
      </c>
      <c r="H13" s="7">
        <f t="shared" si="2"/>
        <v>4.9095575598487266E-3</v>
      </c>
    </row>
    <row r="14" spans="2:8" x14ac:dyDescent="0.25">
      <c r="B14" s="6" t="s">
        <v>457</v>
      </c>
      <c r="C14" s="6" t="s">
        <v>458</v>
      </c>
      <c r="D14" s="7">
        <v>1.9678226634994495E-3</v>
      </c>
      <c r="E14" s="8">
        <f t="shared" si="0"/>
        <v>0.39996395599582313</v>
      </c>
      <c r="F14" s="33">
        <v>36383</v>
      </c>
      <c r="G14" s="25">
        <f t="shared" si="1"/>
        <v>71.595291966100476</v>
      </c>
      <c r="H14" s="7">
        <f t="shared" si="2"/>
        <v>1.9638230239394914E-3</v>
      </c>
    </row>
    <row r="15" spans="2:8" x14ac:dyDescent="0.25">
      <c r="B15" s="154" t="s">
        <v>25</v>
      </c>
      <c r="C15" s="154" t="s">
        <v>26</v>
      </c>
      <c r="D15" s="7">
        <v>1.47591891638084E-3</v>
      </c>
      <c r="E15" s="8">
        <f t="shared" si="0"/>
        <v>0.29998351958960168</v>
      </c>
      <c r="F15" s="33">
        <v>59227</v>
      </c>
      <c r="G15" s="25">
        <f t="shared" si="1"/>
        <v>87.414249660488011</v>
      </c>
      <c r="H15" s="7">
        <f t="shared" si="2"/>
        <v>1.472919081184944E-3</v>
      </c>
    </row>
    <row r="16" spans="2:8" x14ac:dyDescent="0.25">
      <c r="B16" s="6" t="s">
        <v>80</v>
      </c>
      <c r="C16" s="6" t="s">
        <v>81</v>
      </c>
      <c r="D16" s="7">
        <v>1.4758669976245857E-3</v>
      </c>
      <c r="E16" s="8">
        <f t="shared" si="0"/>
        <v>0.2999729669968671</v>
      </c>
      <c r="F16" s="33">
        <v>20650</v>
      </c>
      <c r="G16" s="25">
        <f t="shared" si="1"/>
        <v>30.476653500947695</v>
      </c>
      <c r="H16" s="7">
        <f t="shared" si="2"/>
        <v>1.4728672679546174E-3</v>
      </c>
    </row>
    <row r="17" spans="2:10" x14ac:dyDescent="0.25">
      <c r="B17" s="6" t="s">
        <v>103</v>
      </c>
      <c r="C17" s="6" t="s">
        <v>104</v>
      </c>
      <c r="D17" s="7">
        <v>1.2791297275300617E-3</v>
      </c>
      <c r="E17" s="8">
        <f t="shared" si="0"/>
        <v>0.25998571697765488</v>
      </c>
      <c r="F17" s="9">
        <v>10972</v>
      </c>
      <c r="G17" s="25">
        <f t="shared" si="1"/>
        <v>14.034611370459837</v>
      </c>
      <c r="H17" s="7">
        <f t="shared" si="2"/>
        <v>1.2765298703602856E-3</v>
      </c>
    </row>
    <row r="18" spans="2:10" x14ac:dyDescent="0.25">
      <c r="B18" s="6" t="s">
        <v>15</v>
      </c>
      <c r="C18" s="6" t="s">
        <v>16</v>
      </c>
      <c r="D18" s="7">
        <v>4.9199754292063164E-3</v>
      </c>
      <c r="E18" s="8">
        <f t="shared" si="0"/>
        <v>0.99999500593624324</v>
      </c>
      <c r="F18" s="9">
        <v>29262</v>
      </c>
      <c r="G18" s="25">
        <f t="shared" si="1"/>
        <v>143.96832100943524</v>
      </c>
      <c r="H18" s="7">
        <f t="shared" si="2"/>
        <v>4.9099754791469543E-3</v>
      </c>
    </row>
    <row r="19" spans="2:10" x14ac:dyDescent="0.25">
      <c r="B19" s="311"/>
      <c r="C19" s="6" t="s">
        <v>459</v>
      </c>
      <c r="D19" s="7">
        <v>9.8391133174972477E-4</v>
      </c>
      <c r="E19" s="8">
        <f t="shared" si="0"/>
        <v>0.19998197799791156</v>
      </c>
      <c r="F19" s="33">
        <v>65000</v>
      </c>
      <c r="G19" s="25">
        <f t="shared" si="1"/>
        <v>63.95423656373211</v>
      </c>
      <c r="H19" s="7">
        <f t="shared" si="2"/>
        <v>9.819115119697457E-4</v>
      </c>
      <c r="J19" s="1" t="s">
        <v>85</v>
      </c>
    </row>
    <row r="20" spans="2:10" ht="16.5" x14ac:dyDescent="0.25">
      <c r="B20" s="70" t="s">
        <v>29</v>
      </c>
      <c r="C20" s="56" t="s">
        <v>30</v>
      </c>
      <c r="D20" s="7">
        <v>8.3632463198726585E-4</v>
      </c>
      <c r="E20" s="8">
        <f t="shared" si="0"/>
        <v>0.16998468129822478</v>
      </c>
      <c r="F20" s="33">
        <v>2550</v>
      </c>
      <c r="G20" s="25">
        <f t="shared" si="1"/>
        <v>2.1326278115675281</v>
      </c>
      <c r="H20" s="7">
        <f t="shared" si="2"/>
        <v>8.3462478517428362E-4</v>
      </c>
    </row>
    <row r="21" spans="2:10" x14ac:dyDescent="0.25">
      <c r="B21" s="311"/>
      <c r="C21" s="6" t="s">
        <v>460</v>
      </c>
      <c r="D21" s="7">
        <v>6.1080889710277771E-4</v>
      </c>
      <c r="E21" s="8">
        <f t="shared" si="0"/>
        <v>0.12414814981763776</v>
      </c>
      <c r="F21" s="33">
        <v>28151</v>
      </c>
      <c r="G21" s="25">
        <f t="shared" si="1"/>
        <v>17.194881262340296</v>
      </c>
      <c r="H21" s="7">
        <f t="shared" si="2"/>
        <v>6.0956741560460139E-4</v>
      </c>
    </row>
    <row r="22" spans="2:10" x14ac:dyDescent="0.25">
      <c r="B22" s="154" t="s">
        <v>121</v>
      </c>
      <c r="C22" s="154" t="s">
        <v>122</v>
      </c>
      <c r="D22" s="7">
        <v>6.1080889710277771E-4</v>
      </c>
      <c r="E22" s="8">
        <f t="shared" si="0"/>
        <v>0.12414814981763776</v>
      </c>
      <c r="F22" s="33">
        <v>43120</v>
      </c>
      <c r="G22" s="25">
        <f t="shared" si="1"/>
        <v>26.338079643071776</v>
      </c>
      <c r="H22" s="7">
        <f t="shared" si="2"/>
        <v>6.0956741560460139E-4</v>
      </c>
    </row>
    <row r="23" spans="2:10" ht="16.5" x14ac:dyDescent="0.25">
      <c r="B23" s="312"/>
      <c r="C23" s="56" t="s">
        <v>461</v>
      </c>
      <c r="D23" s="7">
        <v>5.0900741425231465E-4</v>
      </c>
      <c r="E23" s="8">
        <f t="shared" si="0"/>
        <v>0.10345679151469812</v>
      </c>
      <c r="F23" s="9">
        <v>58553.279999999999</v>
      </c>
      <c r="G23" s="25">
        <f t="shared" si="1"/>
        <v>29.804053648791768</v>
      </c>
      <c r="H23" s="7">
        <f t="shared" si="2"/>
        <v>5.0797284633716786E-4</v>
      </c>
    </row>
    <row r="24" spans="2:10" ht="16.5" x14ac:dyDescent="0.3">
      <c r="B24" s="70" t="s">
        <v>33</v>
      </c>
      <c r="C24" s="74" t="s">
        <v>34</v>
      </c>
      <c r="D24" s="7">
        <v>2.5450370712615732E-4</v>
      </c>
      <c r="E24" s="8">
        <f t="shared" si="0"/>
        <v>5.1728395757349062E-2</v>
      </c>
      <c r="F24" s="9">
        <v>26800</v>
      </c>
      <c r="G24" s="25">
        <f t="shared" si="1"/>
        <v>6.8206993509810161</v>
      </c>
      <c r="H24" s="7">
        <f t="shared" si="2"/>
        <v>2.5398642316858393E-4</v>
      </c>
    </row>
    <row r="25" spans="2:10" hidden="1" x14ac:dyDescent="0.25">
      <c r="B25" s="6"/>
      <c r="C25" s="6"/>
      <c r="D25" s="7"/>
      <c r="E25" s="6"/>
      <c r="F25" s="9"/>
      <c r="G25" s="25"/>
      <c r="H25" s="25"/>
    </row>
    <row r="26" spans="2:10" x14ac:dyDescent="0.25">
      <c r="B26" s="1928" t="s">
        <v>37</v>
      </c>
      <c r="C26" s="1928"/>
      <c r="D26" s="313">
        <f>SUM(D5:D24)</f>
        <v>0.49199999999999994</v>
      </c>
      <c r="E26" s="314">
        <f>SUM(E5:E24)</f>
        <v>100.00000000000001</v>
      </c>
      <c r="F26" s="315"/>
      <c r="G26" s="316">
        <f>SUM(G5:G24)</f>
        <v>2958.6002418060862</v>
      </c>
      <c r="H26" s="313">
        <f>SUM(H5:H24)</f>
        <v>0.49100000000000005</v>
      </c>
      <c r="I26" s="268" t="s">
        <v>85</v>
      </c>
    </row>
    <row r="27" spans="2:10" x14ac:dyDescent="0.25">
      <c r="G27" s="317"/>
    </row>
    <row r="28" spans="2:10" x14ac:dyDescent="0.25">
      <c r="G28" s="153"/>
    </row>
    <row r="29" spans="2:10" x14ac:dyDescent="0.25">
      <c r="B29" s="20" t="s">
        <v>462</v>
      </c>
      <c r="C29" s="21" t="s">
        <v>475</v>
      </c>
      <c r="I29" s="268" t="s">
        <v>85</v>
      </c>
    </row>
    <row r="30" spans="2:10" x14ac:dyDescent="0.25">
      <c r="B30" s="20" t="s">
        <v>463</v>
      </c>
      <c r="C30" s="21" t="s">
        <v>464</v>
      </c>
      <c r="G30" s="318"/>
    </row>
    <row r="31" spans="2:10" x14ac:dyDescent="0.25">
      <c r="B31" s="20" t="s">
        <v>40</v>
      </c>
      <c r="C31" s="21">
        <v>430</v>
      </c>
    </row>
    <row r="32" spans="2:10" x14ac:dyDescent="0.25">
      <c r="B32" s="20" t="s">
        <v>41</v>
      </c>
      <c r="C32" s="21">
        <v>0</v>
      </c>
    </row>
    <row r="33" spans="2:7" x14ac:dyDescent="0.25">
      <c r="B33" s="20" t="s">
        <v>42</v>
      </c>
      <c r="C33" s="21">
        <v>9</v>
      </c>
    </row>
    <row r="34" spans="2:7" x14ac:dyDescent="0.25">
      <c r="B34" s="20" t="s">
        <v>43</v>
      </c>
      <c r="C34" s="21">
        <v>2</v>
      </c>
    </row>
    <row r="35" spans="2:7" x14ac:dyDescent="0.25">
      <c r="B35" s="20" t="s">
        <v>44</v>
      </c>
      <c r="C35" s="21">
        <v>1</v>
      </c>
      <c r="F35" s="1" t="s">
        <v>85</v>
      </c>
    </row>
    <row r="36" spans="2:7" x14ac:dyDescent="0.25">
      <c r="B36" s="20" t="s">
        <v>45</v>
      </c>
      <c r="C36" s="21">
        <v>2.1</v>
      </c>
    </row>
    <row r="37" spans="2:7" x14ac:dyDescent="0.25">
      <c r="B37" s="20" t="s">
        <v>465</v>
      </c>
      <c r="C37" s="21">
        <f>SUM(C36,C35,C34,C33,C32)</f>
        <v>14.1</v>
      </c>
    </row>
    <row r="40" spans="2:7" ht="25.5" x14ac:dyDescent="0.35">
      <c r="B40" s="1920" t="s">
        <v>47</v>
      </c>
      <c r="C40" s="1920"/>
      <c r="D40" s="1920"/>
      <c r="E40" s="1920"/>
      <c r="F40" s="1920"/>
    </row>
    <row r="41" spans="2:7" x14ac:dyDescent="0.25">
      <c r="B41" s="22" t="s">
        <v>0</v>
      </c>
      <c r="C41" s="22" t="s">
        <v>1</v>
      </c>
      <c r="D41" s="102" t="s">
        <v>2</v>
      </c>
      <c r="E41" s="23" t="s">
        <v>466</v>
      </c>
      <c r="F41" s="23" t="s">
        <v>452</v>
      </c>
    </row>
    <row r="42" spans="2:7" x14ac:dyDescent="0.25">
      <c r="B42" s="165" t="s">
        <v>128</v>
      </c>
      <c r="C42" s="165" t="s">
        <v>129</v>
      </c>
      <c r="D42" s="103">
        <v>0.14000000000000001</v>
      </c>
      <c r="E42" s="24">
        <v>1125</v>
      </c>
      <c r="F42" s="5">
        <f>E42*D42</f>
        <v>157.50000000000003</v>
      </c>
    </row>
    <row r="43" spans="2:7" x14ac:dyDescent="0.25">
      <c r="B43" s="4" t="s">
        <v>314</v>
      </c>
      <c r="C43" s="4" t="s">
        <v>315</v>
      </c>
      <c r="D43" s="103">
        <v>0.14000000000000001</v>
      </c>
      <c r="E43" s="24">
        <v>861</v>
      </c>
      <c r="F43" s="319">
        <f>E43*D43</f>
        <v>120.54</v>
      </c>
    </row>
    <row r="44" spans="2:7" x14ac:dyDescent="0.25">
      <c r="B44" s="4" t="s">
        <v>467</v>
      </c>
      <c r="C44" s="4" t="s">
        <v>468</v>
      </c>
      <c r="D44" s="103">
        <v>1</v>
      </c>
      <c r="E44" s="24">
        <v>95</v>
      </c>
      <c r="F44" s="319">
        <f>E44*D44</f>
        <v>95</v>
      </c>
    </row>
    <row r="45" spans="2:7" x14ac:dyDescent="0.25">
      <c r="B45" s="11" t="s">
        <v>467</v>
      </c>
      <c r="C45" s="11" t="s">
        <v>478</v>
      </c>
      <c r="D45" s="334">
        <v>1.7000000000000001E-2</v>
      </c>
      <c r="E45" s="36">
        <v>4365</v>
      </c>
      <c r="F45" s="319">
        <f>E45*D45</f>
        <v>74.204999999999998</v>
      </c>
    </row>
    <row r="46" spans="2:7" x14ac:dyDescent="0.25">
      <c r="B46" s="320" t="s">
        <v>467</v>
      </c>
      <c r="C46" s="320" t="s">
        <v>469</v>
      </c>
      <c r="D46" s="321">
        <v>1.08</v>
      </c>
      <c r="E46" s="322">
        <v>246</v>
      </c>
      <c r="F46" s="323">
        <f>E46*D46</f>
        <v>265.68</v>
      </c>
    </row>
    <row r="47" spans="2:7" x14ac:dyDescent="0.25">
      <c r="B47" s="324"/>
      <c r="C47" s="324" t="s">
        <v>37</v>
      </c>
      <c r="D47" s="325"/>
      <c r="E47" s="326"/>
      <c r="F47" s="327">
        <f>SUM(F42:F46)</f>
        <v>712.92499999999995</v>
      </c>
    </row>
    <row r="48" spans="2:7" x14ac:dyDescent="0.25">
      <c r="G48" s="153"/>
    </row>
    <row r="49" spans="2:7" x14ac:dyDescent="0.25">
      <c r="B49" s="1825" t="s">
        <v>476</v>
      </c>
      <c r="C49" s="1825"/>
      <c r="D49" s="1755">
        <f>F47+G26</f>
        <v>3671.5252418060863</v>
      </c>
      <c r="E49" s="1755"/>
      <c r="F49" s="1755"/>
      <c r="G49" s="28"/>
    </row>
    <row r="50" spans="2:7" x14ac:dyDescent="0.25">
      <c r="B50" s="1830" t="s">
        <v>48</v>
      </c>
      <c r="C50" s="1831"/>
      <c r="D50" s="1755">
        <f>+(921.6/1000)*430</f>
        <v>396.28800000000001</v>
      </c>
      <c r="E50" s="1755"/>
      <c r="F50" s="1755"/>
    </row>
    <row r="51" spans="2:7" x14ac:dyDescent="0.25">
      <c r="B51" s="1830" t="s">
        <v>477</v>
      </c>
      <c r="C51" s="1831"/>
      <c r="D51" s="1755">
        <f>+D49+D50</f>
        <v>4067.8132418060864</v>
      </c>
      <c r="E51" s="1755"/>
      <c r="F51" s="1755"/>
    </row>
    <row r="52" spans="2:7" x14ac:dyDescent="0.25">
      <c r="B52" s="1830" t="s">
        <v>472</v>
      </c>
      <c r="C52" s="1831"/>
      <c r="D52" s="1929">
        <f>D51*G52</f>
        <v>203.39066209030432</v>
      </c>
      <c r="E52" s="1930"/>
      <c r="F52" s="1931"/>
      <c r="G52" s="335">
        <v>0.05</v>
      </c>
    </row>
    <row r="53" spans="2:7" x14ac:dyDescent="0.25">
      <c r="B53" s="1830" t="s">
        <v>479</v>
      </c>
      <c r="C53" s="1831"/>
      <c r="D53" s="328"/>
      <c r="E53" s="329"/>
      <c r="F53" s="330">
        <f>+D52+D51</f>
        <v>4271.2039038963903</v>
      </c>
      <c r="G53" s="335"/>
    </row>
    <row r="54" spans="2:7" x14ac:dyDescent="0.25">
      <c r="B54" s="1825" t="s">
        <v>49</v>
      </c>
      <c r="C54" s="1825"/>
      <c r="D54" s="1755">
        <f>F53/G55</f>
        <v>6571.0829290713691</v>
      </c>
      <c r="E54" s="1755"/>
      <c r="F54" s="1755"/>
      <c r="G54" s="29">
        <v>0.35</v>
      </c>
    </row>
    <row r="55" spans="2:7" x14ac:dyDescent="0.25">
      <c r="E55" s="115"/>
      <c r="F55" s="332">
        <f>D54/6</f>
        <v>1095.1804881785615</v>
      </c>
      <c r="G55" s="333">
        <f>1-G54</f>
        <v>0.65</v>
      </c>
    </row>
    <row r="57" spans="2:7" x14ac:dyDescent="0.25">
      <c r="F57" s="153"/>
    </row>
  </sheetData>
  <mergeCells count="14">
    <mergeCell ref="B51:C51"/>
    <mergeCell ref="D51:F51"/>
    <mergeCell ref="B54:C54"/>
    <mergeCell ref="D54:F54"/>
    <mergeCell ref="B2:H2"/>
    <mergeCell ref="B26:C26"/>
    <mergeCell ref="B40:F40"/>
    <mergeCell ref="B49:C49"/>
    <mergeCell ref="D49:F49"/>
    <mergeCell ref="B50:C50"/>
    <mergeCell ref="D50:F50"/>
    <mergeCell ref="B52:C52"/>
    <mergeCell ref="D52:F52"/>
    <mergeCell ref="B53:C53"/>
  </mergeCells>
  <pageMargins left="0.7" right="0.7" top="0.75" bottom="0.75" header="0.3" footer="0.3"/>
  <pageSetup scale="53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92B0-A4A0-4CA0-AAB4-D8D571407185}">
  <sheetPr codeName="Hoja96"/>
  <dimension ref="B2:J57"/>
  <sheetViews>
    <sheetView zoomScale="70" zoomScaleNormal="70" workbookViewId="0">
      <selection activeCell="K8" sqref="K8"/>
    </sheetView>
  </sheetViews>
  <sheetFormatPr baseColWidth="10" defaultColWidth="11.5703125" defaultRowHeight="13.5" x14ac:dyDescent="0.25"/>
  <cols>
    <col min="1" max="1" width="11.5703125" style="1"/>
    <col min="2" max="2" width="11.28515625" style="1" customWidth="1"/>
    <col min="3" max="3" width="56.28515625" style="1" customWidth="1"/>
    <col min="4" max="4" width="11.140625" style="307" bestFit="1" customWidth="1"/>
    <col min="5" max="5" width="11.5703125" style="1"/>
    <col min="6" max="6" width="16.28515625" style="1" bestFit="1" customWidth="1"/>
    <col min="7" max="7" width="13.7109375" style="1" bestFit="1" customWidth="1"/>
    <col min="8" max="8" width="13.7109375" style="1" customWidth="1"/>
    <col min="9" max="9" width="12.5703125" style="268" bestFit="1" customWidth="1"/>
    <col min="10" max="16384" width="11.5703125" style="1"/>
  </cols>
  <sheetData>
    <row r="2" spans="2:8" ht="25.5" x14ac:dyDescent="0.35">
      <c r="B2" s="1751" t="s">
        <v>474</v>
      </c>
      <c r="C2" s="1751"/>
      <c r="D2" s="1751"/>
      <c r="E2" s="1751"/>
      <c r="F2" s="1751"/>
      <c r="G2" s="1751"/>
      <c r="H2" s="1751"/>
    </row>
    <row r="3" spans="2:8" ht="18" x14ac:dyDescent="0.25">
      <c r="C3" s="306"/>
    </row>
    <row r="4" spans="2:8" x14ac:dyDescent="0.25">
      <c r="B4" s="308" t="s">
        <v>0</v>
      </c>
      <c r="C4" s="308" t="s">
        <v>1</v>
      </c>
      <c r="D4" s="309" t="s">
        <v>2</v>
      </c>
      <c r="E4" s="308" t="s">
        <v>3</v>
      </c>
      <c r="F4" s="305" t="s">
        <v>451</v>
      </c>
      <c r="G4" s="305" t="s">
        <v>452</v>
      </c>
      <c r="H4" s="310">
        <v>0.68459999999999999</v>
      </c>
    </row>
    <row r="5" spans="2:8" x14ac:dyDescent="0.25">
      <c r="B5" s="154" t="s">
        <v>5</v>
      </c>
      <c r="C5" s="154" t="s">
        <v>55</v>
      </c>
      <c r="D5" s="7">
        <v>0.27931088099006773</v>
      </c>
      <c r="E5" s="8">
        <f t="shared" ref="E5:E24" si="0">(D5*100)/$D$26</f>
        <v>40.799135406086414</v>
      </c>
      <c r="F5" s="9">
        <v>6000</v>
      </c>
      <c r="G5" s="25">
        <f t="shared" ref="G5:G24" si="1">F5*D5</f>
        <v>1675.8652859404065</v>
      </c>
      <c r="H5" s="7">
        <f t="shared" ref="H5:H24" si="2">$H$4*E5%</f>
        <v>0.27931088099006757</v>
      </c>
    </row>
    <row r="6" spans="2:8" x14ac:dyDescent="0.25">
      <c r="B6" s="154" t="s">
        <v>4</v>
      </c>
      <c r="C6" s="154" t="s">
        <v>53</v>
      </c>
      <c r="D6" s="7">
        <v>0.14971379506554919</v>
      </c>
      <c r="E6" s="8">
        <f t="shared" si="0"/>
        <v>21.868798578081964</v>
      </c>
      <c r="F6" s="9">
        <v>7</v>
      </c>
      <c r="G6" s="25">
        <f t="shared" si="1"/>
        <v>1.0479965654588443</v>
      </c>
      <c r="H6" s="7">
        <f t="shared" si="2"/>
        <v>0.1497137950655491</v>
      </c>
    </row>
    <row r="7" spans="2:8" x14ac:dyDescent="0.25">
      <c r="B7" s="6" t="s">
        <v>453</v>
      </c>
      <c r="C7" s="6" t="s">
        <v>454</v>
      </c>
      <c r="D7" s="7">
        <v>6.1613692295755695E-2</v>
      </c>
      <c r="E7" s="8">
        <f t="shared" si="0"/>
        <v>8.9999550534261861</v>
      </c>
      <c r="F7" s="9">
        <v>10333</v>
      </c>
      <c r="G7" s="25">
        <f t="shared" si="1"/>
        <v>636.65428249204365</v>
      </c>
      <c r="H7" s="7">
        <f t="shared" si="2"/>
        <v>6.1613692295755668E-2</v>
      </c>
    </row>
    <row r="8" spans="2:8" x14ac:dyDescent="0.25">
      <c r="B8" s="30" t="s">
        <v>8</v>
      </c>
      <c r="C8" s="30" t="s">
        <v>56</v>
      </c>
      <c r="D8" s="7">
        <v>4.9290155468835493E-2</v>
      </c>
      <c r="E8" s="8">
        <f t="shared" si="0"/>
        <v>7.1998474246034876</v>
      </c>
      <c r="F8" s="9">
        <v>1500</v>
      </c>
      <c r="G8" s="25">
        <f t="shared" si="1"/>
        <v>73.935233203253233</v>
      </c>
      <c r="H8" s="7">
        <f t="shared" si="2"/>
        <v>4.929015546883548E-2</v>
      </c>
    </row>
    <row r="9" spans="2:8" x14ac:dyDescent="0.25">
      <c r="B9" s="231" t="s">
        <v>7</v>
      </c>
      <c r="C9" s="231" t="s">
        <v>58</v>
      </c>
      <c r="D9" s="7">
        <v>4.7919367419242985E-2</v>
      </c>
      <c r="E9" s="8">
        <f t="shared" si="0"/>
        <v>6.9996154570907043</v>
      </c>
      <c r="F9" s="9">
        <v>6648</v>
      </c>
      <c r="G9" s="25">
        <f t="shared" si="1"/>
        <v>318.56795460312736</v>
      </c>
      <c r="H9" s="7">
        <f t="shared" si="2"/>
        <v>4.7919367419242964E-2</v>
      </c>
    </row>
    <row r="10" spans="2:8" x14ac:dyDescent="0.25">
      <c r="B10" s="231" t="s">
        <v>9</v>
      </c>
      <c r="C10" s="231" t="s">
        <v>10</v>
      </c>
      <c r="D10" s="7">
        <v>3.4228119585173564E-2</v>
      </c>
      <c r="E10" s="8">
        <f t="shared" si="0"/>
        <v>4.999725326493361</v>
      </c>
      <c r="F10" s="9">
        <v>5761</v>
      </c>
      <c r="G10" s="25">
        <f t="shared" si="1"/>
        <v>197.18819693018489</v>
      </c>
      <c r="H10" s="7">
        <f t="shared" si="2"/>
        <v>3.422811958517355E-2</v>
      </c>
    </row>
    <row r="11" spans="2:8" x14ac:dyDescent="0.25">
      <c r="B11" s="231" t="s">
        <v>11</v>
      </c>
      <c r="C11" s="231" t="s">
        <v>12</v>
      </c>
      <c r="D11" s="7">
        <v>2.3959683709621492E-2</v>
      </c>
      <c r="E11" s="8">
        <f t="shared" si="0"/>
        <v>3.4998077285453522</v>
      </c>
      <c r="F11" s="9">
        <v>16262</v>
      </c>
      <c r="G11" s="25">
        <f t="shared" si="1"/>
        <v>389.63237648586471</v>
      </c>
      <c r="H11" s="7">
        <f t="shared" si="2"/>
        <v>2.3959683709621482E-2</v>
      </c>
    </row>
    <row r="12" spans="2:8" x14ac:dyDescent="0.25">
      <c r="B12" s="6" t="s">
        <v>455</v>
      </c>
      <c r="C12" s="6" t="s">
        <v>456</v>
      </c>
      <c r="D12" s="7">
        <v>1.0952612970989619E-2</v>
      </c>
      <c r="E12" s="8">
        <f t="shared" si="0"/>
        <v>1.5998558239832916</v>
      </c>
      <c r="F12" s="33">
        <v>5990</v>
      </c>
      <c r="G12" s="25">
        <f t="shared" si="1"/>
        <v>65.606151696227812</v>
      </c>
      <c r="H12" s="7">
        <f t="shared" si="2"/>
        <v>1.0952612970989616E-2</v>
      </c>
    </row>
    <row r="13" spans="2:8" x14ac:dyDescent="0.25">
      <c r="B13" s="6" t="s">
        <v>21</v>
      </c>
      <c r="C13" s="6" t="s">
        <v>22</v>
      </c>
      <c r="D13" s="7">
        <v>6.8453831068685097E-3</v>
      </c>
      <c r="E13" s="8">
        <f t="shared" si="0"/>
        <v>0.99990988998955699</v>
      </c>
      <c r="F13" s="33">
        <v>10412</v>
      </c>
      <c r="G13" s="25">
        <f t="shared" si="1"/>
        <v>71.274128908714928</v>
      </c>
      <c r="H13" s="7">
        <f t="shared" si="2"/>
        <v>6.8453831068685063E-3</v>
      </c>
    </row>
    <row r="14" spans="2:8" x14ac:dyDescent="0.25">
      <c r="B14" s="6" t="s">
        <v>457</v>
      </c>
      <c r="C14" s="6" t="s">
        <v>458</v>
      </c>
      <c r="D14" s="7">
        <v>2.7381532427474048E-3</v>
      </c>
      <c r="E14" s="8">
        <f t="shared" si="0"/>
        <v>0.39996395599582291</v>
      </c>
      <c r="F14" s="33">
        <v>36383</v>
      </c>
      <c r="G14" s="25">
        <f t="shared" si="1"/>
        <v>99.622229430878832</v>
      </c>
      <c r="H14" s="7">
        <f t="shared" si="2"/>
        <v>2.7381532427474039E-3</v>
      </c>
    </row>
    <row r="15" spans="2:8" x14ac:dyDescent="0.25">
      <c r="B15" s="154" t="s">
        <v>25</v>
      </c>
      <c r="C15" s="154" t="s">
        <v>26</v>
      </c>
      <c r="D15" s="7">
        <v>2.0536871751104129E-3</v>
      </c>
      <c r="E15" s="8">
        <f t="shared" si="0"/>
        <v>0.29998351958960151</v>
      </c>
      <c r="F15" s="33">
        <v>59227</v>
      </c>
      <c r="G15" s="25">
        <f t="shared" si="1"/>
        <v>121.63373032026443</v>
      </c>
      <c r="H15" s="7">
        <f t="shared" si="2"/>
        <v>2.0536871751104121E-3</v>
      </c>
    </row>
    <row r="16" spans="2:8" x14ac:dyDescent="0.25">
      <c r="B16" s="6" t="s">
        <v>80</v>
      </c>
      <c r="C16" s="6" t="s">
        <v>81</v>
      </c>
      <c r="D16" s="7">
        <v>2.0536149320605521E-3</v>
      </c>
      <c r="E16" s="8">
        <f t="shared" si="0"/>
        <v>0.29997296699686693</v>
      </c>
      <c r="F16" s="33">
        <v>20650</v>
      </c>
      <c r="G16" s="25">
        <f t="shared" si="1"/>
        <v>42.407148347050402</v>
      </c>
      <c r="H16" s="7">
        <f t="shared" si="2"/>
        <v>2.0536149320605507E-3</v>
      </c>
    </row>
    <row r="17" spans="2:10" x14ac:dyDescent="0.25">
      <c r="B17" s="6" t="s">
        <v>103</v>
      </c>
      <c r="C17" s="6" t="s">
        <v>104</v>
      </c>
      <c r="D17" s="7">
        <v>1.7798622184290254E-3</v>
      </c>
      <c r="E17" s="8">
        <f t="shared" si="0"/>
        <v>0.25998571697765477</v>
      </c>
      <c r="F17" s="9">
        <v>10972</v>
      </c>
      <c r="G17" s="25">
        <f t="shared" si="1"/>
        <v>19.528648260603266</v>
      </c>
      <c r="H17" s="7">
        <f t="shared" si="2"/>
        <v>1.7798622184290243E-3</v>
      </c>
    </row>
    <row r="18" spans="2:10" x14ac:dyDescent="0.25">
      <c r="B18" s="6" t="s">
        <v>15</v>
      </c>
      <c r="C18" s="6" t="s">
        <v>16</v>
      </c>
      <c r="D18" s="7">
        <v>6.8459658106395207E-3</v>
      </c>
      <c r="E18" s="8">
        <f t="shared" si="0"/>
        <v>0.99999500593624269</v>
      </c>
      <c r="F18" s="9">
        <v>29262</v>
      </c>
      <c r="G18" s="25">
        <f t="shared" si="1"/>
        <v>200.32665155093366</v>
      </c>
      <c r="H18" s="7">
        <f t="shared" si="2"/>
        <v>6.8459658106395172E-3</v>
      </c>
    </row>
    <row r="19" spans="2:10" x14ac:dyDescent="0.25">
      <c r="B19" s="311"/>
      <c r="C19" s="6" t="s">
        <v>459</v>
      </c>
      <c r="D19" s="7">
        <v>1.3690766213737024E-3</v>
      </c>
      <c r="E19" s="8">
        <f t="shared" si="0"/>
        <v>0.19998197799791145</v>
      </c>
      <c r="F19" s="33">
        <v>65000</v>
      </c>
      <c r="G19" s="25">
        <f t="shared" si="1"/>
        <v>88.98998038929065</v>
      </c>
      <c r="H19" s="7">
        <f t="shared" si="2"/>
        <v>1.3690766213737019E-3</v>
      </c>
      <c r="J19" s="1" t="s">
        <v>85</v>
      </c>
    </row>
    <row r="20" spans="2:10" ht="16.5" x14ac:dyDescent="0.25">
      <c r="B20" s="70" t="s">
        <v>29</v>
      </c>
      <c r="C20" s="56" t="s">
        <v>30</v>
      </c>
      <c r="D20" s="7">
        <v>1.1637151281676469E-3</v>
      </c>
      <c r="E20" s="8">
        <f t="shared" si="0"/>
        <v>0.16998468129822472</v>
      </c>
      <c r="F20" s="33">
        <v>2550</v>
      </c>
      <c r="G20" s="25">
        <f t="shared" si="1"/>
        <v>2.9674735768274996</v>
      </c>
      <c r="H20" s="7">
        <f t="shared" si="2"/>
        <v>1.1637151281676463E-3</v>
      </c>
    </row>
    <row r="21" spans="2:10" x14ac:dyDescent="0.25">
      <c r="B21" s="311"/>
      <c r="C21" s="6" t="s">
        <v>460</v>
      </c>
      <c r="D21" s="7">
        <v>8.4991823365154805E-4</v>
      </c>
      <c r="E21" s="8">
        <f t="shared" si="0"/>
        <v>0.12414814981763769</v>
      </c>
      <c r="F21" s="33">
        <v>28151</v>
      </c>
      <c r="G21" s="25">
        <f t="shared" si="1"/>
        <v>23.926048195524729</v>
      </c>
      <c r="H21" s="7">
        <f t="shared" si="2"/>
        <v>8.4991823365154762E-4</v>
      </c>
    </row>
    <row r="22" spans="2:10" x14ac:dyDescent="0.25">
      <c r="B22" s="154" t="s">
        <v>121</v>
      </c>
      <c r="C22" s="154" t="s">
        <v>122</v>
      </c>
      <c r="D22" s="7">
        <v>8.4991823365154805E-4</v>
      </c>
      <c r="E22" s="8">
        <f t="shared" si="0"/>
        <v>0.12414814981763769</v>
      </c>
      <c r="F22" s="33">
        <v>43120</v>
      </c>
      <c r="G22" s="25">
        <f t="shared" si="1"/>
        <v>36.648474235054749</v>
      </c>
      <c r="H22" s="7">
        <f t="shared" si="2"/>
        <v>8.4991823365154762E-4</v>
      </c>
    </row>
    <row r="23" spans="2:10" ht="16.5" x14ac:dyDescent="0.25">
      <c r="B23" s="312"/>
      <c r="C23" s="56" t="s">
        <v>461</v>
      </c>
      <c r="D23" s="7">
        <v>7.0826519470962345E-4</v>
      </c>
      <c r="E23" s="8">
        <f t="shared" si="0"/>
        <v>0.10345679151469808</v>
      </c>
      <c r="F23" s="9">
        <v>58553.279999999999</v>
      </c>
      <c r="G23" s="25">
        <f t="shared" si="1"/>
        <v>41.471250260087096</v>
      </c>
      <c r="H23" s="7">
        <f t="shared" si="2"/>
        <v>7.0826519470962312E-4</v>
      </c>
    </row>
    <row r="24" spans="2:10" ht="16.5" x14ac:dyDescent="0.3">
      <c r="B24" s="70" t="s">
        <v>33</v>
      </c>
      <c r="C24" s="74" t="s">
        <v>34</v>
      </c>
      <c r="D24" s="7">
        <v>3.5413259735481172E-4</v>
      </c>
      <c r="E24" s="8">
        <f t="shared" si="0"/>
        <v>5.1728395757349041E-2</v>
      </c>
      <c r="F24" s="9">
        <v>26800</v>
      </c>
      <c r="G24" s="25">
        <f t="shared" si="1"/>
        <v>9.490753609108955</v>
      </c>
      <c r="H24" s="7">
        <f t="shared" si="2"/>
        <v>3.5413259735481156E-4</v>
      </c>
    </row>
    <row r="25" spans="2:10" hidden="1" x14ac:dyDescent="0.25">
      <c r="B25" s="6"/>
      <c r="C25" s="6"/>
      <c r="D25" s="7"/>
      <c r="E25" s="6"/>
      <c r="F25" s="9"/>
      <c r="G25" s="25"/>
      <c r="H25" s="25"/>
    </row>
    <row r="26" spans="2:10" x14ac:dyDescent="0.25">
      <c r="B26" s="1928" t="s">
        <v>37</v>
      </c>
      <c r="C26" s="1928"/>
      <c r="D26" s="313">
        <f>SUM(D5:D24)</f>
        <v>0.68460000000000032</v>
      </c>
      <c r="E26" s="314">
        <f>SUM(E5:E24)</f>
        <v>99.999999999999972</v>
      </c>
      <c r="F26" s="315"/>
      <c r="G26" s="316">
        <f>SUM(G5:G24)</f>
        <v>4116.7839950009056</v>
      </c>
      <c r="H26" s="313">
        <f>SUM(H5:H24)</f>
        <v>0.68459999999999999</v>
      </c>
      <c r="I26" s="268" t="s">
        <v>85</v>
      </c>
    </row>
    <row r="27" spans="2:10" x14ac:dyDescent="0.25">
      <c r="G27" s="317"/>
    </row>
    <row r="28" spans="2:10" x14ac:dyDescent="0.25">
      <c r="G28" s="153"/>
    </row>
    <row r="29" spans="2:10" x14ac:dyDescent="0.25">
      <c r="B29" s="20" t="s">
        <v>462</v>
      </c>
      <c r="C29" s="21" t="s">
        <v>475</v>
      </c>
      <c r="I29" s="268" t="s">
        <v>85</v>
      </c>
    </row>
    <row r="30" spans="2:10" x14ac:dyDescent="0.25">
      <c r="B30" s="20" t="s">
        <v>463</v>
      </c>
      <c r="C30" s="21" t="s">
        <v>464</v>
      </c>
      <c r="G30" s="318"/>
    </row>
    <row r="31" spans="2:10" x14ac:dyDescent="0.25">
      <c r="B31" s="20" t="s">
        <v>40</v>
      </c>
      <c r="C31" s="21">
        <v>430</v>
      </c>
    </row>
    <row r="32" spans="2:10" x14ac:dyDescent="0.25">
      <c r="B32" s="20" t="s">
        <v>41</v>
      </c>
      <c r="C32" s="21">
        <v>0</v>
      </c>
    </row>
    <row r="33" spans="2:7" x14ac:dyDescent="0.25">
      <c r="B33" s="20" t="s">
        <v>42</v>
      </c>
      <c r="C33" s="21">
        <v>9</v>
      </c>
    </row>
    <row r="34" spans="2:7" x14ac:dyDescent="0.25">
      <c r="B34" s="20" t="s">
        <v>43</v>
      </c>
      <c r="C34" s="21">
        <v>2</v>
      </c>
    </row>
    <row r="35" spans="2:7" x14ac:dyDescent="0.25">
      <c r="B35" s="20" t="s">
        <v>44</v>
      </c>
      <c r="C35" s="21">
        <v>1</v>
      </c>
      <c r="F35" s="1" t="s">
        <v>85</v>
      </c>
    </row>
    <row r="36" spans="2:7" x14ac:dyDescent="0.25">
      <c r="B36" s="20" t="s">
        <v>45</v>
      </c>
      <c r="C36" s="21">
        <v>2.1</v>
      </c>
    </row>
    <row r="37" spans="2:7" x14ac:dyDescent="0.25">
      <c r="B37" s="20" t="s">
        <v>465</v>
      </c>
      <c r="C37" s="21">
        <f>SUM(C36,C35,C34,C33,C32)</f>
        <v>14.1</v>
      </c>
    </row>
    <row r="40" spans="2:7" ht="25.5" x14ac:dyDescent="0.35">
      <c r="B40" s="1920" t="s">
        <v>47</v>
      </c>
      <c r="C40" s="1920"/>
      <c r="D40" s="1920"/>
      <c r="E40" s="1920"/>
      <c r="F40" s="1920"/>
    </row>
    <row r="41" spans="2:7" x14ac:dyDescent="0.25">
      <c r="B41" s="22" t="s">
        <v>0</v>
      </c>
      <c r="C41" s="22" t="s">
        <v>1</v>
      </c>
      <c r="D41" s="102" t="s">
        <v>2</v>
      </c>
      <c r="E41" s="23" t="s">
        <v>466</v>
      </c>
      <c r="F41" s="23" t="s">
        <v>452</v>
      </c>
    </row>
    <row r="42" spans="2:7" x14ac:dyDescent="0.25">
      <c r="B42" s="165" t="s">
        <v>128</v>
      </c>
      <c r="C42" s="165" t="s">
        <v>129</v>
      </c>
      <c r="D42" s="103">
        <v>0.14000000000000001</v>
      </c>
      <c r="E42" s="24">
        <v>1125</v>
      </c>
      <c r="F42" s="5">
        <f>E42*D42</f>
        <v>157.50000000000003</v>
      </c>
    </row>
    <row r="43" spans="2:7" x14ac:dyDescent="0.25">
      <c r="B43" s="4" t="s">
        <v>314</v>
      </c>
      <c r="C43" s="4" t="s">
        <v>315</v>
      </c>
      <c r="D43" s="103">
        <v>0.14000000000000001</v>
      </c>
      <c r="E43" s="24">
        <v>861</v>
      </c>
      <c r="F43" s="319">
        <f>E43*D43</f>
        <v>120.54</v>
      </c>
    </row>
    <row r="44" spans="2:7" x14ac:dyDescent="0.25">
      <c r="B44" s="4" t="s">
        <v>467</v>
      </c>
      <c r="C44" s="4" t="s">
        <v>468</v>
      </c>
      <c r="D44" s="103">
        <v>1</v>
      </c>
      <c r="E44" s="24">
        <v>95</v>
      </c>
      <c r="F44" s="319">
        <f>E44*D44</f>
        <v>95</v>
      </c>
    </row>
    <row r="45" spans="2:7" x14ac:dyDescent="0.25">
      <c r="B45" s="11" t="s">
        <v>467</v>
      </c>
      <c r="C45" s="11" t="s">
        <v>478</v>
      </c>
      <c r="D45" s="334">
        <v>1.7000000000000001E-2</v>
      </c>
      <c r="E45" s="36">
        <v>4365</v>
      </c>
      <c r="F45" s="319">
        <f>E45*D45</f>
        <v>74.204999999999998</v>
      </c>
    </row>
    <row r="46" spans="2:7" x14ac:dyDescent="0.25">
      <c r="B46" s="320" t="s">
        <v>467</v>
      </c>
      <c r="C46" s="320" t="s">
        <v>469</v>
      </c>
      <c r="D46" s="321">
        <v>1.08</v>
      </c>
      <c r="E46" s="322">
        <v>246</v>
      </c>
      <c r="F46" s="323">
        <f>E46*D46</f>
        <v>265.68</v>
      </c>
    </row>
    <row r="47" spans="2:7" x14ac:dyDescent="0.25">
      <c r="B47" s="324"/>
      <c r="C47" s="324" t="s">
        <v>37</v>
      </c>
      <c r="D47" s="325"/>
      <c r="E47" s="326"/>
      <c r="F47" s="327">
        <f>SUM(F42:F46)</f>
        <v>712.92499999999995</v>
      </c>
    </row>
    <row r="48" spans="2:7" x14ac:dyDescent="0.25">
      <c r="G48" s="153"/>
    </row>
    <row r="49" spans="2:7" x14ac:dyDescent="0.25">
      <c r="B49" s="1825" t="s">
        <v>476</v>
      </c>
      <c r="C49" s="1825"/>
      <c r="D49" s="1755">
        <f>F47+G26</f>
        <v>4829.7089950009058</v>
      </c>
      <c r="E49" s="1755"/>
      <c r="F49" s="1755"/>
      <c r="G49" s="28"/>
    </row>
    <row r="50" spans="2:7" x14ac:dyDescent="0.25">
      <c r="B50" s="1830" t="s">
        <v>48</v>
      </c>
      <c r="C50" s="1831"/>
      <c r="D50" s="1755">
        <f>+(921.6/1000)*600</f>
        <v>552.96</v>
      </c>
      <c r="E50" s="1755"/>
      <c r="F50" s="1755"/>
    </row>
    <row r="51" spans="2:7" x14ac:dyDescent="0.25">
      <c r="B51" s="1830" t="s">
        <v>477</v>
      </c>
      <c r="C51" s="1831"/>
      <c r="D51" s="1755">
        <f>+D49+D50</f>
        <v>5382.6689950009059</v>
      </c>
      <c r="E51" s="1755"/>
      <c r="F51" s="1755"/>
    </row>
    <row r="52" spans="2:7" x14ac:dyDescent="0.25">
      <c r="B52" s="1830" t="s">
        <v>472</v>
      </c>
      <c r="C52" s="1831"/>
      <c r="D52" s="1929">
        <f>D51*G52</f>
        <v>269.13344975004532</v>
      </c>
      <c r="E52" s="1930"/>
      <c r="F52" s="1931"/>
      <c r="G52" s="335">
        <v>0.05</v>
      </c>
    </row>
    <row r="53" spans="2:7" x14ac:dyDescent="0.25">
      <c r="B53" s="1830" t="s">
        <v>479</v>
      </c>
      <c r="C53" s="1831"/>
      <c r="D53" s="328"/>
      <c r="E53" s="329"/>
      <c r="F53" s="330">
        <f>+D52+D51</f>
        <v>5651.8024447509515</v>
      </c>
      <c r="G53" s="335"/>
    </row>
    <row r="54" spans="2:7" x14ac:dyDescent="0.25">
      <c r="B54" s="1825" t="s">
        <v>49</v>
      </c>
      <c r="C54" s="1825"/>
      <c r="D54" s="1755">
        <f>F53/G55</f>
        <v>8695.0806842322327</v>
      </c>
      <c r="E54" s="1755"/>
      <c r="F54" s="1755"/>
      <c r="G54" s="29">
        <v>0.35</v>
      </c>
    </row>
    <row r="55" spans="2:7" x14ac:dyDescent="0.25">
      <c r="E55" s="115"/>
      <c r="F55" s="332">
        <f>D54/6</f>
        <v>1449.1801140387054</v>
      </c>
      <c r="G55" s="333">
        <f>1-G54</f>
        <v>0.65</v>
      </c>
    </row>
    <row r="57" spans="2:7" x14ac:dyDescent="0.25">
      <c r="F57" s="153"/>
    </row>
  </sheetData>
  <mergeCells count="14">
    <mergeCell ref="B54:C54"/>
    <mergeCell ref="D54:F54"/>
    <mergeCell ref="B2:H2"/>
    <mergeCell ref="B26:C26"/>
    <mergeCell ref="B40:F40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4703-733D-422F-B290-D8F8A421992C}">
  <sheetPr codeName="Hoja97"/>
  <dimension ref="A1:M6"/>
  <sheetViews>
    <sheetView view="pageBreakPreview" zoomScale="80" zoomScaleNormal="100" zoomScaleSheetLayoutView="80" workbookViewId="0">
      <selection activeCell="G15" sqref="G15"/>
    </sheetView>
  </sheetViews>
  <sheetFormatPr baseColWidth="10" defaultRowHeight="15" x14ac:dyDescent="0.25"/>
  <cols>
    <col min="1" max="1" width="17.42578125" customWidth="1"/>
    <col min="2" max="2" width="9.28515625" style="420" bestFit="1" customWidth="1"/>
    <col min="3" max="3" width="13.5703125" style="420" bestFit="1" customWidth="1"/>
    <col min="4" max="10" width="11.5703125" style="420"/>
    <col min="11" max="11" width="14.28515625" style="420" customWidth="1"/>
    <col min="12" max="12" width="14.42578125" customWidth="1"/>
  </cols>
  <sheetData>
    <row r="1" spans="1:13" s="421" customFormat="1" ht="45" x14ac:dyDescent="0.25">
      <c r="A1" s="426" t="s">
        <v>552</v>
      </c>
      <c r="B1" s="426" t="s">
        <v>544</v>
      </c>
      <c r="C1" s="427" t="s">
        <v>556</v>
      </c>
      <c r="D1" s="428" t="s">
        <v>545</v>
      </c>
      <c r="E1" s="438" t="s">
        <v>546</v>
      </c>
      <c r="F1" s="438" t="s">
        <v>547</v>
      </c>
      <c r="G1" s="435" t="s">
        <v>548</v>
      </c>
      <c r="H1" s="435" t="s">
        <v>549</v>
      </c>
      <c r="I1" s="441" t="s">
        <v>550</v>
      </c>
      <c r="J1" s="441" t="s">
        <v>551</v>
      </c>
      <c r="K1" s="428" t="s">
        <v>553</v>
      </c>
      <c r="L1" s="428" t="s">
        <v>554</v>
      </c>
      <c r="M1" s="428" t="s">
        <v>555</v>
      </c>
    </row>
    <row r="2" spans="1:13" s="425" customFormat="1" x14ac:dyDescent="0.25">
      <c r="A2" s="425" t="s">
        <v>543</v>
      </c>
      <c r="B2" s="425">
        <v>83</v>
      </c>
      <c r="C2" s="425">
        <v>7</v>
      </c>
      <c r="D2" s="425">
        <f>B2*C2</f>
        <v>581</v>
      </c>
      <c r="E2" s="425">
        <v>12</v>
      </c>
      <c r="F2" s="425">
        <f>(E2*100)/$D$2</f>
        <v>2.0654044750430294</v>
      </c>
      <c r="G2" s="425">
        <v>25</v>
      </c>
      <c r="H2" s="425">
        <f>(G2*100)/$D$2</f>
        <v>4.3029259896729775</v>
      </c>
      <c r="I2" s="425">
        <v>30</v>
      </c>
      <c r="J2" s="425">
        <f>(I2*100)/$D$2</f>
        <v>5.1635111876075728</v>
      </c>
      <c r="K2" s="425">
        <f>+E2+G2+I2</f>
        <v>67</v>
      </c>
      <c r="L2" s="425">
        <f>(K2*100)/$D$2</f>
        <v>11.53184165232358</v>
      </c>
      <c r="M2" s="425">
        <f>D2-K2</f>
        <v>514</v>
      </c>
    </row>
    <row r="3" spans="1:13" s="425" customFormat="1" ht="15.75" thickBot="1" x14ac:dyDescent="0.3">
      <c r="A3" s="432" t="s">
        <v>557</v>
      </c>
      <c r="B3" s="432">
        <v>130</v>
      </c>
      <c r="C3" s="432">
        <v>7</v>
      </c>
      <c r="D3" s="432">
        <f>B3*C3</f>
        <v>910</v>
      </c>
      <c r="E3" s="432">
        <v>25.5</v>
      </c>
      <c r="F3" s="432">
        <f>(E3*100)/$D$2</f>
        <v>4.3889845094664368</v>
      </c>
      <c r="G3" s="432">
        <v>44.4</v>
      </c>
      <c r="H3" s="432">
        <f>(G3*100)/$D$2</f>
        <v>7.6419965576592084</v>
      </c>
      <c r="I3" s="432">
        <v>23</v>
      </c>
      <c r="J3" s="432">
        <f>(I3*100)/$D$2</f>
        <v>3.9586919104991396</v>
      </c>
      <c r="K3" s="432">
        <f>E3+G3+I3</f>
        <v>92.9</v>
      </c>
      <c r="L3" s="432">
        <f>(K3*100)/$D$2</f>
        <v>15.989672977624785</v>
      </c>
      <c r="M3" s="432">
        <f>D3-K3</f>
        <v>817.1</v>
      </c>
    </row>
    <row r="4" spans="1:13" ht="15.75" thickBot="1" x14ac:dyDescent="0.3">
      <c r="A4" s="1932" t="s">
        <v>37</v>
      </c>
      <c r="B4" s="1932"/>
      <c r="C4" s="1932"/>
      <c r="D4" s="433">
        <f>SUM(D2:D3)</f>
        <v>1491</v>
      </c>
      <c r="E4" s="439">
        <f>SUM(E2:E3)</f>
        <v>37.5</v>
      </c>
      <c r="F4" s="440">
        <f>(E4*100)/$D$4</f>
        <v>2.5150905432595572</v>
      </c>
      <c r="G4" s="436">
        <f>SUM(G2:G3)</f>
        <v>69.400000000000006</v>
      </c>
      <c r="H4" s="437">
        <f>(G4*100)/$D$4</f>
        <v>4.6545942320590212</v>
      </c>
      <c r="I4" s="442">
        <f>SUM(I2:I3)</f>
        <v>53</v>
      </c>
      <c r="J4" s="443">
        <f>(I4*100)/$D$4</f>
        <v>3.5546613011401744</v>
      </c>
      <c r="K4" s="433">
        <f>+K3+K2</f>
        <v>159.9</v>
      </c>
      <c r="L4" s="434">
        <f>(K4*100)/$D$4</f>
        <v>10.724346076458753</v>
      </c>
      <c r="M4" s="434">
        <f>D4-K4</f>
        <v>1331.1</v>
      </c>
    </row>
    <row r="5" spans="1:13" x14ac:dyDescent="0.25">
      <c r="A5" s="429"/>
      <c r="B5" s="430"/>
      <c r="C5" s="430"/>
      <c r="D5" s="430"/>
      <c r="E5" s="430"/>
      <c r="F5" s="430"/>
      <c r="G5" s="430"/>
      <c r="H5" s="430"/>
      <c r="I5" s="430"/>
      <c r="J5" s="430"/>
      <c r="K5" s="431"/>
      <c r="L5" s="429"/>
      <c r="M5" s="429"/>
    </row>
    <row r="6" spans="1:13" x14ac:dyDescent="0.25">
      <c r="L6" t="s">
        <v>85</v>
      </c>
    </row>
  </sheetData>
  <mergeCells count="1">
    <mergeCell ref="A4:C4"/>
  </mergeCells>
  <pageMargins left="0.7" right="0.7" top="0.75" bottom="0.75" header="0.3" footer="0.3"/>
  <pageSetup scale="56" orientation="portrait" r:id="rId1"/>
  <ignoredErrors>
    <ignoredError sqref="K2:K4 F4:G4 H4:I4" formula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23BF-494D-4042-9284-05309DB3D2DD}">
  <sheetPr codeName="Hoja98"/>
  <dimension ref="A1:BN4"/>
  <sheetViews>
    <sheetView view="pageBreakPreview" zoomScale="80" zoomScaleNormal="100" zoomScaleSheetLayoutView="80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U7" sqref="U7"/>
    </sheetView>
  </sheetViews>
  <sheetFormatPr baseColWidth="10" defaultColWidth="11.5703125" defaultRowHeight="13.5" x14ac:dyDescent="0.25"/>
  <cols>
    <col min="1" max="1" width="11.5703125" style="424"/>
    <col min="2" max="2" width="40.5703125" style="595" bestFit="1" customWidth="1"/>
    <col min="3" max="4" width="11.5703125" style="596" customWidth="1"/>
    <col min="5" max="5" width="11.42578125" style="596" customWidth="1"/>
    <col min="6" max="18" width="11.5703125" style="596" customWidth="1"/>
    <col min="19" max="19" width="11.5703125" style="605" customWidth="1"/>
    <col min="20" max="66" width="11.5703125" style="605"/>
    <col min="67" max="16384" width="11.5703125" style="424"/>
  </cols>
  <sheetData>
    <row r="1" spans="1:66" s="594" customFormat="1" ht="42.6" customHeight="1" x14ac:dyDescent="0.25">
      <c r="A1" s="592" t="s">
        <v>0</v>
      </c>
      <c r="B1" s="592" t="s">
        <v>1</v>
      </c>
      <c r="C1" s="593" t="s">
        <v>590</v>
      </c>
      <c r="D1" s="593" t="s">
        <v>591</v>
      </c>
      <c r="E1" s="599" t="s">
        <v>599</v>
      </c>
      <c r="F1" s="593" t="s">
        <v>592</v>
      </c>
      <c r="G1" s="599" t="s">
        <v>599</v>
      </c>
      <c r="H1" s="593" t="s">
        <v>593</v>
      </c>
      <c r="I1" s="599" t="s">
        <v>599</v>
      </c>
      <c r="J1" s="601" t="s">
        <v>594</v>
      </c>
      <c r="K1" s="599" t="s">
        <v>599</v>
      </c>
      <c r="L1" s="593" t="s">
        <v>595</v>
      </c>
      <c r="M1" s="599" t="s">
        <v>599</v>
      </c>
      <c r="N1" s="593" t="s">
        <v>596</v>
      </c>
      <c r="O1" s="599" t="s">
        <v>599</v>
      </c>
      <c r="P1" s="593" t="s">
        <v>597</v>
      </c>
      <c r="Q1" s="599" t="s">
        <v>599</v>
      </c>
      <c r="R1" s="593" t="s">
        <v>598</v>
      </c>
      <c r="S1" s="599" t="s">
        <v>599</v>
      </c>
      <c r="T1" s="607" t="s">
        <v>600</v>
      </c>
      <c r="U1" s="604"/>
      <c r="V1" s="604"/>
      <c r="W1" s="604"/>
      <c r="X1" s="604"/>
      <c r="Y1" s="604"/>
      <c r="Z1" s="604"/>
      <c r="AA1" s="604"/>
      <c r="AB1" s="604"/>
      <c r="AC1" s="604"/>
      <c r="AD1" s="604"/>
      <c r="AE1" s="604"/>
      <c r="AF1" s="604"/>
      <c r="AG1" s="604"/>
      <c r="AH1" s="604"/>
      <c r="AI1" s="604"/>
      <c r="AJ1" s="604"/>
      <c r="AK1" s="604"/>
      <c r="AL1" s="604"/>
      <c r="AM1" s="604"/>
      <c r="AN1" s="604"/>
      <c r="AO1" s="604"/>
      <c r="AP1" s="604"/>
      <c r="AQ1" s="604"/>
      <c r="AR1" s="604"/>
      <c r="AS1" s="604"/>
      <c r="AT1" s="604"/>
      <c r="AU1" s="604"/>
      <c r="AV1" s="604"/>
      <c r="AW1" s="604"/>
      <c r="AX1" s="604"/>
      <c r="AY1" s="604"/>
      <c r="AZ1" s="604"/>
      <c r="BA1" s="604"/>
      <c r="BB1" s="604"/>
      <c r="BC1" s="604"/>
      <c r="BD1" s="604"/>
      <c r="BE1" s="604"/>
      <c r="BF1" s="604"/>
      <c r="BG1" s="604"/>
      <c r="BH1" s="604"/>
      <c r="BI1" s="604"/>
      <c r="BJ1" s="604"/>
      <c r="BK1" s="604"/>
      <c r="BL1" s="604"/>
      <c r="BM1" s="604"/>
      <c r="BN1" s="604"/>
    </row>
    <row r="2" spans="1:66" x14ac:dyDescent="0.25">
      <c r="A2" s="424" t="s">
        <v>589</v>
      </c>
      <c r="B2" s="595" t="s">
        <v>588</v>
      </c>
      <c r="C2" s="596">
        <v>16920</v>
      </c>
      <c r="D2" s="596">
        <v>18265</v>
      </c>
      <c r="E2" s="598">
        <f>((D2/C2)*100)-100</f>
        <v>7.9491725768321402</v>
      </c>
      <c r="F2" s="596">
        <v>18114</v>
      </c>
      <c r="G2" s="600">
        <f>((F2/D2)*100)-100</f>
        <v>-0.82671776621954507</v>
      </c>
      <c r="H2" s="596">
        <v>17400</v>
      </c>
      <c r="I2" s="600">
        <f>((H2/F2)*100)-100</f>
        <v>-3.941702550513412</v>
      </c>
      <c r="J2" s="603">
        <v>18374</v>
      </c>
      <c r="K2" s="598">
        <f>((J2/H2)*100)-100</f>
        <v>5.5977011494252764</v>
      </c>
      <c r="L2" s="597">
        <v>17495</v>
      </c>
      <c r="M2" s="600">
        <f>((L2/J2)*100)-100</f>
        <v>-4.78393381952759</v>
      </c>
      <c r="N2" s="596">
        <v>19230</v>
      </c>
      <c r="O2" s="598">
        <f>((N2/L2)*100)-100</f>
        <v>9.9171191769076898</v>
      </c>
      <c r="P2" s="596">
        <v>19921</v>
      </c>
      <c r="Q2" s="606">
        <f>((P2/N2)*100)-100</f>
        <v>3.5933437337493501</v>
      </c>
      <c r="R2" s="596">
        <v>20488</v>
      </c>
      <c r="S2" s="606">
        <f>((R2/P2)*100)-100</f>
        <v>2.8462426585010832</v>
      </c>
      <c r="T2" s="608">
        <f>SUM(S2,Q2,O2,M2,K2,I2,G2,E2)/8</f>
        <v>2.5439031448943741</v>
      </c>
    </row>
    <row r="3" spans="1:66" x14ac:dyDescent="0.25">
      <c r="A3" s="424" t="s">
        <v>88</v>
      </c>
      <c r="B3" s="595" t="s">
        <v>89</v>
      </c>
      <c r="C3" s="596">
        <v>33681</v>
      </c>
      <c r="D3" s="596">
        <v>36273</v>
      </c>
      <c r="E3" s="598">
        <f>((D3/C3)*100)-100</f>
        <v>7.6957334995991715</v>
      </c>
      <c r="F3" s="596">
        <v>35975</v>
      </c>
      <c r="G3" s="600">
        <f>((F3/D3)*100)-100</f>
        <v>-0.82154770766133822</v>
      </c>
      <c r="H3" s="596">
        <v>34555</v>
      </c>
      <c r="I3" s="600">
        <f>((H3/F3)*100)-100</f>
        <v>-3.9471855455177121</v>
      </c>
      <c r="J3" s="602">
        <v>0</v>
      </c>
      <c r="K3" s="596">
        <v>0</v>
      </c>
      <c r="L3" s="596">
        <v>34744</v>
      </c>
      <c r="M3" s="596">
        <v>0</v>
      </c>
      <c r="N3" s="596">
        <v>38191</v>
      </c>
      <c r="O3" s="598">
        <f>((N3/L3)*100)-100</f>
        <v>9.9211374625834736</v>
      </c>
      <c r="P3" s="596">
        <v>39563</v>
      </c>
      <c r="Q3" s="606">
        <f>((P3/N3)*100)-100</f>
        <v>3.5924694299704072</v>
      </c>
      <c r="R3" s="596">
        <v>40689</v>
      </c>
      <c r="S3" s="606">
        <f>((R3/P3)*100)-100</f>
        <v>2.8460935722771126</v>
      </c>
      <c r="T3" s="608">
        <f>SUM(S3,Q3,O3,M3,K3,I3,G3,E3)/8</f>
        <v>2.4108375889063893</v>
      </c>
    </row>
    <row r="4" spans="1:66" x14ac:dyDescent="0.25">
      <c r="B4" s="595" t="s">
        <v>602</v>
      </c>
      <c r="E4" s="596">
        <v>0</v>
      </c>
      <c r="G4" s="596">
        <v>0</v>
      </c>
      <c r="I4" s="596">
        <v>0</v>
      </c>
      <c r="K4" s="596">
        <v>0</v>
      </c>
      <c r="M4" s="596">
        <v>0</v>
      </c>
      <c r="O4" s="596">
        <v>0</v>
      </c>
      <c r="Q4" s="596">
        <v>0</v>
      </c>
      <c r="S4" s="596">
        <v>0</v>
      </c>
    </row>
  </sheetData>
  <autoFilter ref="A1:R1" xr:uid="{24E623BF-494D-4042-9284-05309DB3D2DD}">
    <sortState xmlns:xlrd2="http://schemas.microsoft.com/office/spreadsheetml/2017/richdata2" ref="A2:R4">
      <sortCondition ref="A1"/>
    </sortState>
  </autoFilter>
  <pageMargins left="0.7" right="0.7" top="0.75" bottom="0.75" header="0.3" footer="0.3"/>
  <pageSetup scale="34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545B-600B-4D91-BADD-D96BA7617C0D}">
  <sheetPr codeName="Hoja99"/>
  <dimension ref="B2:L41"/>
  <sheetViews>
    <sheetView view="pageBreakPreview" zoomScale="70" zoomScaleNormal="100" zoomScaleSheetLayoutView="70" workbookViewId="0">
      <selection activeCell="F32" sqref="F32"/>
    </sheetView>
  </sheetViews>
  <sheetFormatPr baseColWidth="10" defaultColWidth="11.42578125" defaultRowHeight="16.5" x14ac:dyDescent="0.25"/>
  <cols>
    <col min="1" max="1" width="3.7109375" style="42" customWidth="1"/>
    <col min="2" max="2" width="10.7109375" style="42" bestFit="1" customWidth="1"/>
    <col min="3" max="3" width="38" style="42" bestFit="1" customWidth="1"/>
    <col min="4" max="4" width="14.85546875" style="42" customWidth="1"/>
    <col min="5" max="5" width="18.42578125" style="42" bestFit="1" customWidth="1"/>
    <col min="6" max="6" width="11.42578125" style="42"/>
    <col min="7" max="7" width="14.28515625" style="42" bestFit="1" customWidth="1"/>
    <col min="8" max="16384" width="11.42578125" style="42"/>
  </cols>
  <sheetData>
    <row r="2" spans="2:12" ht="26.25" customHeight="1" x14ac:dyDescent="0.25">
      <c r="B2" s="1743" t="s">
        <v>603</v>
      </c>
      <c r="C2" s="1743"/>
      <c r="D2" s="1743"/>
      <c r="E2" s="1743"/>
      <c r="F2" s="1743"/>
      <c r="G2" s="1743"/>
      <c r="H2" s="1743"/>
      <c r="I2" s="1743"/>
      <c r="J2" s="1743"/>
      <c r="K2" s="1743"/>
      <c r="L2" s="1743"/>
    </row>
    <row r="3" spans="2:12" ht="26.25" customHeight="1" x14ac:dyDescent="0.25">
      <c r="B3" s="43"/>
      <c r="C3" s="43"/>
      <c r="D3" s="43"/>
      <c r="E3" s="43"/>
    </row>
    <row r="4" spans="2:12" x14ac:dyDescent="0.25">
      <c r="C4" s="44" t="s">
        <v>604</v>
      </c>
      <c r="D4" s="45">
        <v>100</v>
      </c>
      <c r="E4" s="45"/>
    </row>
    <row r="5" spans="2:12" x14ac:dyDescent="0.25">
      <c r="C5" s="46" t="s">
        <v>605</v>
      </c>
      <c r="D5" s="42">
        <v>18</v>
      </c>
      <c r="E5" s="47" t="s">
        <v>606</v>
      </c>
    </row>
    <row r="6" spans="2:12" x14ac:dyDescent="0.25">
      <c r="C6" s="46" t="s">
        <v>109</v>
      </c>
      <c r="D6" s="42">
        <f>SUM(D4:D5)</f>
        <v>118</v>
      </c>
    </row>
    <row r="7" spans="2:12" x14ac:dyDescent="0.25">
      <c r="C7" s="47"/>
      <c r="D7" s="48"/>
      <c r="E7" s="48"/>
    </row>
    <row r="8" spans="2:12" x14ac:dyDescent="0.25">
      <c r="C8" s="49" t="s">
        <v>607</v>
      </c>
      <c r="D8" s="50">
        <f>(D4*100)/$D$6</f>
        <v>84.745762711864401</v>
      </c>
      <c r="E8" s="50"/>
    </row>
    <row r="9" spans="2:12" x14ac:dyDescent="0.25">
      <c r="C9" s="49" t="s">
        <v>608</v>
      </c>
      <c r="D9" s="50">
        <f>100-D8</f>
        <v>15.254237288135599</v>
      </c>
      <c r="E9" s="50"/>
    </row>
    <row r="10" spans="2:12" x14ac:dyDescent="0.25">
      <c r="C10" s="51"/>
      <c r="D10" s="52"/>
      <c r="E10" s="50"/>
    </row>
    <row r="11" spans="2:12" ht="28.5" x14ac:dyDescent="0.25">
      <c r="C11" s="53" t="s">
        <v>110</v>
      </c>
      <c r="D11" s="54" t="s">
        <v>111</v>
      </c>
      <c r="E11" s="55"/>
      <c r="L11" s="42" t="s">
        <v>85</v>
      </c>
    </row>
    <row r="12" spans="2:12" x14ac:dyDescent="0.25">
      <c r="C12" s="56" t="s">
        <v>609</v>
      </c>
      <c r="D12" s="621">
        <f>D8</f>
        <v>84.745762711864401</v>
      </c>
      <c r="E12" s="622"/>
    </row>
    <row r="13" spans="2:12" hidden="1" x14ac:dyDescent="0.25">
      <c r="C13" s="56"/>
      <c r="D13" s="57"/>
      <c r="E13" s="58"/>
    </row>
    <row r="14" spans="2:12" x14ac:dyDescent="0.25">
      <c r="C14" s="59" t="s">
        <v>37</v>
      </c>
      <c r="D14" s="60">
        <f>SUM(D12:D12)</f>
        <v>84.745762711864401</v>
      </c>
      <c r="E14" s="61"/>
    </row>
    <row r="15" spans="2:12" x14ac:dyDescent="0.25">
      <c r="C15" s="62"/>
      <c r="D15" s="63"/>
      <c r="E15" s="63"/>
    </row>
    <row r="16" spans="2:12" x14ac:dyDescent="0.25">
      <c r="C16" s="62"/>
      <c r="D16" s="63"/>
      <c r="E16" s="63"/>
    </row>
    <row r="17" spans="2:8" hidden="1" x14ac:dyDescent="0.25"/>
    <row r="18" spans="2:8" hidden="1" x14ac:dyDescent="0.25">
      <c r="C18" s="51"/>
      <c r="D18" s="64"/>
      <c r="E18" s="65"/>
    </row>
    <row r="19" spans="2:8" ht="28.5" x14ac:dyDescent="0.25">
      <c r="C19" s="53" t="s">
        <v>610</v>
      </c>
      <c r="D19" s="54" t="s">
        <v>111</v>
      </c>
      <c r="E19" s="54" t="s">
        <v>611</v>
      </c>
      <c r="G19" s="46">
        <v>36.51</v>
      </c>
    </row>
    <row r="20" spans="2:8" x14ac:dyDescent="0.25">
      <c r="C20" s="56" t="s">
        <v>612</v>
      </c>
      <c r="D20" s="57">
        <v>0.4</v>
      </c>
      <c r="E20" s="449">
        <f>(D20*(100)/$D$9)</f>
        <v>2.6222222222222213</v>
      </c>
      <c r="F20" s="66">
        <v>2.673E-2</v>
      </c>
      <c r="G20" s="67">
        <f>$G$19*F20</f>
        <v>0.97591229999999995</v>
      </c>
    </row>
    <row r="21" spans="2:8" x14ac:dyDescent="0.25">
      <c r="C21" s="56" t="s">
        <v>613</v>
      </c>
      <c r="D21" s="57">
        <v>3.24</v>
      </c>
      <c r="E21" s="449">
        <f>(D21*(100)/$D$9)</f>
        <v>21.239999999999991</v>
      </c>
      <c r="F21" s="66">
        <v>8.1899999999999994E-3</v>
      </c>
      <c r="G21" s="67">
        <f>$G$19*F21</f>
        <v>0.29901689999999997</v>
      </c>
    </row>
    <row r="22" spans="2:8" x14ac:dyDescent="0.25">
      <c r="C22" s="56" t="s">
        <v>87</v>
      </c>
      <c r="D22" s="57">
        <v>0.02</v>
      </c>
      <c r="E22" s="449">
        <f>(D22*(100)/$D$9)</f>
        <v>0.13111111111111107</v>
      </c>
      <c r="F22" s="66">
        <v>4.0899999999999999E-3</v>
      </c>
      <c r="G22" s="67">
        <f>$G$19*F22</f>
        <v>0.14932589999999998</v>
      </c>
    </row>
    <row r="23" spans="2:8" x14ac:dyDescent="0.25">
      <c r="C23" s="56" t="s">
        <v>89</v>
      </c>
      <c r="D23" s="57">
        <v>0.02</v>
      </c>
      <c r="E23" s="449">
        <f>(D23*(100)/$D$9)</f>
        <v>0.13111111111111107</v>
      </c>
      <c r="F23" s="623">
        <v>3.0000000000000001E-5</v>
      </c>
      <c r="G23" s="67">
        <f>$G$19*F23</f>
        <v>1.0953E-3</v>
      </c>
    </row>
    <row r="24" spans="2:8" x14ac:dyDescent="0.25">
      <c r="C24" s="56" t="s">
        <v>448</v>
      </c>
      <c r="D24" s="624">
        <v>11.57</v>
      </c>
      <c r="E24" s="449">
        <f>(D24*(100)/$D$9)</f>
        <v>75.84777777777775</v>
      </c>
      <c r="F24" s="66">
        <v>0.73963999999999996</v>
      </c>
      <c r="G24" s="67">
        <f>$G$19*F24</f>
        <v>27.004256399999996</v>
      </c>
    </row>
    <row r="25" spans="2:8" x14ac:dyDescent="0.25">
      <c r="C25" s="59" t="s">
        <v>37</v>
      </c>
      <c r="D25" s="60">
        <f>SUM(D20:D24)</f>
        <v>15.25</v>
      </c>
      <c r="E25" s="625">
        <f>SUM(E20:E24)</f>
        <v>99.972222222222186</v>
      </c>
    </row>
    <row r="26" spans="2:8" x14ac:dyDescent="0.25">
      <c r="C26" s="62"/>
      <c r="D26" s="63"/>
      <c r="E26" s="63"/>
    </row>
    <row r="27" spans="2:8" x14ac:dyDescent="0.25">
      <c r="C27" s="68" t="s">
        <v>112</v>
      </c>
      <c r="D27" s="69">
        <f>SUM(D14,D25)</f>
        <v>99.995762711864401</v>
      </c>
      <c r="E27" s="69"/>
    </row>
    <row r="28" spans="2:8" x14ac:dyDescent="0.25">
      <c r="C28" s="51"/>
      <c r="D28" s="64"/>
      <c r="E28" s="65"/>
    </row>
    <row r="29" spans="2:8" x14ac:dyDescent="0.2">
      <c r="B29" s="308" t="s">
        <v>0</v>
      </c>
      <c r="C29" s="308" t="s">
        <v>1</v>
      </c>
      <c r="D29" s="308" t="s">
        <v>2</v>
      </c>
      <c r="E29" s="308" t="s">
        <v>3</v>
      </c>
      <c r="F29" s="620" t="s">
        <v>451</v>
      </c>
      <c r="G29" s="620" t="s">
        <v>452</v>
      </c>
      <c r="H29" s="42">
        <v>1</v>
      </c>
    </row>
    <row r="30" spans="2:8" x14ac:dyDescent="0.25">
      <c r="B30" s="70">
        <v>0</v>
      </c>
      <c r="C30" s="56" t="s">
        <v>609</v>
      </c>
      <c r="D30" s="71">
        <v>0.55087079961015306</v>
      </c>
      <c r="E30" s="72">
        <f t="shared" ref="E30:E35" si="0">(D30*100)/$D$37</f>
        <v>84.74935378617738</v>
      </c>
      <c r="F30" s="523">
        <v>22300</v>
      </c>
      <c r="G30" s="73">
        <f t="shared" ref="G30:G35" si="1">F30*D30</f>
        <v>12284.418831306413</v>
      </c>
      <c r="H30" s="336">
        <f t="shared" ref="H30:H35" si="2">$H$29*E30%</f>
        <v>0.84749353786177384</v>
      </c>
    </row>
    <row r="31" spans="2:8" x14ac:dyDescent="0.25">
      <c r="B31" s="70" t="s">
        <v>4</v>
      </c>
      <c r="C31" s="56" t="s">
        <v>53</v>
      </c>
      <c r="D31" s="70">
        <v>7.5208186787575737E-2</v>
      </c>
      <c r="E31" s="72">
        <f t="shared" si="0"/>
        <v>11.57049027501165</v>
      </c>
      <c r="F31" s="523">
        <v>7</v>
      </c>
      <c r="G31" s="73">
        <f t="shared" si="1"/>
        <v>0.5264573075130301</v>
      </c>
      <c r="H31" s="336">
        <f t="shared" si="2"/>
        <v>0.11570490275011651</v>
      </c>
    </row>
    <row r="32" spans="2:8" x14ac:dyDescent="0.25">
      <c r="B32" s="70" t="s">
        <v>614</v>
      </c>
      <c r="C32" s="56" t="s">
        <v>615</v>
      </c>
      <c r="D32" s="70">
        <v>2.1060892410695371E-2</v>
      </c>
      <c r="E32" s="72">
        <f t="shared" si="0"/>
        <v>3.2401372939531332</v>
      </c>
      <c r="F32" s="523">
        <v>11758</v>
      </c>
      <c r="G32" s="73">
        <f t="shared" si="1"/>
        <v>247.63397296495617</v>
      </c>
      <c r="H32" s="336">
        <f t="shared" si="2"/>
        <v>3.2401372939531332E-2</v>
      </c>
    </row>
    <row r="33" spans="2:8" x14ac:dyDescent="0.25">
      <c r="B33" s="70" t="s">
        <v>17</v>
      </c>
      <c r="C33" s="56" t="s">
        <v>18</v>
      </c>
      <c r="D33" s="70">
        <v>2.6001101741599223E-3</v>
      </c>
      <c r="E33" s="72">
        <f t="shared" si="0"/>
        <v>0.40001694987075725</v>
      </c>
      <c r="F33" s="523">
        <v>878</v>
      </c>
      <c r="G33" s="73">
        <f t="shared" si="1"/>
        <v>2.2828967329124117</v>
      </c>
      <c r="H33" s="336">
        <f t="shared" si="2"/>
        <v>4.0001694987075722E-3</v>
      </c>
    </row>
    <row r="34" spans="2:8" x14ac:dyDescent="0.3">
      <c r="B34" s="626" t="s">
        <v>86</v>
      </c>
      <c r="C34" s="626" t="s">
        <v>87</v>
      </c>
      <c r="D34" s="70">
        <v>1.300055087079961E-4</v>
      </c>
      <c r="E34" s="72">
        <f t="shared" si="0"/>
        <v>2.0000847493537855E-2</v>
      </c>
      <c r="F34" s="523">
        <v>36544</v>
      </c>
      <c r="G34" s="73">
        <f t="shared" si="1"/>
        <v>4.7509213102250092</v>
      </c>
      <c r="H34" s="336">
        <f t="shared" si="2"/>
        <v>2.0000847493537854E-4</v>
      </c>
    </row>
    <row r="35" spans="2:8" x14ac:dyDescent="0.3">
      <c r="B35" s="626" t="s">
        <v>88</v>
      </c>
      <c r="C35" s="626" t="s">
        <v>89</v>
      </c>
      <c r="D35" s="70">
        <v>1.300055087079961E-4</v>
      </c>
      <c r="E35" s="72">
        <f t="shared" si="0"/>
        <v>2.0000847493537855E-2</v>
      </c>
      <c r="F35" s="523">
        <v>35975</v>
      </c>
      <c r="G35" s="73">
        <f t="shared" si="1"/>
        <v>4.6769481757701596</v>
      </c>
      <c r="H35" s="336">
        <f t="shared" si="2"/>
        <v>2.0000847493537854E-4</v>
      </c>
    </row>
    <row r="36" spans="2:8" hidden="1" x14ac:dyDescent="0.25"/>
    <row r="37" spans="2:8" x14ac:dyDescent="0.25">
      <c r="B37" s="1933" t="s">
        <v>37</v>
      </c>
      <c r="C37" s="1934"/>
      <c r="D37" s="627">
        <f>SUM(D30:D35)</f>
        <v>0.65000000000000013</v>
      </c>
      <c r="E37" s="627">
        <f>SUM(E30:E35)</f>
        <v>100</v>
      </c>
      <c r="F37" s="628"/>
      <c r="G37" s="629">
        <f>SUM(G30:G35)</f>
        <v>12544.290027797791</v>
      </c>
    </row>
    <row r="39" spans="2:8" x14ac:dyDescent="0.25">
      <c r="F39" s="42" t="s">
        <v>85</v>
      </c>
    </row>
    <row r="41" spans="2:8" x14ac:dyDescent="0.25">
      <c r="H41" s="42" t="s">
        <v>85</v>
      </c>
    </row>
  </sheetData>
  <mergeCells count="2">
    <mergeCell ref="B2:L2"/>
    <mergeCell ref="B37:C37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8551-AFD7-4F1A-BDAA-291426B08256}">
  <sheetPr codeName="Hoja100"/>
  <dimension ref="B2:M60"/>
  <sheetViews>
    <sheetView view="pageBreakPreview" topLeftCell="C22" zoomScale="70" zoomScaleNormal="100" zoomScaleSheetLayoutView="70" workbookViewId="0">
      <selection activeCell="M30" sqref="M30"/>
    </sheetView>
  </sheetViews>
  <sheetFormatPr baseColWidth="10" defaultColWidth="11.5703125" defaultRowHeight="13.5" x14ac:dyDescent="0.25"/>
  <cols>
    <col min="1" max="1" width="11.5703125" style="120"/>
    <col min="2" max="2" width="18.140625" style="120" customWidth="1"/>
    <col min="3" max="3" width="67.42578125" style="120" bestFit="1" customWidth="1"/>
    <col min="4" max="5" width="11.5703125" style="120"/>
    <col min="6" max="6" width="13" style="120" bestFit="1" customWidth="1"/>
    <col min="7" max="7" width="11.5703125" style="120"/>
    <col min="8" max="8" width="12.5703125" style="120" bestFit="1" customWidth="1"/>
    <col min="9" max="9" width="14.42578125" style="120" bestFit="1" customWidth="1"/>
    <col min="10" max="10" width="12.5703125" style="119" bestFit="1" customWidth="1"/>
    <col min="11" max="16384" width="11.5703125" style="120"/>
  </cols>
  <sheetData>
    <row r="2" spans="2:13" ht="25.5" x14ac:dyDescent="0.25">
      <c r="B2" s="1743" t="s">
        <v>623</v>
      </c>
      <c r="C2" s="1743"/>
      <c r="D2" s="1743"/>
      <c r="E2" s="1743"/>
      <c r="F2" s="1743"/>
      <c r="G2" s="1743"/>
      <c r="H2" s="1743"/>
      <c r="I2" s="1743"/>
    </row>
    <row r="4" spans="2:13" ht="25.5" x14ac:dyDescent="0.25">
      <c r="B4" s="117" t="s">
        <v>0</v>
      </c>
      <c r="C4" s="117" t="s">
        <v>1</v>
      </c>
      <c r="D4" s="117" t="s">
        <v>2</v>
      </c>
      <c r="E4" s="117" t="s">
        <v>3</v>
      </c>
      <c r="F4" s="183" t="s">
        <v>540</v>
      </c>
      <c r="G4" s="149" t="s">
        <v>512</v>
      </c>
      <c r="H4" s="118" t="s">
        <v>306</v>
      </c>
      <c r="I4" s="118" t="s">
        <v>307</v>
      </c>
      <c r="J4" s="118" t="s">
        <v>3</v>
      </c>
      <c r="K4" s="120">
        <v>471</v>
      </c>
    </row>
    <row r="5" spans="2:13" ht="16.5" x14ac:dyDescent="0.25">
      <c r="B5" s="70">
        <v>0</v>
      </c>
      <c r="C5" s="56" t="s">
        <v>609</v>
      </c>
      <c r="D5" s="143">
        <v>0.84749353786177384</v>
      </c>
      <c r="E5" s="96">
        <f t="shared" ref="E5:E10" si="0">(D5*100)/$D$12</f>
        <v>84.74935378617738</v>
      </c>
      <c r="F5" s="96">
        <v>27600</v>
      </c>
      <c r="G5" s="96">
        <f t="shared" ref="G5:G10" si="1">F5*D5</f>
        <v>23390.821644984957</v>
      </c>
      <c r="H5" s="95">
        <v>0</v>
      </c>
      <c r="I5" s="96">
        <f t="shared" ref="I5:I10" si="2">H5*D5</f>
        <v>0</v>
      </c>
      <c r="J5" s="631" t="e">
        <f t="shared" ref="J5:J10" si="3">((F5/H5)*100)-100</f>
        <v>#DIV/0!</v>
      </c>
      <c r="K5" s="178">
        <f t="shared" ref="K5:K10" si="4">$K$4*E5%</f>
        <v>399.16945633289549</v>
      </c>
    </row>
    <row r="6" spans="2:13" ht="16.5" x14ac:dyDescent="0.25">
      <c r="B6" s="70" t="s">
        <v>4</v>
      </c>
      <c r="C6" s="56" t="s">
        <v>53</v>
      </c>
      <c r="D6" s="143">
        <v>0.11570490275011651</v>
      </c>
      <c r="E6" s="96">
        <f t="shared" si="0"/>
        <v>11.57049027501165</v>
      </c>
      <c r="F6" s="72">
        <v>7</v>
      </c>
      <c r="G6" s="96">
        <f t="shared" si="1"/>
        <v>0.8099343192508156</v>
      </c>
      <c r="H6" s="95">
        <v>0</v>
      </c>
      <c r="I6" s="96">
        <f t="shared" si="2"/>
        <v>0</v>
      </c>
      <c r="J6" s="631" t="e">
        <f t="shared" si="3"/>
        <v>#DIV/0!</v>
      </c>
      <c r="K6" s="178">
        <f t="shared" si="4"/>
        <v>54.497009195304877</v>
      </c>
    </row>
    <row r="7" spans="2:13" ht="16.5" x14ac:dyDescent="0.25">
      <c r="B7" s="70" t="s">
        <v>614</v>
      </c>
      <c r="C7" s="56" t="s">
        <v>615</v>
      </c>
      <c r="D7" s="143">
        <v>3.2401372939531332E-2</v>
      </c>
      <c r="E7" s="96">
        <f t="shared" si="0"/>
        <v>3.2401372939531332</v>
      </c>
      <c r="F7" s="95">
        <v>11758</v>
      </c>
      <c r="G7" s="96">
        <f t="shared" si="1"/>
        <v>380.97534302300943</v>
      </c>
      <c r="H7" s="95">
        <v>0</v>
      </c>
      <c r="I7" s="96">
        <f t="shared" si="2"/>
        <v>0</v>
      </c>
      <c r="J7" s="631" t="e">
        <f t="shared" si="3"/>
        <v>#DIV/0!</v>
      </c>
      <c r="K7" s="178">
        <f t="shared" si="4"/>
        <v>15.261046654519257</v>
      </c>
      <c r="M7" s="120" t="s">
        <v>85</v>
      </c>
    </row>
    <row r="8" spans="2:13" ht="16.5" x14ac:dyDescent="0.25">
      <c r="B8" s="70" t="s">
        <v>17</v>
      </c>
      <c r="C8" s="56" t="s">
        <v>18</v>
      </c>
      <c r="D8" s="143">
        <v>4.0001694987075722E-3</v>
      </c>
      <c r="E8" s="96">
        <f t="shared" si="0"/>
        <v>0.4000169498707572</v>
      </c>
      <c r="F8" s="72">
        <v>878</v>
      </c>
      <c r="G8" s="96">
        <f t="shared" si="1"/>
        <v>3.5121488198652484</v>
      </c>
      <c r="H8" s="95">
        <v>0</v>
      </c>
      <c r="I8" s="96">
        <f t="shared" si="2"/>
        <v>0</v>
      </c>
      <c r="J8" s="631" t="e">
        <f t="shared" si="3"/>
        <v>#DIV/0!</v>
      </c>
      <c r="K8" s="178">
        <f t="shared" si="4"/>
        <v>1.8840798338912665</v>
      </c>
    </row>
    <row r="9" spans="2:13" ht="16.5" x14ac:dyDescent="0.3">
      <c r="B9" s="626" t="s">
        <v>86</v>
      </c>
      <c r="C9" s="626" t="s">
        <v>87</v>
      </c>
      <c r="D9" s="143">
        <v>2.0000847493537854E-4</v>
      </c>
      <c r="E9" s="96">
        <f t="shared" si="0"/>
        <v>2.0000847493537855E-2</v>
      </c>
      <c r="F9" s="96">
        <v>51477</v>
      </c>
      <c r="G9" s="96">
        <f t="shared" si="1"/>
        <v>10.29583626424848</v>
      </c>
      <c r="H9" s="95">
        <v>0</v>
      </c>
      <c r="I9" s="96">
        <f t="shared" si="2"/>
        <v>0</v>
      </c>
      <c r="J9" s="631" t="e">
        <f t="shared" si="3"/>
        <v>#DIV/0!</v>
      </c>
      <c r="K9" s="178">
        <f t="shared" si="4"/>
        <v>9.4203991694563297E-2</v>
      </c>
    </row>
    <row r="10" spans="2:13" ht="16.5" x14ac:dyDescent="0.3">
      <c r="B10" s="626" t="s">
        <v>88</v>
      </c>
      <c r="C10" s="626" t="s">
        <v>89</v>
      </c>
      <c r="D10" s="143">
        <v>2.0000847493537854E-4</v>
      </c>
      <c r="E10" s="96">
        <f t="shared" si="0"/>
        <v>2.0000847493537855E-2</v>
      </c>
      <c r="F10" s="184">
        <v>40869</v>
      </c>
      <c r="G10" s="96">
        <f t="shared" si="1"/>
        <v>8.1741463621339854</v>
      </c>
      <c r="H10" s="88">
        <v>0</v>
      </c>
      <c r="I10" s="96">
        <f t="shared" si="2"/>
        <v>0</v>
      </c>
      <c r="J10" s="631" t="e">
        <f t="shared" si="3"/>
        <v>#DIV/0!</v>
      </c>
      <c r="K10" s="178">
        <f t="shared" si="4"/>
        <v>9.4203991694563297E-2</v>
      </c>
    </row>
    <row r="11" spans="2:13" ht="13.15" hidden="1" customHeight="1" x14ac:dyDescent="0.25">
      <c r="B11" s="154"/>
      <c r="C11" s="154"/>
      <c r="D11" s="204"/>
      <c r="E11" s="154"/>
      <c r="F11" s="154"/>
      <c r="G11" s="154"/>
      <c r="H11" s="95"/>
      <c r="I11" s="96"/>
      <c r="J11" s="631"/>
      <c r="K11" s="178"/>
    </row>
    <row r="12" spans="2:13" s="146" customFormat="1" x14ac:dyDescent="0.25">
      <c r="B12" s="1817" t="s">
        <v>37</v>
      </c>
      <c r="C12" s="1818"/>
      <c r="D12" s="155">
        <f>SUM(D5:D10)</f>
        <v>1</v>
      </c>
      <c r="E12" s="156">
        <f>SUM(E5:E10)</f>
        <v>100</v>
      </c>
      <c r="F12" s="156"/>
      <c r="G12" s="230">
        <f>SUM(G5:G10)</f>
        <v>23794.589053773463</v>
      </c>
      <c r="H12" s="156"/>
      <c r="I12" s="157">
        <f>SUM(I5:I10)</f>
        <v>0</v>
      </c>
      <c r="J12" s="175" t="e">
        <f>((G12/I12)*100)-100</f>
        <v>#DIV/0!</v>
      </c>
    </row>
    <row r="13" spans="2:13" s="146" customFormat="1" x14ac:dyDescent="0.25">
      <c r="B13" s="229"/>
      <c r="C13" s="229"/>
      <c r="D13" s="158"/>
      <c r="E13" s="130"/>
      <c r="F13" s="130"/>
      <c r="G13" s="130"/>
      <c r="H13" s="130"/>
      <c r="I13" s="224"/>
      <c r="J13" s="119"/>
    </row>
    <row r="14" spans="2:13" ht="25.5" x14ac:dyDescent="0.25">
      <c r="B14" s="1743" t="s">
        <v>618</v>
      </c>
      <c r="C14" s="1743"/>
      <c r="D14" s="1743"/>
      <c r="E14" s="1743"/>
      <c r="F14" s="1743"/>
      <c r="G14" s="1743"/>
      <c r="H14" s="1743"/>
      <c r="I14" s="1743"/>
    </row>
    <row r="16" spans="2:13" ht="25.5" x14ac:dyDescent="0.25">
      <c r="B16" s="117" t="s">
        <v>0</v>
      </c>
      <c r="C16" s="117" t="s">
        <v>1</v>
      </c>
      <c r="D16" s="117" t="s">
        <v>2</v>
      </c>
      <c r="E16" s="117" t="s">
        <v>3</v>
      </c>
      <c r="F16" s="183" t="s">
        <v>540</v>
      </c>
      <c r="G16" s="149" t="s">
        <v>512</v>
      </c>
      <c r="H16" s="118" t="s">
        <v>306</v>
      </c>
      <c r="I16" s="118" t="s">
        <v>307</v>
      </c>
      <c r="J16" s="118" t="s">
        <v>3</v>
      </c>
      <c r="K16" s="281"/>
    </row>
    <row r="17" spans="2:13" ht="16.5" x14ac:dyDescent="0.25">
      <c r="B17" s="154"/>
      <c r="C17" s="630" t="s">
        <v>617</v>
      </c>
      <c r="D17" s="143">
        <v>0.2</v>
      </c>
      <c r="E17" s="96">
        <f>(D17*100)/$D$20</f>
        <v>20</v>
      </c>
      <c r="F17" s="96">
        <v>30500</v>
      </c>
      <c r="G17" s="96">
        <f>F17*D17</f>
        <v>6100</v>
      </c>
      <c r="H17" s="95">
        <v>0</v>
      </c>
      <c r="I17" s="106">
        <f>H17*D17</f>
        <v>0</v>
      </c>
      <c r="J17" s="632" t="e">
        <f>((F17/H17)*100)-100</f>
        <v>#DIV/0!</v>
      </c>
      <c r="K17" s="281"/>
    </row>
    <row r="18" spans="2:13" ht="16.5" x14ac:dyDescent="0.25">
      <c r="B18" s="154"/>
      <c r="C18" s="56" t="s">
        <v>448</v>
      </c>
      <c r="D18" s="143">
        <v>0.8</v>
      </c>
      <c r="E18" s="96">
        <f>(D18*100)/$D$20</f>
        <v>80</v>
      </c>
      <c r="F18" s="96">
        <v>7</v>
      </c>
      <c r="G18" s="96">
        <f>F18*D18</f>
        <v>5.6000000000000005</v>
      </c>
      <c r="H18" s="95">
        <v>0</v>
      </c>
      <c r="I18" s="106">
        <f>H18*D18</f>
        <v>0</v>
      </c>
      <c r="J18" s="632" t="e">
        <f>((F18/H18)*100)-100</f>
        <v>#DIV/0!</v>
      </c>
      <c r="K18" s="281"/>
    </row>
    <row r="19" spans="2:13" ht="7.15" hidden="1" customHeight="1" x14ac:dyDescent="0.25">
      <c r="B19" s="154"/>
      <c r="C19" s="154"/>
      <c r="D19" s="204"/>
      <c r="E19" s="154"/>
      <c r="F19" s="154"/>
      <c r="G19" s="154"/>
      <c r="H19" s="95"/>
      <c r="I19" s="96"/>
      <c r="J19" s="96"/>
    </row>
    <row r="20" spans="2:13" s="146" customFormat="1" x14ac:dyDescent="0.25">
      <c r="B20" s="1817" t="s">
        <v>37</v>
      </c>
      <c r="C20" s="1818"/>
      <c r="D20" s="155">
        <f>SUM(D17:D18)</f>
        <v>1</v>
      </c>
      <c r="E20" s="156">
        <f>SUM(E17:E18)</f>
        <v>100</v>
      </c>
      <c r="F20" s="156"/>
      <c r="G20" s="230">
        <f>SUM(G17:G18)</f>
        <v>6105.6</v>
      </c>
      <c r="H20" s="156"/>
      <c r="I20" s="157">
        <f>SUM(I17:I18)</f>
        <v>0</v>
      </c>
      <c r="J20" s="175" t="e">
        <f>((G20/I20)*100)-100</f>
        <v>#DIV/0!</v>
      </c>
    </row>
    <row r="21" spans="2:13" x14ac:dyDescent="0.25">
      <c r="G21" s="217"/>
      <c r="H21" s="159"/>
      <c r="I21" s="224"/>
    </row>
    <row r="22" spans="2:13" ht="25.5" x14ac:dyDescent="0.25">
      <c r="B22" s="1743" t="s">
        <v>620</v>
      </c>
      <c r="C22" s="1743"/>
      <c r="D22" s="1743"/>
      <c r="E22" s="1743"/>
      <c r="F22" s="1743"/>
      <c r="G22" s="1743"/>
      <c r="H22" s="1743"/>
      <c r="I22" s="1743"/>
    </row>
    <row r="24" spans="2:13" ht="25.5" x14ac:dyDescent="0.25">
      <c r="B24" s="117" t="s">
        <v>0</v>
      </c>
      <c r="C24" s="117" t="s">
        <v>1</v>
      </c>
      <c r="D24" s="117" t="s">
        <v>2</v>
      </c>
      <c r="E24" s="117" t="s">
        <v>3</v>
      </c>
      <c r="F24" s="183" t="s">
        <v>540</v>
      </c>
      <c r="G24" s="149" t="s">
        <v>512</v>
      </c>
      <c r="H24" s="118" t="s">
        <v>306</v>
      </c>
      <c r="I24" s="118" t="s">
        <v>307</v>
      </c>
      <c r="J24" s="118" t="s">
        <v>3</v>
      </c>
      <c r="K24" s="119">
        <v>0.27500000000000002</v>
      </c>
      <c r="L24" s="119">
        <v>0.55000000000000004</v>
      </c>
      <c r="M24" s="120">
        <v>488</v>
      </c>
    </row>
    <row r="25" spans="2:13" ht="16.5" x14ac:dyDescent="0.25">
      <c r="B25" s="70">
        <v>0</v>
      </c>
      <c r="C25" s="56" t="s">
        <v>609</v>
      </c>
      <c r="D25" s="143">
        <v>0.46598393524619464</v>
      </c>
      <c r="E25" s="96">
        <f t="shared" ref="E25:E31" si="5">(D25*100)/$D$33</f>
        <v>84.724351862944474</v>
      </c>
      <c r="F25" s="96">
        <v>27600</v>
      </c>
      <c r="G25" s="96">
        <f>F25*D25</f>
        <v>12861.156612794972</v>
      </c>
      <c r="H25" s="95">
        <v>0</v>
      </c>
      <c r="I25" s="96">
        <f t="shared" ref="I25:I31" si="6">H25*D25</f>
        <v>0</v>
      </c>
      <c r="J25" s="233" t="e">
        <f>((F25/H25)*100)-100</f>
        <v>#DIV/0!</v>
      </c>
      <c r="K25" s="119">
        <f>$K$24*E25%</f>
        <v>0.23299196762309732</v>
      </c>
      <c r="L25" s="119">
        <f>$L$24*E25%</f>
        <v>0.46598393524619464</v>
      </c>
      <c r="M25" s="178">
        <f>$M$24*E25%</f>
        <v>413.454837091169</v>
      </c>
    </row>
    <row r="26" spans="2:13" ht="16.5" x14ac:dyDescent="0.25">
      <c r="B26" s="70" t="s">
        <v>4</v>
      </c>
      <c r="C26" s="56" t="s">
        <v>53</v>
      </c>
      <c r="D26" s="143">
        <v>6.2681502860887181E-2</v>
      </c>
      <c r="E26" s="96">
        <f t="shared" si="5"/>
        <v>11.396636883797669</v>
      </c>
      <c r="F26" s="72">
        <v>7</v>
      </c>
      <c r="G26" s="96">
        <f t="shared" ref="G26:G31" si="7">F26*D26</f>
        <v>0.43877052002621025</v>
      </c>
      <c r="H26" s="95">
        <v>0</v>
      </c>
      <c r="I26" s="96">
        <f t="shared" si="6"/>
        <v>0</v>
      </c>
      <c r="J26" s="233" t="e">
        <f t="shared" ref="J26:J31" si="8">((F26/H26)*100)-100</f>
        <v>#DIV/0!</v>
      </c>
      <c r="K26" s="119">
        <f t="shared" ref="K26:K31" si="9">$K$24*E26%</f>
        <v>3.1340751430443591E-2</v>
      </c>
      <c r="L26" s="119">
        <f t="shared" ref="L26:L31" si="10">$L$24*E26%</f>
        <v>6.2681502860887181E-2</v>
      </c>
      <c r="M26" s="178">
        <f t="shared" ref="M26:M31" si="11">$M$24*E26%</f>
        <v>55.615587992932625</v>
      </c>
    </row>
    <row r="27" spans="2:13" ht="16.5" x14ac:dyDescent="0.25">
      <c r="B27" s="70" t="s">
        <v>614</v>
      </c>
      <c r="C27" s="56" t="s">
        <v>615</v>
      </c>
      <c r="D27" s="143">
        <v>1.7815497812332506E-2</v>
      </c>
      <c r="E27" s="96">
        <f t="shared" si="5"/>
        <v>3.2391814204240919</v>
      </c>
      <c r="F27" s="95">
        <v>11758</v>
      </c>
      <c r="G27" s="96">
        <f t="shared" si="7"/>
        <v>209.47462327740561</v>
      </c>
      <c r="H27" s="95">
        <v>0</v>
      </c>
      <c r="I27" s="96">
        <f t="shared" si="6"/>
        <v>0</v>
      </c>
      <c r="J27" s="233" t="e">
        <f t="shared" si="8"/>
        <v>#DIV/0!</v>
      </c>
      <c r="K27" s="119">
        <f t="shared" si="9"/>
        <v>8.9077489061662532E-3</v>
      </c>
      <c r="L27" s="119">
        <f t="shared" si="10"/>
        <v>1.7815497812332506E-2</v>
      </c>
      <c r="M27" s="178">
        <f t="shared" si="11"/>
        <v>15.80720533166957</v>
      </c>
    </row>
    <row r="28" spans="2:13" ht="16.5" x14ac:dyDescent="0.25">
      <c r="B28" s="70" t="s">
        <v>17</v>
      </c>
      <c r="C28" s="56" t="s">
        <v>18</v>
      </c>
      <c r="D28" s="143">
        <v>2.1994441743620383E-3</v>
      </c>
      <c r="E28" s="96">
        <f t="shared" si="5"/>
        <v>0.39989894079309785</v>
      </c>
      <c r="F28" s="72">
        <v>878</v>
      </c>
      <c r="G28" s="96">
        <f t="shared" si="7"/>
        <v>1.9311119850898697</v>
      </c>
      <c r="H28" s="95">
        <v>0</v>
      </c>
      <c r="I28" s="96">
        <f t="shared" si="6"/>
        <v>0</v>
      </c>
      <c r="J28" s="233" t="e">
        <f t="shared" si="8"/>
        <v>#DIV/0!</v>
      </c>
      <c r="K28" s="119">
        <f t="shared" si="9"/>
        <v>1.0997220871810192E-3</v>
      </c>
      <c r="L28" s="119">
        <f t="shared" si="10"/>
        <v>2.1994441743620383E-3</v>
      </c>
      <c r="M28" s="178">
        <f t="shared" si="11"/>
        <v>1.9515068310703176</v>
      </c>
    </row>
    <row r="29" spans="2:13" ht="16.5" x14ac:dyDescent="0.3">
      <c r="B29" s="626" t="s">
        <v>86</v>
      </c>
      <c r="C29" s="626" t="s">
        <v>87</v>
      </c>
      <c r="D29" s="143">
        <v>1.0997220871810188E-4</v>
      </c>
      <c r="E29" s="96">
        <f t="shared" si="5"/>
        <v>1.9994947039654886E-2</v>
      </c>
      <c r="F29" s="96">
        <v>51477</v>
      </c>
      <c r="G29" s="96">
        <f t="shared" si="7"/>
        <v>5.6610393881817309</v>
      </c>
      <c r="H29" s="95">
        <v>0</v>
      </c>
      <c r="I29" s="96">
        <f t="shared" si="6"/>
        <v>0</v>
      </c>
      <c r="J29" s="233" t="e">
        <f t="shared" si="8"/>
        <v>#DIV/0!</v>
      </c>
      <c r="K29" s="119">
        <f t="shared" si="9"/>
        <v>5.498610435905094E-5</v>
      </c>
      <c r="L29" s="119">
        <f t="shared" si="10"/>
        <v>1.0997220871810188E-4</v>
      </c>
      <c r="M29" s="178">
        <f t="shared" si="11"/>
        <v>9.757534155351584E-2</v>
      </c>
    </row>
    <row r="30" spans="2:13" ht="16.5" x14ac:dyDescent="0.3">
      <c r="B30" s="626" t="s">
        <v>467</v>
      </c>
      <c r="C30" s="626" t="s">
        <v>619</v>
      </c>
      <c r="D30" s="143">
        <v>1.0996754887874947E-3</v>
      </c>
      <c r="E30" s="96">
        <f t="shared" si="5"/>
        <v>0.19994099796136267</v>
      </c>
      <c r="F30" s="96">
        <v>6106</v>
      </c>
      <c r="G30" s="96">
        <f t="shared" si="7"/>
        <v>6.7146185345364424</v>
      </c>
      <c r="H30" s="95">
        <v>0</v>
      </c>
      <c r="I30" s="96">
        <f t="shared" si="6"/>
        <v>0</v>
      </c>
      <c r="J30" s="233" t="e">
        <f t="shared" si="8"/>
        <v>#DIV/0!</v>
      </c>
      <c r="K30" s="119">
        <f t="shared" si="9"/>
        <v>5.4983774439374734E-4</v>
      </c>
      <c r="L30" s="119">
        <f t="shared" si="10"/>
        <v>1.0996754887874947E-3</v>
      </c>
      <c r="M30" s="178">
        <f t="shared" si="11"/>
        <v>0.97571207005144978</v>
      </c>
    </row>
    <row r="31" spans="2:13" ht="16.5" x14ac:dyDescent="0.3">
      <c r="B31" s="626" t="s">
        <v>88</v>
      </c>
      <c r="C31" s="626" t="s">
        <v>89</v>
      </c>
      <c r="D31" s="143">
        <v>1.0997220871810188E-4</v>
      </c>
      <c r="E31" s="96">
        <f t="shared" si="5"/>
        <v>1.9994947039654886E-2</v>
      </c>
      <c r="F31" s="184">
        <v>40869</v>
      </c>
      <c r="G31" s="96">
        <f t="shared" si="7"/>
        <v>4.4944541981001054</v>
      </c>
      <c r="H31" s="88">
        <v>0</v>
      </c>
      <c r="I31" s="96">
        <f t="shared" si="6"/>
        <v>0</v>
      </c>
      <c r="J31" s="233" t="e">
        <f t="shared" si="8"/>
        <v>#DIV/0!</v>
      </c>
      <c r="K31" s="119">
        <f t="shared" si="9"/>
        <v>5.498610435905094E-5</v>
      </c>
      <c r="L31" s="119">
        <f t="shared" si="10"/>
        <v>1.0997220871810188E-4</v>
      </c>
      <c r="M31" s="178">
        <f t="shared" si="11"/>
        <v>9.757534155351584E-2</v>
      </c>
    </row>
    <row r="32" spans="2:13" ht="13.15" hidden="1" customHeight="1" x14ac:dyDescent="0.25">
      <c r="B32" s="154"/>
      <c r="C32" s="154"/>
      <c r="D32" s="204"/>
      <c r="E32" s="154"/>
      <c r="F32" s="154"/>
      <c r="G32" s="154"/>
      <c r="H32" s="95"/>
      <c r="I32" s="96"/>
      <c r="J32" s="96"/>
      <c r="K32" s="178"/>
    </row>
    <row r="33" spans="2:10" s="146" customFormat="1" x14ac:dyDescent="0.25">
      <c r="B33" s="1817" t="s">
        <v>37</v>
      </c>
      <c r="C33" s="1818"/>
      <c r="D33" s="155">
        <f>SUM(D25:D31)</f>
        <v>0.55000000000000004</v>
      </c>
      <c r="E33" s="156">
        <f>SUM(E25:E31)</f>
        <v>99.999999999999986</v>
      </c>
      <c r="F33" s="156"/>
      <c r="G33" s="230">
        <f>SUM(G25:G31)</f>
        <v>13089.871230698313</v>
      </c>
      <c r="H33" s="156"/>
      <c r="I33" s="157">
        <f>SUM(I25:I31)</f>
        <v>0</v>
      </c>
      <c r="J33" s="175" t="e">
        <f>((G33/I33)*100)-100</f>
        <v>#DIV/0!</v>
      </c>
    </row>
    <row r="35" spans="2:10" ht="25.5" x14ac:dyDescent="0.25">
      <c r="B35" s="1816" t="s">
        <v>50</v>
      </c>
      <c r="C35" s="1819"/>
      <c r="D35" s="159"/>
      <c r="E35" s="159"/>
      <c r="F35" s="159"/>
      <c r="G35" s="159"/>
      <c r="H35" s="159"/>
      <c r="I35" s="159"/>
      <c r="J35" s="158"/>
    </row>
    <row r="36" spans="2:10" x14ac:dyDescent="0.25">
      <c r="B36" s="216" t="s">
        <v>38</v>
      </c>
      <c r="C36" s="215" t="s">
        <v>90</v>
      </c>
      <c r="D36" s="146"/>
      <c r="H36" s="146"/>
    </row>
    <row r="37" spans="2:10" x14ac:dyDescent="0.25">
      <c r="B37" s="216" t="s">
        <v>39</v>
      </c>
      <c r="C37" s="215" t="s">
        <v>616</v>
      </c>
      <c r="D37" s="146"/>
      <c r="H37" s="146"/>
    </row>
    <row r="38" spans="2:10" x14ac:dyDescent="0.25">
      <c r="B38" s="216" t="s">
        <v>40</v>
      </c>
      <c r="C38" s="215">
        <v>500</v>
      </c>
      <c r="D38" s="146"/>
      <c r="H38" s="146"/>
    </row>
    <row r="39" spans="2:10" x14ac:dyDescent="0.25">
      <c r="B39" s="216" t="s">
        <v>41</v>
      </c>
      <c r="C39" s="215">
        <v>0</v>
      </c>
      <c r="D39" s="146"/>
      <c r="H39" s="146"/>
    </row>
    <row r="40" spans="2:10" x14ac:dyDescent="0.25">
      <c r="B40" s="216" t="s">
        <v>42</v>
      </c>
      <c r="C40" s="215">
        <v>0</v>
      </c>
      <c r="D40" s="146"/>
      <c r="H40" s="146"/>
    </row>
    <row r="41" spans="2:10" x14ac:dyDescent="0.25">
      <c r="B41" s="216" t="s">
        <v>43</v>
      </c>
      <c r="C41" s="215">
        <v>6</v>
      </c>
      <c r="D41" s="146"/>
      <c r="H41" s="146"/>
    </row>
    <row r="42" spans="2:10" x14ac:dyDescent="0.25">
      <c r="B42" s="216" t="s">
        <v>44</v>
      </c>
      <c r="C42" s="215">
        <v>0</v>
      </c>
      <c r="D42" s="146"/>
      <c r="H42" s="146"/>
    </row>
    <row r="43" spans="2:10" x14ac:dyDescent="0.25">
      <c r="B43" s="216" t="s">
        <v>45</v>
      </c>
      <c r="C43" s="215">
        <v>4</v>
      </c>
      <c r="D43" s="146"/>
      <c r="H43" s="146"/>
    </row>
    <row r="44" spans="2:10" x14ac:dyDescent="0.25">
      <c r="B44" s="216" t="s">
        <v>46</v>
      </c>
      <c r="C44" s="214">
        <f>SUM(C39,C40,C41,C42,C43)</f>
        <v>10</v>
      </c>
      <c r="D44" s="146"/>
      <c r="H44" s="146"/>
    </row>
    <row r="45" spans="2:10" x14ac:dyDescent="0.25">
      <c r="B45" s="159"/>
      <c r="C45" s="173"/>
      <c r="D45" s="146"/>
      <c r="H45" s="146"/>
    </row>
    <row r="46" spans="2:10" x14ac:dyDescent="0.25">
      <c r="G46" s="217"/>
      <c r="H46" s="159"/>
      <c r="I46" s="224"/>
    </row>
    <row r="47" spans="2:10" ht="25.5" x14ac:dyDescent="0.25">
      <c r="B47" s="1795" t="s">
        <v>47</v>
      </c>
      <c r="C47" s="1796"/>
      <c r="D47" s="1796"/>
      <c r="E47" s="1796"/>
      <c r="F47" s="1796"/>
      <c r="G47" s="1796"/>
      <c r="H47" s="1796"/>
      <c r="I47" s="1797"/>
      <c r="J47" s="223"/>
    </row>
    <row r="48" spans="2:10" ht="25.5" x14ac:dyDescent="0.25">
      <c r="B48" s="227" t="s">
        <v>0</v>
      </c>
      <c r="C48" s="227" t="s">
        <v>1</v>
      </c>
      <c r="D48" s="228" t="s">
        <v>2</v>
      </c>
      <c r="E48" s="200" t="s">
        <v>540</v>
      </c>
      <c r="F48" s="201" t="s">
        <v>512</v>
      </c>
      <c r="G48" s="144" t="s">
        <v>306</v>
      </c>
      <c r="H48" s="144" t="s">
        <v>307</v>
      </c>
      <c r="I48" s="144" t="s">
        <v>3</v>
      </c>
    </row>
    <row r="49" spans="2:10" x14ac:dyDescent="0.25">
      <c r="B49" s="222" t="s">
        <v>314</v>
      </c>
      <c r="C49" s="222" t="s">
        <v>315</v>
      </c>
      <c r="D49" s="221">
        <v>0.14499999999999999</v>
      </c>
      <c r="E49" s="225">
        <v>861</v>
      </c>
      <c r="F49" s="225">
        <f>E49*D49</f>
        <v>124.84499999999998</v>
      </c>
      <c r="G49" s="225">
        <v>0</v>
      </c>
      <c r="H49" s="225">
        <f>G49*D49</f>
        <v>0</v>
      </c>
      <c r="I49" s="225" t="e">
        <f>((E49/G49)*100)-100</f>
        <v>#DIV/0!</v>
      </c>
    </row>
    <row r="50" spans="2:10" x14ac:dyDescent="0.25">
      <c r="B50" s="222" t="s">
        <v>128</v>
      </c>
      <c r="C50" s="222" t="s">
        <v>129</v>
      </c>
      <c r="D50" s="221">
        <v>0.14499999999999999</v>
      </c>
      <c r="E50" s="225">
        <v>1350</v>
      </c>
      <c r="F50" s="225">
        <f>E50*D50</f>
        <v>195.75</v>
      </c>
      <c r="G50" s="225">
        <v>0</v>
      </c>
      <c r="H50" s="225">
        <f>G50*D50</f>
        <v>0</v>
      </c>
      <c r="I50" s="634" t="e">
        <f>((E50/G50)*100)-100</f>
        <v>#DIV/0!</v>
      </c>
    </row>
    <row r="51" spans="2:10" x14ac:dyDescent="0.25">
      <c r="B51" s="222" t="s">
        <v>621</v>
      </c>
      <c r="C51" s="222" t="s">
        <v>622</v>
      </c>
      <c r="D51" s="221">
        <v>1</v>
      </c>
      <c r="E51" s="225">
        <v>114</v>
      </c>
      <c r="F51" s="225">
        <f>E51*D51</f>
        <v>114</v>
      </c>
      <c r="G51" s="225">
        <v>0</v>
      </c>
      <c r="H51" s="225">
        <f>G51*D51</f>
        <v>0</v>
      </c>
      <c r="I51" s="225" t="e">
        <f>((E51/G51)*100)-100</f>
        <v>#DIV/0!</v>
      </c>
    </row>
    <row r="52" spans="2:10" x14ac:dyDescent="0.25">
      <c r="B52" s="209"/>
      <c r="C52" s="209" t="s">
        <v>37</v>
      </c>
      <c r="D52" s="220"/>
      <c r="E52" s="220"/>
      <c r="F52" s="213">
        <f>SUM(F49:F51)</f>
        <v>434.59499999999997</v>
      </c>
      <c r="G52" s="220"/>
      <c r="H52" s="220">
        <f>SUM(H49:H51)</f>
        <v>0</v>
      </c>
      <c r="I52" s="633" t="e">
        <f>((F52/H52)*100)-100</f>
        <v>#DIV/0!</v>
      </c>
    </row>
    <row r="53" spans="2:10" x14ac:dyDescent="0.25">
      <c r="H53" s="146"/>
      <c r="I53" s="207"/>
    </row>
    <row r="54" spans="2:10" x14ac:dyDescent="0.25">
      <c r="B54" s="1798" t="s">
        <v>155</v>
      </c>
      <c r="C54" s="1798"/>
      <c r="D54" s="1799">
        <f>F52+G33</f>
        <v>13524.466230698312</v>
      </c>
      <c r="E54" s="1799"/>
      <c r="F54" s="1799"/>
      <c r="G54" s="1799"/>
      <c r="H54" s="1799"/>
      <c r="I54" s="181"/>
    </row>
    <row r="55" spans="2:10" x14ac:dyDescent="0.25">
      <c r="B55" s="1800" t="s">
        <v>48</v>
      </c>
      <c r="C55" s="1801"/>
      <c r="D55" s="1799">
        <f>+(921.6/1000)*500</f>
        <v>460.8</v>
      </c>
      <c r="E55" s="1799"/>
      <c r="F55" s="1799"/>
      <c r="G55" s="1799"/>
      <c r="H55" s="1799"/>
      <c r="I55" s="207"/>
    </row>
    <row r="56" spans="2:10" x14ac:dyDescent="0.25">
      <c r="B56" s="1800" t="s">
        <v>92</v>
      </c>
      <c r="C56" s="1801"/>
      <c r="D56" s="1799">
        <f>+D54+D55</f>
        <v>13985.266230698311</v>
      </c>
      <c r="E56" s="1799"/>
      <c r="F56" s="1799"/>
      <c r="G56" s="1799"/>
      <c r="H56" s="1799"/>
      <c r="I56" s="219"/>
    </row>
    <row r="57" spans="2:10" x14ac:dyDescent="0.25">
      <c r="B57" s="1798" t="s">
        <v>49</v>
      </c>
      <c r="C57" s="1798"/>
      <c r="D57" s="1799">
        <f>D56/I58</f>
        <v>20099.549052455175</v>
      </c>
      <c r="E57" s="1799"/>
      <c r="F57" s="1799"/>
      <c r="G57" s="1799"/>
      <c r="H57" s="1799"/>
      <c r="I57" s="300">
        <v>0.30420000000000003</v>
      </c>
    </row>
    <row r="58" spans="2:10" x14ac:dyDescent="0.25">
      <c r="D58" s="146"/>
      <c r="H58" s="146"/>
      <c r="I58" s="199">
        <f>1-I57</f>
        <v>0.69579999999999997</v>
      </c>
    </row>
    <row r="59" spans="2:10" x14ac:dyDescent="0.25">
      <c r="H59" s="146"/>
      <c r="I59" s="181"/>
      <c r="J59" s="304"/>
    </row>
    <row r="60" spans="2:10" x14ac:dyDescent="0.25">
      <c r="H60" s="146"/>
      <c r="I60" s="301"/>
    </row>
  </sheetData>
  <mergeCells count="16">
    <mergeCell ref="B57:C57"/>
    <mergeCell ref="D57:H57"/>
    <mergeCell ref="B54:C54"/>
    <mergeCell ref="D54:H54"/>
    <mergeCell ref="B55:C55"/>
    <mergeCell ref="D55:H55"/>
    <mergeCell ref="B56:C56"/>
    <mergeCell ref="D56:H56"/>
    <mergeCell ref="B2:I2"/>
    <mergeCell ref="B12:C12"/>
    <mergeCell ref="B35:C35"/>
    <mergeCell ref="B47:I47"/>
    <mergeCell ref="B14:I14"/>
    <mergeCell ref="B20:C20"/>
    <mergeCell ref="B22:I22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133</vt:i4>
      </vt:variant>
      <vt:variant>
        <vt:lpstr>Gráficos</vt:lpstr>
      </vt:variant>
      <vt:variant>
        <vt:i4>7</vt:i4>
      </vt:variant>
      <vt:variant>
        <vt:lpstr>Rangos con nombre</vt:lpstr>
      </vt:variant>
      <vt:variant>
        <vt:i4>103</vt:i4>
      </vt:variant>
    </vt:vector>
  </HeadingPairs>
  <TitlesOfParts>
    <vt:vector size="243" baseType="lpstr">
      <vt:lpstr>MATERIAS PRIMAS</vt:lpstr>
      <vt:lpstr>MATERIAL DE EMPAQUE</vt:lpstr>
      <vt:lpstr>MP OCT</vt:lpstr>
      <vt:lpstr>ME OCT</vt:lpstr>
      <vt:lpstr>EXPLOSION ME DIC 2022</vt:lpstr>
      <vt:lpstr>D1</vt:lpstr>
      <vt:lpstr>FAZAN</vt:lpstr>
      <vt:lpstr>MB FEB</vt:lpstr>
      <vt:lpstr>CERVECERO 500</vt:lpstr>
      <vt:lpstr>CERVECERO 750</vt:lpstr>
      <vt:lpstr>CERVECERO 1300</vt:lpstr>
      <vt:lpstr>CERVECERO 1500</vt:lpstr>
      <vt:lpstr>SCHON CERV PREM X 50 G</vt:lpstr>
      <vt:lpstr>OFTA CERV PREM X 6 UND</vt:lpstr>
      <vt:lpstr>SCHA JUMBO X 1200 G</vt:lpstr>
      <vt:lpstr>SCHA JUMBO X 450G fazán</vt:lpstr>
      <vt:lpstr>MINI PERRO X 1.0</vt:lpstr>
      <vt:lpstr>SCHA PERRO X 480 G - 12 UNDS</vt:lpstr>
      <vt:lpstr>SCHA S. PERRO X 500 </vt:lpstr>
      <vt:lpstr>SUPER PERRO X 2500</vt:lpstr>
      <vt:lpstr>SUPER PERRO X 2500 RX</vt:lpstr>
      <vt:lpstr>CHRZ CON TERNERA 110 G 2 UND</vt:lpstr>
      <vt:lpstr>CHORIZO CON TERNERA 220</vt:lpstr>
      <vt:lpstr>CHORIZO CON TERNERA 440 G FZAN</vt:lpstr>
      <vt:lpstr>CHORIZO CON TERNERA 1100</vt:lpstr>
      <vt:lpstr>CHORIZO DE CERDO 100 </vt:lpstr>
      <vt:lpstr>CHORIZO DE CERDO 250 FAZÁN</vt:lpstr>
      <vt:lpstr>CHORIZO DE CERDO 400 g</vt:lpstr>
      <vt:lpstr>CHORIZO DE CERDO 1000</vt:lpstr>
      <vt:lpstr>CHORIZO SANTARROSANO x 300</vt:lpstr>
      <vt:lpstr>CHORIZO SANTARROSANO x 130 g</vt:lpstr>
      <vt:lpstr>CHORIZO SANTARROSANO x 65 g</vt:lpstr>
      <vt:lpstr>PROPUESTA CERVECERITO</vt:lpstr>
      <vt:lpstr>CHORIZO SANTARROSANO x 480 </vt:lpstr>
      <vt:lpstr>CHORIZO SANTARROSANO x 1200</vt:lpstr>
      <vt:lpstr>CHORIZO SANTA COCTEL x 300</vt:lpstr>
      <vt:lpstr>CHORIZO SANTA COCTEL x 1000</vt:lpstr>
      <vt:lpstr>CHORIZO SANTA CORTO 480 </vt:lpstr>
      <vt:lpstr>CHORIZO SANTA LARGO x 1200 </vt:lpstr>
      <vt:lpstr>SCHA INSTITU x 1200</vt:lpstr>
      <vt:lpstr>JMN PREMIUM FZAN 120 G </vt:lpstr>
      <vt:lpstr>JMN PREMIUM FZAN 200 G</vt:lpstr>
      <vt:lpstr>JMN PREMIUM FZAN 220</vt:lpstr>
      <vt:lpstr>JMN PREMIUM 400 G</vt:lpstr>
      <vt:lpstr>HSA 450 G - 5 UNDS</vt:lpstr>
      <vt:lpstr>HSA 900 G - 10 UNDS</vt:lpstr>
      <vt:lpstr>HSA cja 2700 G - 30 UNDS</vt:lpstr>
      <vt:lpstr>HSA LOS PERRITOS</vt:lpstr>
      <vt:lpstr>ALTERNATIVA HSAS</vt:lpstr>
      <vt:lpstr>HSA POLLO 1425 X 15 </vt:lpstr>
      <vt:lpstr>HSA POLLO 1500 X10</vt:lpstr>
      <vt:lpstr>HSA POLLO 750 X5</vt:lpstr>
      <vt:lpstr>SCHA DESAYUNO 115 G - 5 UNDS</vt:lpstr>
      <vt:lpstr>SCHA DESAYUNO FZA x 240 x 7 UND</vt:lpstr>
      <vt:lpstr>SCHA DESAYUNO 480 G -14 UND</vt:lpstr>
      <vt:lpstr>PICK UP MILANESA</vt:lpstr>
      <vt:lpstr>MNESA POLLO 4 UND BRASSET V1.</vt:lpstr>
      <vt:lpstr>MNESA POLLO 4 UND BRASSET V2.</vt:lpstr>
      <vt:lpstr>SCHA DESAYUNO 960 G</vt:lpstr>
      <vt:lpstr>SCHA MANGUERA 560 G - 6 UND</vt:lpstr>
      <vt:lpstr>SCHA MANGUERA 1120G - 12UND</vt:lpstr>
      <vt:lpstr>MNESA APANADA 1800 G 15 UND</vt:lpstr>
      <vt:lpstr>MDELA FAIZAN  225 G 14 U CC</vt:lpstr>
      <vt:lpstr>EXPLORACIÓN LUCTA</vt:lpstr>
      <vt:lpstr>MEGA COMBO FAIZAN 675 G</vt:lpstr>
      <vt:lpstr>MDELA COLPAG X 250 UNDS</vt:lpstr>
      <vt:lpstr>MNESA APANADA 600 G 5 UNDS</vt:lpstr>
      <vt:lpstr>MNESA APANADA 240 G 2 UNDS</vt:lpstr>
      <vt:lpstr>SCHON AUTENTICO X 750 G</vt:lpstr>
      <vt:lpstr>SCHON AUTENTICO X 225 G</vt:lpstr>
      <vt:lpstr>MDELA FAIZAN  225 G 14 U SC</vt:lpstr>
      <vt:lpstr>SCHA CLÁSICA   225 G 9 UND</vt:lpstr>
      <vt:lpstr>SCHA CLÁSICA   450 G 18 UND</vt:lpstr>
      <vt:lpstr>SCHON POLLO BRAKEL X 500</vt:lpstr>
      <vt:lpstr>SCHON POLLO X 225 G</vt:lpstr>
      <vt:lpstr>MORTADELA JAMON X 225 </vt:lpstr>
      <vt:lpstr>CERVECERO FZAN  225</vt:lpstr>
      <vt:lpstr>MEGA COMBO FAIZAN 900 G NUEVO</vt:lpstr>
      <vt:lpstr>MEGA COMBO FAIZAN 675G X3 </vt:lpstr>
      <vt:lpstr>JMN SDW  INST  500 G 28 U </vt:lpstr>
      <vt:lpstr>JMN SDW  450 G 28 U </vt:lpstr>
      <vt:lpstr>JMN SDW  FZAN X 225 </vt:lpstr>
      <vt:lpstr>JMN SDW  EXITO X 225 </vt:lpstr>
      <vt:lpstr>SCHON TRAD VIANDÉ X 500 </vt:lpstr>
      <vt:lpstr>SCHON POLLO BRAKEL X 225</vt:lpstr>
      <vt:lpstr>MDELA VIANDÉ X 225 G - 17 UND S</vt:lpstr>
      <vt:lpstr>SCHON CERV VIANDÉ X 225 G</vt:lpstr>
      <vt:lpstr>MDELA VIANDÉ X 225 G 14 UND </vt:lpstr>
      <vt:lpstr>PROPUESTA MDELA ITALIAN</vt:lpstr>
      <vt:lpstr>SCHA VIANDÉ   225 G 8 UNDS</vt:lpstr>
      <vt:lpstr>SCHA VIANDÉ 450 G - 16 UNDS</vt:lpstr>
      <vt:lpstr>SCHA VIANDÉ 400 G </vt:lpstr>
      <vt:lpstr>SÚPER COMBO VIANDÉ 900 G</vt:lpstr>
      <vt:lpstr>Hoja6</vt:lpstr>
      <vt:lpstr>Hoja7</vt:lpstr>
      <vt:lpstr>JMN PREM VIANDÉ 300 G - 15</vt:lpstr>
      <vt:lpstr>PROPUESTA JMN SANDUCHE</vt:lpstr>
      <vt:lpstr>MPFEB</vt:lpstr>
      <vt:lpstr>JMN PREM VIANDÉ 300 G - 15 V2.</vt:lpstr>
      <vt:lpstr>PERRO CALIENTE VIANDE x 240G</vt:lpstr>
      <vt:lpstr>SUPER PERRO VIANDE X 400G RX</vt:lpstr>
      <vt:lpstr>SALCHICHA UNINORTE</vt:lpstr>
      <vt:lpstr>SALCHICHA LONG</vt:lpstr>
      <vt:lpstr>CHORIZO TERNERA VIANDE</vt:lpstr>
      <vt:lpstr>CHORIZO SANTARRO VIANDE</vt:lpstr>
      <vt:lpstr>CHORIZO ANTIOQUEÑO VIANDE</vt:lpstr>
      <vt:lpstr>TOCINETA X 150 GRS FZAN</vt:lpstr>
      <vt:lpstr>TOCINETA X 1000 GRS FZAN</vt:lpstr>
      <vt:lpstr>TOCINETA X 150 RX</vt:lpstr>
      <vt:lpstr>TOCINETAx 400 rx</vt:lpstr>
      <vt:lpstr>TOCINETA X 1000 GRS RX</vt:lpstr>
      <vt:lpstr>SNACK  CERV PREM X 50 G </vt:lpstr>
      <vt:lpstr>OFTA SNACK  PREM X 3 UND</vt:lpstr>
      <vt:lpstr>SCHA SUIZA X 9</vt:lpstr>
      <vt:lpstr>CHORIZO RED ALIME</vt:lpstr>
      <vt:lpstr>MORTA JAMONADA 400</vt:lpstr>
      <vt:lpstr>PERNIL DE CERDO </vt:lpstr>
      <vt:lpstr>TOCINO BARR 1KG</vt:lpstr>
      <vt:lpstr>TOCINO PAPADA 1KG</vt:lpstr>
      <vt:lpstr>TOCINO BARRIGUERO 1KG</vt:lpstr>
      <vt:lpstr>CIF Y PV</vt:lpstr>
      <vt:lpstr>TD EXP ME</vt:lpstr>
      <vt:lpstr>PERNIL DE CERDO</vt:lpstr>
      <vt:lpstr>Hoja8</vt:lpstr>
      <vt:lpstr>JMN SDW  450 G 24 U </vt:lpstr>
      <vt:lpstr>EXPLOSIÓN ME DIC 2022</vt:lpstr>
      <vt:lpstr>SCHA AMERICANA QUESUDOS</vt:lpstr>
      <vt:lpstr>SCHA AMERICANA SAN ANDRÉS</vt:lpstr>
      <vt:lpstr>san andrés</vt:lpstr>
      <vt:lpstr>REPROCESO MORTADELA</vt:lpstr>
      <vt:lpstr>HUMO</vt:lpstr>
      <vt:lpstr>TOCINETA</vt:lpstr>
      <vt:lpstr>TOCINETA PP</vt:lpstr>
      <vt:lpstr>Gráfico1</vt:lpstr>
      <vt:lpstr>Gráfico9</vt:lpstr>
      <vt:lpstr>Gráfico10</vt:lpstr>
      <vt:lpstr>Gráfico11</vt:lpstr>
      <vt:lpstr>Gráfico12</vt:lpstr>
      <vt:lpstr>Gráfico13</vt:lpstr>
      <vt:lpstr>Gráfico14</vt:lpstr>
      <vt:lpstr>'ALTERNATIVA HSAS'!Área_de_impresión</vt:lpstr>
      <vt:lpstr>'CERVECERO 1300'!Área_de_impresión</vt:lpstr>
      <vt:lpstr>'CERVECERO 1500'!Área_de_impresión</vt:lpstr>
      <vt:lpstr>'CERVECERO 500'!Área_de_impresión</vt:lpstr>
      <vt:lpstr>'CERVECERO 750'!Área_de_impresión</vt:lpstr>
      <vt:lpstr>'CERVECERO FZAN  225'!Área_de_impresión</vt:lpstr>
      <vt:lpstr>'CHORIZO ANTIOQUEÑO VIANDE'!Área_de_impresión</vt:lpstr>
      <vt:lpstr>'CHORIZO CON TERNERA 1100'!Área_de_impresión</vt:lpstr>
      <vt:lpstr>'CHORIZO CON TERNERA 220'!Área_de_impresión</vt:lpstr>
      <vt:lpstr>'CHORIZO CON TERNERA 440 G FZAN'!Área_de_impresión</vt:lpstr>
      <vt:lpstr>'CHORIZO DE CERDO 100 '!Área_de_impresión</vt:lpstr>
      <vt:lpstr>'CHORIZO DE CERDO 1000'!Área_de_impresión</vt:lpstr>
      <vt:lpstr>'CHORIZO DE CERDO 250 FAZÁN'!Área_de_impresión</vt:lpstr>
      <vt:lpstr>'CHORIZO DE CERDO 400 g'!Área_de_impresión</vt:lpstr>
      <vt:lpstr>'CHORIZO RED ALIME'!Área_de_impresión</vt:lpstr>
      <vt:lpstr>'CHORIZO SANTARRO VIANDE'!Área_de_impresión</vt:lpstr>
      <vt:lpstr>'CHORIZO TERNERA VIANDE'!Área_de_impresión</vt:lpstr>
      <vt:lpstr>'CHRZ CON TERNERA 110 G 2 UND'!Área_de_impresión</vt:lpstr>
      <vt:lpstr>'D1'!Área_de_impresión</vt:lpstr>
      <vt:lpstr>'EXPLORACIÓN LUCTA'!Área_de_impresión</vt:lpstr>
      <vt:lpstr>'EXPLOSION ME DIC 2022'!Área_de_impresión</vt:lpstr>
      <vt:lpstr>'EXPLOSIÓN ME DIC 2022'!Área_de_impresión</vt:lpstr>
      <vt:lpstr>FAZAN!Área_de_impresión</vt:lpstr>
      <vt:lpstr>'HSA 450 G - 5 UNDS'!Área_de_impresión</vt:lpstr>
      <vt:lpstr>'HSA 900 G - 10 UNDS'!Área_de_impresión</vt:lpstr>
      <vt:lpstr>'HSA cja 2700 G - 30 UNDS'!Área_de_impresión</vt:lpstr>
      <vt:lpstr>'HSA LOS PERRITOS'!Área_de_impresión</vt:lpstr>
      <vt:lpstr>'HSA POLLO 1425 X 15 '!Área_de_impresión</vt:lpstr>
      <vt:lpstr>'HSA POLLO 1500 X10'!Área_de_impresión</vt:lpstr>
      <vt:lpstr>'HSA POLLO 750 X5'!Área_de_impresión</vt:lpstr>
      <vt:lpstr>HUMO!Área_de_impresión</vt:lpstr>
      <vt:lpstr>'JMN PREM VIANDÉ 300 G - 15'!Área_de_impresión</vt:lpstr>
      <vt:lpstr>'JMN PREM VIANDÉ 300 G - 15 V2.'!Área_de_impresión</vt:lpstr>
      <vt:lpstr>'JMN PREMIUM 400 G'!Área_de_impresión</vt:lpstr>
      <vt:lpstr>'JMN PREMIUM FZAN 120 G '!Área_de_impresión</vt:lpstr>
      <vt:lpstr>'JMN PREMIUM FZAN 200 G'!Área_de_impresión</vt:lpstr>
      <vt:lpstr>'JMN PREMIUM FZAN 220'!Área_de_impresión</vt:lpstr>
      <vt:lpstr>'JMN SDW  450 G 28 U '!Área_de_impresión</vt:lpstr>
      <vt:lpstr>'JMN SDW  EXITO X 225 '!Área_de_impresión</vt:lpstr>
      <vt:lpstr>'JMN SDW  FZAN X 225 '!Área_de_impresión</vt:lpstr>
      <vt:lpstr>'JMN SDW  INST  500 G 28 U '!Área_de_impresión</vt:lpstr>
      <vt:lpstr>'MATERIAL DE EMPAQUE'!Área_de_impresión</vt:lpstr>
      <vt:lpstr>'MATERIAS PRIMAS'!Área_de_impresión</vt:lpstr>
      <vt:lpstr>'MB FEB'!Área_de_impresión</vt:lpstr>
      <vt:lpstr>'MDELA FAIZAN  225 G 14 U CC'!Área_de_impresión</vt:lpstr>
      <vt:lpstr>'MDELA FAIZAN  225 G 14 U SC'!Área_de_impresión</vt:lpstr>
      <vt:lpstr>'MDELA VIANDÉ X 225 G - 17 UND S'!Área_de_impresión</vt:lpstr>
      <vt:lpstr>'MDELA VIANDÉ X 225 G 14 UND '!Área_de_impresión</vt:lpstr>
      <vt:lpstr>'ME OCT'!Área_de_impresión</vt:lpstr>
      <vt:lpstr>'MEGA COMBO FAIZAN 675G X3 '!Área_de_impresión</vt:lpstr>
      <vt:lpstr>'MEGA COMBO FAIZAN 900 G NUEVO'!Área_de_impresión</vt:lpstr>
      <vt:lpstr>'MINI PERRO X 1.0'!Área_de_impresión</vt:lpstr>
      <vt:lpstr>'MNESA APANADA 1800 G 15 UND'!Área_de_impresión</vt:lpstr>
      <vt:lpstr>'MNESA APANADA 240 G 2 UNDS'!Área_de_impresión</vt:lpstr>
      <vt:lpstr>'MNESA APANADA 600 G 5 UNDS'!Área_de_impresión</vt:lpstr>
      <vt:lpstr>'MNESA POLLO 4 UND BRASSET V1.'!Área_de_impresión</vt:lpstr>
      <vt:lpstr>'MORTA JAMONADA 400'!Área_de_impresión</vt:lpstr>
      <vt:lpstr>'MORTADELA JAMON X 225 '!Área_de_impresión</vt:lpstr>
      <vt:lpstr>'MP OCT'!Área_de_impresión</vt:lpstr>
      <vt:lpstr>'OFTA CERV PREM X 6 UND'!Área_de_impresión</vt:lpstr>
      <vt:lpstr>'OFTA SNACK  PREM X 3 UND'!Área_de_impresión</vt:lpstr>
      <vt:lpstr>'PERNIL DE CERDO'!Área_de_impresión</vt:lpstr>
      <vt:lpstr>'PERNIL DE CERDO '!Área_de_impresión</vt:lpstr>
      <vt:lpstr>'PERRO CALIENTE VIANDE x 240G'!Área_de_impresión</vt:lpstr>
      <vt:lpstr>'PICK UP MILANESA'!Área_de_impresión</vt:lpstr>
      <vt:lpstr>'REPROCESO MORTADELA'!Área_de_impresión</vt:lpstr>
      <vt:lpstr>'SALCHICHA LONG'!Área_de_impresión</vt:lpstr>
      <vt:lpstr>'SALCHICHA UNINORTE'!Área_de_impresión</vt:lpstr>
      <vt:lpstr>'SCHA CLÁSICA   225 G 9 UND'!Área_de_impresión</vt:lpstr>
      <vt:lpstr>'SCHA CLÁSICA   450 G 18 UND'!Área_de_impresión</vt:lpstr>
      <vt:lpstr>'SCHA DESAYUNO 115 G - 5 UNDS'!Área_de_impresión</vt:lpstr>
      <vt:lpstr>'SCHA DESAYUNO 480 G -14 UND'!Área_de_impresión</vt:lpstr>
      <vt:lpstr>'SCHA DESAYUNO 960 G'!Área_de_impresión</vt:lpstr>
      <vt:lpstr>'SCHA DESAYUNO FZA x 240 x 7 UND'!Área_de_impresión</vt:lpstr>
      <vt:lpstr>'SCHA JUMBO X 1200 G'!Área_de_impresión</vt:lpstr>
      <vt:lpstr>'SCHA JUMBO X 450G fazán'!Área_de_impresión</vt:lpstr>
      <vt:lpstr>'SCHA MANGUERA 1120G - 12UND'!Área_de_impresión</vt:lpstr>
      <vt:lpstr>'SCHA MANGUERA 560 G - 6 UND'!Área_de_impresión</vt:lpstr>
      <vt:lpstr>'SCHA PERRO X 480 G - 12 UNDS'!Área_de_impresión</vt:lpstr>
      <vt:lpstr>'SCHA S. PERRO X 500 '!Área_de_impresión</vt:lpstr>
      <vt:lpstr>'SCHA VIANDÉ   225 G 8 UNDS'!Área_de_impresión</vt:lpstr>
      <vt:lpstr>'SCHA VIANDÉ 400 G '!Área_de_impresión</vt:lpstr>
      <vt:lpstr>'SCHON AUTENTICO X 225 G'!Área_de_impresión</vt:lpstr>
      <vt:lpstr>'SCHON AUTENTICO X 750 G'!Área_de_impresión</vt:lpstr>
      <vt:lpstr>'SCHON CERV PREM X 50 G'!Área_de_impresión</vt:lpstr>
      <vt:lpstr>'SCHON CERV VIANDÉ X 225 G'!Área_de_impresión</vt:lpstr>
      <vt:lpstr>'SCHON POLLO BRAKEL X 225'!Área_de_impresión</vt:lpstr>
      <vt:lpstr>'SCHON POLLO BRAKEL X 500'!Área_de_impresión</vt:lpstr>
      <vt:lpstr>'SCHON POLLO X 225 G'!Área_de_impresión</vt:lpstr>
      <vt:lpstr>'SCHON TRAD VIANDÉ X 500 '!Área_de_impresión</vt:lpstr>
      <vt:lpstr>'SNACK  CERV PREM X 50 G '!Área_de_impresión</vt:lpstr>
      <vt:lpstr>'SÚPER COMBO VIANDÉ 900 G'!Área_de_impresión</vt:lpstr>
      <vt:lpstr>'SUPER PERRO VIANDE X 400G RX'!Área_de_impresión</vt:lpstr>
      <vt:lpstr>'SUPER PERRO X 2500'!Área_de_impresión</vt:lpstr>
      <vt:lpstr>'SUPER PERRO X 2500 RX'!Área_de_impresión</vt:lpstr>
      <vt:lpstr>'TOCINETA X 1000 GRS FZAN'!Área_de_impresión</vt:lpstr>
      <vt:lpstr>'TOCINETA X 1000 GRS RX'!Área_de_impresión</vt:lpstr>
      <vt:lpstr>'TOCINETA X 150 GRS FZAN'!Área_de_impresión</vt:lpstr>
      <vt:lpstr>'TOCINETA X 150 RX'!Área_de_impresión</vt:lpstr>
      <vt:lpstr>'TOCINETAx 400 rx'!Área_de_impresión</vt:lpstr>
      <vt:lpstr>'TOCINO BARR 1KG'!Área_de_impresión</vt:lpstr>
      <vt:lpstr>'TOCINO BARRIGUERO 1KG'!Área_de_impresión</vt:lpstr>
      <vt:lpstr>'TOCINO PAPADA 1KG'!Área_de_impresión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DIR-INVDESARROLLO</dc:creator>
  <cp:lastModifiedBy>Fredy Castiblanco Clavijo</cp:lastModifiedBy>
  <cp:lastPrinted>2025-01-09T13:30:55Z</cp:lastPrinted>
  <dcterms:created xsi:type="dcterms:W3CDTF">2022-07-13T18:51:23Z</dcterms:created>
  <dcterms:modified xsi:type="dcterms:W3CDTF">2026-07-21T13:57:48Z</dcterms:modified>
</cp:coreProperties>
</file>