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>
    <definedName name="E">Line!$A:$A</definedName>
  </definedNames>
  <calcPr/>
</workbook>
</file>

<file path=xl/sharedStrings.xml><?xml version="1.0" encoding="utf-8"?>
<sst xmlns="http://schemas.openxmlformats.org/spreadsheetml/2006/main" count="3521" uniqueCount="3493">
  <si>
    <t>Task 1: numTrain = 2000</t>
  </si>
  <si>
    <t>Task 1: numTrain = 2500</t>
  </si>
  <si>
    <t>Task 1: numTrain = 3000</t>
  </si>
  <si>
    <t>Task 1: numTrain = 5000</t>
  </si>
  <si>
    <t>Data Copied From Output</t>
  </si>
  <si>
    <t>Training Loss</t>
  </si>
  <si>
    <t>Testing Loss</t>
  </si>
  <si>
    <t>Number of Times Trained x 1000</t>
  </si>
  <si>
    <t>0.5282818665295242                      0.6261565100346772</t>
  </si>
  <si>
    <t>0.5165485144456134                      0.6057638333403187</t>
  </si>
  <si>
    <t>0.5399450303253094                      0.5857906246313592</t>
  </si>
  <si>
    <t>0.49213954563567397                     0.5642020046841227</t>
  </si>
  <si>
    <t>0.49751177731594204                     0.6204969855894064</t>
  </si>
  <si>
    <t>0.47438612773264816                     0.5689594433027797</t>
  </si>
  <si>
    <t>0.4930831829454175                      0.5659564561532417</t>
  </si>
  <si>
    <t>0.47472679408183616                     0.5377291298939177</t>
  </si>
  <si>
    <t>0.4850921940915496                      0.6388966295526749</t>
  </si>
  <si>
    <t>0.44213772977357696                     0.5600529678465681</t>
  </si>
  <si>
    <t>0.484416281927709                       0.5610038237292134</t>
  </si>
  <si>
    <t>0.4363588481257725                      0.5118946603260534</t>
  </si>
  <si>
    <t>0.4650152846974721                      0.6113309717744189</t>
  </si>
  <si>
    <t>0.418199189830205                       0.5405772500716014</t>
  </si>
  <si>
    <t>0.4628447573885453                      0.542236533622022</t>
  </si>
  <si>
    <t>0.4167220572089845                      0.5043818244402576</t>
  </si>
  <si>
    <t>0.4535621204229138                      0.6091745065055658</t>
  </si>
  <si>
    <t>0.4157868973493441                      0.5659374312166272</t>
  </si>
  <si>
    <t>0.44774648828608565                     0.5189886423721498</t>
  </si>
  <si>
    <t>0.40564516329155303                     0.489291552876785</t>
  </si>
  <si>
    <t>0.43137455269349706                     0.5866712704828364</t>
  </si>
  <si>
    <t>0.39878102866893017                     0.5275717219545379</t>
  </si>
  <si>
    <t>0.4144229170366193                      0.5008475220223809</t>
  </si>
  <si>
    <t>0.39484077423548286                     0.4888499292683346</t>
  </si>
  <si>
    <t>0.4293971400664137                      0.5839214607619558</t>
  </si>
  <si>
    <t>0.39369522857177514                     0.5501191093281312</t>
  </si>
  <si>
    <t>0.40952251052818844                     0.5063394844546051</t>
  </si>
  <si>
    <t>0.38467611942975355                     0.47894332203367385</t>
  </si>
  <si>
    <t>0.4137037816147777                      0.5968904361300791</t>
  </si>
  <si>
    <t>0.3714785110812909                      0.518798376509841</t>
  </si>
  <si>
    <t>0.3963471094371794                      0.4911902385038894</t>
  </si>
  <si>
    <t>0.3667903482424611                      0.46378438438359054</t>
  </si>
  <si>
    <t>0.40231857612318184                     0.5419700706774314</t>
  </si>
  <si>
    <t>0.3638170659672068                      0.5253096306386279</t>
  </si>
  <si>
    <t>0.3889104342858898                      0.4797280873668368</t>
  </si>
  <si>
    <t>0.36085474640549603                     0.4529222376433344</t>
  </si>
  <si>
    <t>0.40363015635079724                     0.5619271943489109</t>
  </si>
  <si>
    <t>0.36088272218631917                     0.5168114599056304</t>
  </si>
  <si>
    <t>0.39470754588063967                     0.5039453304459407</t>
  </si>
  <si>
    <t>0.3468743152801422                      0.4489039132282704</t>
  </si>
  <si>
    <t>0.3862388013186967                      0.5726408197602008</t>
  </si>
  <si>
    <t>0.3601079981352784                      0.5334122562668318</t>
  </si>
  <si>
    <t>0.36775562681324436                     0.4619501360867879</t>
  </si>
  <si>
    <t>0.35187189640038846                     0.4538663837778627</t>
  </si>
  <si>
    <t>0.3903287832463865                      0.5580043000862878</t>
  </si>
  <si>
    <t>0.3400440221938705                      0.5074961498887337</t>
  </si>
  <si>
    <t>0.36238786309658066                     0.4718709989410649</t>
  </si>
  <si>
    <t>0.34293493286215276                     0.4563398920449825</t>
  </si>
  <si>
    <t>0.38267985012887556                     0.562630554486798</t>
  </si>
  <si>
    <t>0.3275623676343459                      0.5005335260503329</t>
  </si>
  <si>
    <t>0.3563759354053343                      0.47100765312166376</t>
  </si>
  <si>
    <t>0.33916622308977407                     0.45163033431062033</t>
  </si>
  <si>
    <t>0.37197084400167807                     0.5501515203313803</t>
  </si>
  <si>
    <t>0.33528932325751065                     0.5356268034192398</t>
  </si>
  <si>
    <t>0.3544625042101995                      0.4672627762871345</t>
  </si>
  <si>
    <t>0.3280776989034015                      0.4384677462058653</t>
  </si>
  <si>
    <t>0.384318411103776                       0.5532653614517935</t>
  </si>
  <si>
    <t>0.3233859523464315                      0.5158525512150847</t>
  </si>
  <si>
    <t>0.3399997821716183                      0.45997658410444997</t>
  </si>
  <si>
    <t>0.3215766828642882                      0.4297553678489655</t>
  </si>
  <si>
    <t>0.38008996649704985                     0.549718631107051</t>
  </si>
  <si>
    <t>0.31693791187017545                     0.5112237804039419</t>
  </si>
  <si>
    <t>0.3382394292145845                      0.4522875825728954</t>
  </si>
  <si>
    <t>0.31470145226384083                     0.4183565426444291</t>
  </si>
  <si>
    <t>0.3513173682234408                      0.5399019783126514</t>
  </si>
  <si>
    <t>0.31939029563273347                     0.5189834489660048</t>
  </si>
  <si>
    <t>0.3453371535071747                      0.4670217023848888</t>
  </si>
  <si>
    <t>0.3074141893396058                      0.4243541777868876</t>
  </si>
  <si>
    <t>0.35489991169076485                     0.5542597643678613</t>
  </si>
  <si>
    <t>0.30548309585936384                     0.5060628402802728</t>
  </si>
  <si>
    <t>0.32488886351092316                     0.45012654173884487</t>
  </si>
  <si>
    <t>0.31568130786256254                     0.4329967531090891</t>
  </si>
  <si>
    <t>0.3563844836101825                      0.543317873471484</t>
  </si>
  <si>
    <t>0.3019335916503808                      0.5093071899834131</t>
  </si>
  <si>
    <t>0.3166805428749355                      0.4512107754476752</t>
  </si>
  <si>
    <t>0.3293104495993392                      0.4441432535901103</t>
  </si>
  <si>
    <t>0.3453384842146224                      0.5639279883391081</t>
  </si>
  <si>
    <t>0.29781633799082063                     0.4973793264272742</t>
  </si>
  <si>
    <t>0.31685464323534285                     0.4442733604137436</t>
  </si>
  <si>
    <t>0.291470245842033                       0.40937218185465185</t>
  </si>
  <si>
    <t>0.33831435670600085                     0.5439071881568105</t>
  </si>
  <si>
    <t>0.2985510624563768                      0.517407624368705</t>
  </si>
  <si>
    <t>0.31474654468998875                     0.4474217890150838</t>
  </si>
  <si>
    <t>0.2885445276171103                      0.40982736056670993</t>
  </si>
  <si>
    <t>0.3356997871754799                      0.5313913980834784</t>
  </si>
  <si>
    <t>0.29609702357140244                     0.4950733369780239</t>
  </si>
  <si>
    <t>0.3063210426236704                      0.44259876602453047</t>
  </si>
  <si>
    <t>0.28513150368486867                     0.39920694717249966</t>
  </si>
  <si>
    <t>0.32644249273887904                     0.5424608344082735</t>
  </si>
  <si>
    <t>0.283837529413625                       0.4990674670614405</t>
  </si>
  <si>
    <t>0.3015898213588079                      0.4529765037581282</t>
  </si>
  <si>
    <t>0.28015354754940264                     0.40736272733677026</t>
  </si>
  <si>
    <t>0.3278418886012423                      0.5313385134140104</t>
  </si>
  <si>
    <t>0.285954665346443                       0.4994424646645456</t>
  </si>
  <si>
    <t>0.2955072427173586                      0.43781016264272943</t>
  </si>
  <si>
    <t>0.28475107802111205                     0.3988728521422703</t>
  </si>
  <si>
    <t>0.3375989004624128                      0.5524670825761834</t>
  </si>
  <si>
    <t>0.2780593245855509                      0.4870181568306119</t>
  </si>
  <si>
    <t>0.28688756977010815                     0.43358653586642837</t>
  </si>
  <si>
    <t>0.29454248875269795                     0.40215322391044855</t>
  </si>
  <si>
    <t>0.33354529583039844                     0.5474229605477369</t>
  </si>
  <si>
    <t>0.2777602676023439                      0.49542905576434826</t>
  </si>
  <si>
    <t>0.29009592379872595                     0.43778711114708196</t>
  </si>
  <si>
    <t>0.2816416542687509                      0.40117230210098664</t>
  </si>
  <si>
    <t>0.31833696708441195                     0.5354458753209923</t>
  </si>
  <si>
    <t>0.2750977866632438                      0.4852444171404271</t>
  </si>
  <si>
    <t>0.28696168259581173                     0.4327636973008658</t>
  </si>
  <si>
    <t>0.2698583112265744                      0.38639563444512903</t>
  </si>
  <si>
    <t>0.31572085526982097                     0.5368210416954485</t>
  </si>
  <si>
    <t>0.26486555798108247                     0.49689124854912</t>
  </si>
  <si>
    <t>0.2883838817165189                      0.4460594754170812</t>
  </si>
  <si>
    <t>0.2733722259991117                      0.39410769932796474</t>
  </si>
  <si>
    <t>0.31029659206553867                     0.5273875231486164</t>
  </si>
  <si>
    <t>0.26740094515960255                     0.49970094305021323</t>
  </si>
  <si>
    <t>0.2825750226697423                      0.43286339766170195</t>
  </si>
  <si>
    <t>0.265298459880387                       0.3891243954006731</t>
  </si>
  <si>
    <t>0.31386098819792607                     0.5327508696643534</t>
  </si>
  <si>
    <t>0.26054204300814876                     0.49758554086101214</t>
  </si>
  <si>
    <t>0.2763186147139351                      0.4381468341963399</t>
  </si>
  <si>
    <t>0.26269169405588205                     0.3819434270293112</t>
  </si>
  <si>
    <t>0.31184622016869873                     0.5386734572124284</t>
  </si>
  <si>
    <t>0.25502312376541353                     0.4988471115664795</t>
  </si>
  <si>
    <t>0.2741031566359469                      0.4371170640268404</t>
  </si>
  <si>
    <t>0.2576780660814181                      0.3810290190866225</t>
  </si>
  <si>
    <t>0.32401774813927814                     0.5572071804096936</t>
  </si>
  <si>
    <t>0.2550781792475143                      0.504101255180249</t>
  </si>
  <si>
    <t>0.27211506515220224                     0.4247308684380725</t>
  </si>
  <si>
    <t>0.25817374245840896                     0.3729972336125656</t>
  </si>
  <si>
    <t>0.2996832719172349                      0.5480407622364583</t>
  </si>
  <si>
    <t>0.25211679736150594                     0.49429129484262097</t>
  </si>
  <si>
    <t>0.26592033566642315                     0.4247485243497769</t>
  </si>
  <si>
    <t>0.2554811478248411                      0.3803648926254719</t>
  </si>
  <si>
    <t>0.30148476249284456                     0.5229421403246011</t>
  </si>
  <si>
    <t>0.24805798514993105                     0.4868965905978011</t>
  </si>
  <si>
    <t>0.25553609294250446                     0.41304830675263876</t>
  </si>
  <si>
    <t>0.2522764209765649                      0.37259285497304356</t>
  </si>
  <si>
    <t>0.2987278657688832                      0.5591152615752515</t>
  </si>
  <si>
    <t>0.2503340252802257                      0.5068146559753626</t>
  </si>
  <si>
    <t>0.264773718506729                       0.4327130029508058</t>
  </si>
  <si>
    <t>0.24773253746906082                     0.37235957769050937</t>
  </si>
  <si>
    <t>0.30172526756138246                     0.539776572188328</t>
  </si>
  <si>
    <t>0.24187362000345083                     0.5069313024546211</t>
  </si>
  <si>
    <t>0.25341816344562407                     0.41250852337226873</t>
  </si>
  <si>
    <t>0.2528080673333818                      0.3825534710302444</t>
  </si>
  <si>
    <t>0.2926634649603864                      0.5448458777949242</t>
  </si>
  <si>
    <t>0.24903777545819678                     0.5080981243015609</t>
  </si>
  <si>
    <t>0.24900385132269529                     0.4140819467775024</t>
  </si>
  <si>
    <t>0.2439833495299232                      0.3713844651707101</t>
  </si>
  <si>
    <t>0.290995065141892                       0.5066851259002849</t>
  </si>
  <si>
    <t>0.23891009334567762                     0.5027835289491828</t>
  </si>
  <si>
    <t>0.24842037994495714                     0.40968740145619154</t>
  </si>
  <si>
    <t>0.24816992444602362                     0.3816715300259229</t>
  </si>
  <si>
    <t>0.2922263464983513                      0.5381495804072973</t>
  </si>
  <si>
    <t>0.24088546502471073                     0.4912163551633844</t>
  </si>
  <si>
    <t>0.24961194660446                        0.4125850646748557</t>
  </si>
  <si>
    <t>0.24954299789188686                     0.37680327662548546</t>
  </si>
  <si>
    <t>0.27344712067295107                     0.5147841003290855</t>
  </si>
  <si>
    <t>0.24172663264051922                     0.5207258070341716</t>
  </si>
  <si>
    <t>0.24361771597301105                     0.41592850129037906</t>
  </si>
  <si>
    <t>0.24179674099865994                     0.3707601002964176</t>
  </si>
  <si>
    <t>0.27935010012262557                     0.5140519844824385</t>
  </si>
  <si>
    <t>0.23616625482487114                     0.49180940977260007</t>
  </si>
  <si>
    <t>0.23886071357298655                     0.3999225120867567</t>
  </si>
  <si>
    <t>0.24593700410760386                     0.3836393266251421</t>
  </si>
  <si>
    <t>0.2711936778500643                      0.5033351845101965</t>
  </si>
  <si>
    <t>0.23418471411433517                     0.49936037941643857</t>
  </si>
  <si>
    <t>0.24205798520142272                     0.4095321083711209</t>
  </si>
  <si>
    <t>0.24628910468123952                     0.36816161625490906</t>
  </si>
  <si>
    <t>0.2754756628903083                      0.5198653413431092</t>
  </si>
  <si>
    <t>0.23355385602464468                     0.5043312729829289</t>
  </si>
  <si>
    <t>0.2355186961136054                      0.41692015280866035</t>
  </si>
  <si>
    <t>0.24368575467119796                     0.3701937046584226</t>
  </si>
  <si>
    <t>0.2722286563551475                      0.5156671671792211</t>
  </si>
  <si>
    <t>0.22557500406878622                     0.5032683416028645</t>
  </si>
  <si>
    <t>0.22968665551887998                     0.40305871053034836</t>
  </si>
  <si>
    <t>0.2428449544595033                      0.3739511378670754</t>
  </si>
  <si>
    <t>0.270263791454073                       0.5063125277957805</t>
  </si>
  <si>
    <t>0.22777472718829736                     0.5090404749228142</t>
  </si>
  <si>
    <t>0.2391249807156238                      0.41675161495176355</t>
  </si>
  <si>
    <t>0.2315254306134593                      0.36027575951723567</t>
  </si>
  <si>
    <t>0.26612213444171867                     0.5149907952481764</t>
  </si>
  <si>
    <t>0.22286366143199343                     0.4967562084568601</t>
  </si>
  <si>
    <t>0.22989025491297094                     0.40353165200704855</t>
  </si>
  <si>
    <t>0.23660190404461315                     0.37449839738289864</t>
  </si>
  <si>
    <t>0.26554852396138984                     0.5116377044983169</t>
  </si>
  <si>
    <t>0.22916133687146104                     0.4871251152049753</t>
  </si>
  <si>
    <t>0.22973397134714565                     0.4022750071555462</t>
  </si>
  <si>
    <t>0.23746744525705996                     0.3662524731554495</t>
  </si>
  <si>
    <t>0.27701980211827104                     0.5333369092142669</t>
  </si>
  <si>
    <t>0.22030065574176722                     0.5004750506280479</t>
  </si>
  <si>
    <t>0.22563126552225238                     0.40404014056638615</t>
  </si>
  <si>
    <t>0.2339053440525159                      0.36583119627777655</t>
  </si>
  <si>
    <t>0.2712149336387455                      0.5160335082236105</t>
  </si>
  <si>
    <t>0.2206866524626673                      0.510244945229566</t>
  </si>
  <si>
    <t>0.22316917914403503                     0.4076418095419511</t>
  </si>
  <si>
    <t>0.2351944016029826                      0.3722257732053425</t>
  </si>
  <si>
    <t>0.2653897827305323                      0.5340730733146456</t>
  </si>
  <si>
    <t>0.22232730817575477                     0.4911935936949048</t>
  </si>
  <si>
    <t>0.22001658435310018                     0.3962092178946866</t>
  </si>
  <si>
    <t>0.2342016017155383                      0.3684448552162269</t>
  </si>
  <si>
    <t>0.258091047892738                       0.5162421539412506</t>
  </si>
  <si>
    <t>0.21531247440149287                     0.4942087760415049</t>
  </si>
  <si>
    <t>0.23100212369228765                     0.4230435530175222</t>
  </si>
  <si>
    <t>0.2363232737528218                      0.37641906801954683</t>
  </si>
  <si>
    <t>0.25599024110487223                     0.5168319650670926</t>
  </si>
  <si>
    <t>0.21719994809086293                     0.4955615081265088</t>
  </si>
  <si>
    <t>0.2226990157559572                      0.4036859268132866</t>
  </si>
  <si>
    <t>0.2344330945618071                      0.3693142609513376</t>
  </si>
  <si>
    <t>0.25220759333912984                     0.5027457316551389</t>
  </si>
  <si>
    <t>0.2228533119542351                      0.5224915328263077</t>
  </si>
  <si>
    <t>0.21307724581031515                     0.3869969607783687</t>
  </si>
  <si>
    <t>0.22789400224703427                     0.3704662257641651</t>
  </si>
  <si>
    <t>0.26192959644449976                     0.5303584608013817</t>
  </si>
  <si>
    <t>0.21648875466253967                     0.5176425462052882</t>
  </si>
  <si>
    <t>0.2170516488313283                      0.39555154497343964</t>
  </si>
  <si>
    <t>0.2271680537393847                      0.36313107553720014</t>
  </si>
  <si>
    <t>0.25240462053786566                     0.5065773178357262</t>
  </si>
  <si>
    <t>0.20965005346631715                     0.5058570734166802</t>
  </si>
  <si>
    <t>0.2182406559467117                      0.4044957562124387</t>
  </si>
  <si>
    <t>0.22985843426807978                     0.37652048856188775</t>
  </si>
  <si>
    <t>0.2511032823200339                      0.515104190615432</t>
  </si>
  <si>
    <t>0.2085884501166992                      0.5014988100515297</t>
  </si>
  <si>
    <t>0.21180866378924992                     0.3949390311440846</t>
  </si>
  <si>
    <t>0.22710389051035523                     0.3657956532767467</t>
  </si>
  <si>
    <t>0.25096064122337697                     0.5130812983228238</t>
  </si>
  <si>
    <t>0.20513639904980974                     0.4978822516243547</t>
  </si>
  <si>
    <t>0.2194385043372891                      0.4018284458768936</t>
  </si>
  <si>
    <t>0.22389768595514042                     0.35794200063424664</t>
  </si>
  <si>
    <t>0.2570904640925841                      0.5142464008502302</t>
  </si>
  <si>
    <t>0.204965450988776                       0.5150158108553168</t>
  </si>
  <si>
    <t>0.21060675062747286                     0.39775859293959454</t>
  </si>
  <si>
    <t>0.2230032523866683                      0.36325839979901364</t>
  </si>
  <si>
    <t>0.25204817362419446                     0.5055621343009711</t>
  </si>
  <si>
    <t>0.20747159286681624                     0.5066240837767222</t>
  </si>
  <si>
    <t>0.20464322834698312                     0.3823930405063082</t>
  </si>
  <si>
    <t>0.2258837197396343                      0.36470155919334424</t>
  </si>
  <si>
    <t>0.24269529579713328                     0.5093308886788375</t>
  </si>
  <si>
    <t>0.20121376301729738                     0.5047460662665454</t>
  </si>
  <si>
    <t>0.20520873937782497                     0.38411773334719296</t>
  </si>
  <si>
    <t>0.22460265195669551                     0.3568097680310412</t>
  </si>
  <si>
    <t>0.24307605335001864                     0.5076957558848867</t>
  </si>
  <si>
    <t>0.20179078979360054                     0.4934791223306229</t>
  </si>
  <si>
    <t>0.20468210759239278                     0.3859942675822946</t>
  </si>
  <si>
    <t>0.2242635993078702                      0.3640863062135733</t>
  </si>
  <si>
    <t>0.24085121500539863                     0.5177346926038721</t>
  </si>
  <si>
    <t>0.20159323174652338                     0.4937845993192763</t>
  </si>
  <si>
    <t>0.20924793258211782                     0.39552543837238235</t>
  </si>
  <si>
    <t>0.22042589125294346                     0.35456936812696455</t>
  </si>
  <si>
    <t>0.23744060929390923                     0.5016907270686596</t>
  </si>
  <si>
    <t>0.19771682812145475                     0.5108410776102974</t>
  </si>
  <si>
    <t>0.20088443536165054                     0.3865072622728481</t>
  </si>
  <si>
    <t>0.21824439177931937                     0.35500797406571816</t>
  </si>
  <si>
    <t>0.23757314848164976                     0.5090032118180442</t>
  </si>
  <si>
    <t>0.20241017252700713                     0.5121993806939371</t>
  </si>
  <si>
    <t>0.1972447280218623                      0.3926857489597478</t>
  </si>
  <si>
    <t>0.22241924437380942                     0.35772100404984486</t>
  </si>
  <si>
    <t>0.23977397987828108                     0.5079689815322569</t>
  </si>
  <si>
    <t>0.19859486727655823                     0.5105034988902434</t>
  </si>
  <si>
    <t>0.19881796650312938                     0.38259012531567355</t>
  </si>
  <si>
    <t>0.21861057454476004                     0.3647237186205641</t>
  </si>
  <si>
    <t>0.23529553589768423                     0.5100702675949436</t>
  </si>
  <si>
    <t>0.1979014219008777                      0.5093054571822894</t>
  </si>
  <si>
    <t>0.19356164461756256                     0.3820557342998475</t>
  </si>
  <si>
    <t>0.22153447072869528                     0.3551152702537593</t>
  </si>
  <si>
    <t>0.23208668999878                        0.5007816907403214</t>
  </si>
  <si>
    <t>0.19732773696351344                     0.5078220070301135</t>
  </si>
  <si>
    <t>0.19884495089633863                     0.3844643106727892</t>
  </si>
  <si>
    <t>0.21939565030132704                     0.3646578271116558</t>
  </si>
  <si>
    <t>0.23437485794983165                     0.515450756545758</t>
  </si>
  <si>
    <t>0.18914156650198047                     0.5055309315917158</t>
  </si>
  <si>
    <t>0.19309756694692748                     0.3837249010112911</t>
  </si>
  <si>
    <t>0.2206234676010542                      0.37033637943274245</t>
  </si>
  <si>
    <t>0.2298751695746594                      0.50890552073599</t>
  </si>
  <si>
    <t>0.19445500992398274                     0.515208585953207</t>
  </si>
  <si>
    <t>0.19700724729766408                     0.39689411108699724</t>
  </si>
  <si>
    <t>0.21565014139270125                     0.3577497862674706</t>
  </si>
  <si>
    <t>0.23467561730460926                     0.5255139051852974</t>
  </si>
  <si>
    <t>0.1932380410563467                      0.5098514129381746</t>
  </si>
  <si>
    <t>0.19244613847551223                     0.3837100545031683</t>
  </si>
  <si>
    <t>0.21947623335139033                     0.363465074695676</t>
  </si>
  <si>
    <t>0.23028530231175334                     0.5124652753231644</t>
  </si>
  <si>
    <t>0.19194292802249294                     0.5155412690024013</t>
  </si>
  <si>
    <t>0.190753762826785                       0.38459876223664013</t>
  </si>
  <si>
    <t>0.21824889329742425                     0.36138592704143196</t>
  </si>
  <si>
    <t>0.22444304908507523                     0.5018638632243696</t>
  </si>
  <si>
    <t>0.1888204513799275                      0.5027102413517807</t>
  </si>
  <si>
    <t>0.18747541310805338                     0.3855820923967147</t>
  </si>
  <si>
    <t>0.21578474424519037                     0.36805564563596976</t>
  </si>
  <si>
    <t>0.2259897375037792                      0.4970230227761279</t>
  </si>
  <si>
    <t>0.19303390422851296                     0.5290473237790034</t>
  </si>
  <si>
    <t>0.18773718621553506                     0.386365468813796</t>
  </si>
  <si>
    <t>0.21937916568738972                     0.3752340563271113</t>
  </si>
  <si>
    <t>0.22281286600056863                     0.5022080461085083</t>
  </si>
  <si>
    <t>0.1866381463922434                      0.5196880426025747</t>
  </si>
  <si>
    <t>0.1927736530139317                      0.3829650139309422</t>
  </si>
  <si>
    <t>0.2145250739020106                      0.35820647569491065</t>
  </si>
  <si>
    <t>0.2272055177837371                      0.5020892860159244</t>
  </si>
  <si>
    <t>0.19227953183762145                     0.5366120496768224</t>
  </si>
  <si>
    <t>0.18684091911563497                     0.3874402246816449</t>
  </si>
  <si>
    <t>0.2140888229567763                      0.3632613637822204</t>
  </si>
  <si>
    <t>0.22455198709504123                     0.4997100036916485</t>
  </si>
  <si>
    <t>0.19075181465673552                     0.5087081721775408</t>
  </si>
  <si>
    <t>0.18515407895302952                     0.3836623425623057</t>
  </si>
  <si>
    <t>0.214105941401454                       0.3626517038559623</t>
  </si>
  <si>
    <t>0.22340817704966276                     0.5209126403369695</t>
  </si>
  <si>
    <t>0.18278046462793981                     0.5214784799957184</t>
  </si>
  <si>
    <t>0.18913286215429526                     0.3937269687118562</t>
  </si>
  <si>
    <t>0.21106914329239582                     0.3570304312070989</t>
  </si>
  <si>
    <t>0.2216567089928442                      0.5095855711695332</t>
  </si>
  <si>
    <t>0.18566159065430654                     0.5285026561554164</t>
  </si>
  <si>
    <t>0.18010148799674594                     0.37645243450486154</t>
  </si>
  <si>
    <t>0.2116428381558356                      0.3664484321066205</t>
  </si>
  <si>
    <t>0.2294390922597334                      0.5304894411624218</t>
  </si>
  <si>
    <t>0.18442103638142124                     0.5274271829955779</t>
  </si>
  <si>
    <t>0.18478821189861316                     0.3773166298626579</t>
  </si>
  <si>
    <t>0.21225732429418873                     0.3671431818194153</t>
  </si>
  <si>
    <t>0.21515659685925773                     0.4979959023620172</t>
  </si>
  <si>
    <t>0.18219672013876406                     0.5249050965150227</t>
  </si>
  <si>
    <t>0.18295395949762103                     0.38037093123941546</t>
  </si>
  <si>
    <t>0.21186928676269937                     0.3635800413075553</t>
  </si>
  <si>
    <t>0.214416890261426                       0.49452559718171635</t>
  </si>
  <si>
    <t>0.18651337040957108                     0.5461691020494869</t>
  </si>
  <si>
    <t>0.17848343380769893                     0.38090925265481046</t>
  </si>
  <si>
    <t>0.21379894313622333                     0.36416592330799447</t>
  </si>
  <si>
    <t>0.21612041033278073                     0.5114637500211311</t>
  </si>
  <si>
    <t>0.18131038509617742                     0.5267092830654012</t>
  </si>
  <si>
    <t>0.1830074273011671                      0.37757613695083714</t>
  </si>
  <si>
    <t>0.21084960259825294                     0.3572464936253608</t>
  </si>
  <si>
    <t>0.21980248246534087                     0.5123930220946946</t>
  </si>
  <si>
    <t>0.1793628326692457                      0.5196842540237561</t>
  </si>
  <si>
    <t>0.17633880874754465                     0.3782581029830073</t>
  </si>
  <si>
    <t>0.21080803923243216                     0.35743570227648913</t>
  </si>
  <si>
    <t>0.21437001600500363                     0.5021886150360977</t>
  </si>
  <si>
    <t>0.17691624568055006                     0.5238507678300969</t>
  </si>
  <si>
    <t>0.17985366310618356                     0.3780783997594502</t>
  </si>
  <si>
    <t>0.2121552605964746                      0.3616978691325479</t>
  </si>
  <si>
    <t>0.21511309971226583                     0.5098531500440251</t>
  </si>
  <si>
    <t>0.1794256507801156                      0.5190643908891308</t>
  </si>
  <si>
    <t>0.17489276393512299                     0.3772844947618373</t>
  </si>
  <si>
    <t>0.21339942524554614                     0.3609011177648605</t>
  </si>
  <si>
    <t>0.20955463500483662                     0.4898781661932684</t>
  </si>
  <si>
    <t>0.1773224755136871                      0.5129268431272325</t>
  </si>
  <si>
    <t>0.17580141786845335                     0.37426934402282735</t>
  </si>
  <si>
    <t>0.21119277240514858                     0.3599250655786366</t>
  </si>
  <si>
    <t>0.2044205662918951                      0.4833493377954379</t>
  </si>
  <si>
    <t>0.18144297167177695                     0.5242413492288565</t>
  </si>
  <si>
    <t>0.174367798655612                       0.37418762205112716</t>
  </si>
  <si>
    <t>0.213985304430788                       0.36199474328793085</t>
  </si>
  <si>
    <t>0.20917835841939716                     0.4912219827404812</t>
  </si>
  <si>
    <t>0.18038872761387376                     0.5393634896274087</t>
  </si>
  <si>
    <t>0.17782149693016144                     0.38250288393939</t>
  </si>
  <si>
    <t>0.20565743928753333                     0.35459548639375904</t>
  </si>
  <si>
    <t>0.20998390368366274                     0.4861004793518528</t>
  </si>
  <si>
    <t>0.17619884262762442                     0.5349534878787648</t>
  </si>
  <si>
    <t>0.17679582502636396                     0.3871758975905015</t>
  </si>
  <si>
    <t>0.2091776707161992                      0.35766878801387225</t>
  </si>
  <si>
    <t>0.20422744394652234                     0.49514181881711344</t>
  </si>
  <si>
    <t>0.17231925940667409                     0.5214027903613263</t>
  </si>
  <si>
    <t>0.1720299966535382                      0.3850681119811874</t>
  </si>
  <si>
    <t>0.21036716128050964                     0.36296912518332913</t>
  </si>
  <si>
    <t>0.2083373857933287                      0.5042659497718653</t>
  </si>
  <si>
    <t>0.17187802892634527                     0.5365954860763845</t>
  </si>
  <si>
    <t>0.17318639535125924                     0.37456434266266553</t>
  </si>
  <si>
    <t>0.20508140050928236                     0.36315393048124384</t>
  </si>
  <si>
    <t>0.2054132768422843                      0.49426798624240376</t>
  </si>
  <si>
    <t>0.1839071806661712                      0.519996259893087</t>
  </si>
  <si>
    <t>0.16827854045208007                     0.377500221248643</t>
  </si>
  <si>
    <t>0.2081177634577676                      0.35949842917666613</t>
  </si>
  <si>
    <t>0.20444241538124736                     0.5021457581161441</t>
  </si>
  <si>
    <t>0.17180481203040485                     0.5306124128647244</t>
  </si>
  <si>
    <t>0.17744948658284426                     0.3853224531734338</t>
  </si>
  <si>
    <t>0.20568411554704435                     0.3578638656969383</t>
  </si>
  <si>
    <t>0.19890887500653023                     0.48549669254362526</t>
  </si>
  <si>
    <t>0.16919940990751628                     0.5315383473493234</t>
  </si>
  <si>
    <t>0.17082234099998528                     0.37056279238799544</t>
  </si>
  <si>
    <t>0.20483596496293546                     0.3569446922980588</t>
  </si>
  <si>
    <t>0.20551522330078778                     0.5073718757064556</t>
  </si>
  <si>
    <t>0.16854730558357775                     0.53802606294054</t>
  </si>
  <si>
    <t>0.16991131966195938                     0.3779378069927604</t>
  </si>
  <si>
    <t>0.2055428831504301                      0.3616191790607035</t>
  </si>
  <si>
    <t>0.20343046271194307                     0.498381930928914</t>
  </si>
  <si>
    <t>0.17280593626352966                     0.5499942336570252</t>
  </si>
  <si>
    <t>0.1682736638382304                      0.38225827819530966</t>
  </si>
  <si>
    <t>0.2050058755311805                      0.35595575273901525</t>
  </si>
  <si>
    <t>0.19904820326362596                     0.5000567254347595</t>
  </si>
  <si>
    <t>0.17367938624669463                     0.5366248943340378</t>
  </si>
  <si>
    <t>0.17236850129356146                     0.3794058525114529</t>
  </si>
  <si>
    <t>0.2067296899824426                      0.36417655143559385</t>
  </si>
  <si>
    <t>0.20329012170757058                     0.49420154424303453</t>
  </si>
  <si>
    <t>0.16647114066575475                     0.5325460665045689</t>
  </si>
  <si>
    <t>0.1652343007533156                      0.37310739828919204</t>
  </si>
  <si>
    <t>0.20505279929757167                     0.36060593087067816</t>
  </si>
  <si>
    <t>0.19959878559806987                     0.4899693861569752</t>
  </si>
  <si>
    <t>0.16636607342004928                     0.530055103146963</t>
  </si>
  <si>
    <t>0.1668011895333863                      0.3800484840803604</t>
  </si>
  <si>
    <t>0.20639304715223275                     0.36385275414017476</t>
  </si>
  <si>
    <t>0.19927625423489306                     0.4999215503914583</t>
  </si>
  <si>
    <t>0.1667450084869123                      0.5373336818440083</t>
  </si>
  <si>
    <t>0.17190717821656448                     0.39079193201995555</t>
  </si>
  <si>
    <t>0.20228303598649566                     0.35995589755402096</t>
  </si>
  <si>
    <t>0.19523357381553072                     0.5007418666121305</t>
  </si>
  <si>
    <t>0.1673753846505708                      0.549154160149193</t>
  </si>
  <si>
    <t>0.16404786212641234                     0.37869307754597203</t>
  </si>
  <si>
    <t>0.20415430519018926                     0.3639997265537195</t>
  </si>
  <si>
    <t>0.19786413434138117                     0.4933438183838036</t>
  </si>
  <si>
    <t>0.16911819732309571                     0.5370259513320226</t>
  </si>
  <si>
    <t>0.1634075020650521                      0.37658109109815224</t>
  </si>
  <si>
    <t>0.20586797924264866                     0.364500897748028</t>
  </si>
  <si>
    <t>0.1974757506113243                      0.5033051102230206</t>
  </si>
  <si>
    <t>0.1639631049297766                      0.5437159499965643</t>
  </si>
  <si>
    <t>0.1659620557534798                      0.38355483471021723</t>
  </si>
  <si>
    <t>0.20085864383960905                     0.35674495564053865</t>
  </si>
  <si>
    <t>0.19353805660794238                     0.4946595468086226</t>
  </si>
  <si>
    <t>0.16262485004211527                     0.5320745626710374</t>
  </si>
  <si>
    <t>0.16339481911890333                     0.37309649975242565</t>
  </si>
  <si>
    <t>0.20634339340772995                     0.3733044006567821</t>
  </si>
  <si>
    <t>0.1952344454214501                      0.5048280160844945</t>
  </si>
  <si>
    <t>0.16557887834321766                     0.5377674941323816</t>
  </si>
  <si>
    <t>0.16277758154348523                     0.37758914492874973</t>
  </si>
  <si>
    <t>0.2020249431787197                      0.36127835697932187</t>
  </si>
  <si>
    <t>0.194790371552533                       0.49842589893211225</t>
  </si>
  <si>
    <t>0.16084212880085302                     0.5371040712497263</t>
  </si>
  <si>
    <t>0.16138216786123802                     0.3762250852262749</t>
  </si>
  <si>
    <t>0.2031553189023311                      0.35998841812550786</t>
  </si>
  <si>
    <t>0.19088281731222032                     0.49185896622376885</t>
  </si>
  <si>
    <t>0.16088200439398176                     0.541622361165598</t>
  </si>
  <si>
    <t>0.16172742715647132                     0.37538539528745635</t>
  </si>
  <si>
    <t>0.20099641874039978                     0.3553860990572416</t>
  </si>
  <si>
    <t>0.18943041952389794                     0.5005531533719338</t>
  </si>
  <si>
    <t>0.1628196077551079                      0.5438722696730559</t>
  </si>
  <si>
    <t>0.16367615293176502                     0.38132064346052696</t>
  </si>
  <si>
    <t>0.2015310791231385                      0.3566790122405657</t>
  </si>
  <si>
    <t>0.19139975501504966                     0.502744799221696</t>
  </si>
  <si>
    <t>0.16027935334637736                     0.5602611624024761</t>
  </si>
  <si>
    <t>0.16210841311878266                     0.3829736523869835</t>
  </si>
  <si>
    <t>0.2013445267247852                      0.3617411280678801</t>
  </si>
  <si>
    <t>0.19053141648977145                     0.5062982439397612</t>
  </si>
  <si>
    <t>0.16081562196227484                     0.5580220491148999</t>
  </si>
  <si>
    <t>0.16032052534783264                     0.3707737688003354</t>
  </si>
  <si>
    <t>0.2022046886732339                      0.371722647274943</t>
  </si>
  <si>
    <t>0.1923596369093849                      0.5001793751354968</t>
  </si>
  <si>
    <t>0.16092514676280886                     0.5511274205582558</t>
  </si>
  <si>
    <t>0.1605251444867319                      0.3798507375066216</t>
  </si>
  <si>
    <t>0.2033265187258023                      0.3635846187730164</t>
  </si>
  <si>
    <t>0.18657216315618405                     0.48848172275624757</t>
  </si>
  <si>
    <t>0.15788146642760917                     0.5452064863392544</t>
  </si>
  <si>
    <t>0.15894671944206723                     0.37902781633885646</t>
  </si>
  <si>
    <t>0.20138748587368088                     0.3600234819988732</t>
  </si>
  <si>
    <t>0.19245075710924453                     0.5000097196597043</t>
  </si>
  <si>
    <t>0.15651138557832256                     0.5504500571049984</t>
  </si>
  <si>
    <t>0.15893749370287158                     0.3787394825849256</t>
  </si>
  <si>
    <t>0.19858453851985516                     0.36223414787452535</t>
  </si>
  <si>
    <t>0.18422853876081513                     0.4838192596705962</t>
  </si>
  <si>
    <t>0.15975548306332935                     0.5626980189697511</t>
  </si>
  <si>
    <t>0.16056597159177596                     0.37063965176158425</t>
  </si>
  <si>
    <t>0.20550893822961663                     0.37072788065698087</t>
  </si>
  <si>
    <t>0.18603833114387464                     0.49225408099326967</t>
  </si>
  <si>
    <t>0.15767275766397434                     0.5483577344208851</t>
  </si>
  <si>
    <t>0.1555670816585269                      0.371170829760371</t>
  </si>
  <si>
    <t>0.20026458430295072                     0.3643438583999074</t>
  </si>
  <si>
    <t>0.18655926293910932                     0.4938673406290201</t>
  </si>
  <si>
    <t>0.1581799870814015                      0.5561909870023364</t>
  </si>
  <si>
    <t>0.1555179814702901                      0.37634035597040094</t>
  </si>
  <si>
    <t>0.19831438171214807                     0.362592655981791</t>
  </si>
  <si>
    <t>0.1820717345667486                      0.49970798142941675</t>
  </si>
  <si>
    <t>0.15573488924925302                     0.5493865159408439</t>
  </si>
  <si>
    <t>0.15494761936780688                     0.3706758289927903</t>
  </si>
  <si>
    <t>0.19963721172819898                     0.360281397313542</t>
  </si>
  <si>
    <t>0.18376988055588214                     0.4909554271977009</t>
  </si>
  <si>
    <t>0.15613332095039278                     0.5454348408704921</t>
  </si>
  <si>
    <t>0.15655276598842485                     0.3799568309086621</t>
  </si>
  <si>
    <t>0.1985759921458018                      0.36590794671917104</t>
  </si>
  <si>
    <t>0.19145543497342524                     0.498370394603845</t>
  </si>
  <si>
    <t>0.15809523639305986                     0.5560565653343726</t>
  </si>
  <si>
    <t>0.15633040231576206                     0.37808874781028234</t>
  </si>
  <si>
    <t>0.20149009240270327                     0.36357680774219964</t>
  </si>
  <si>
    <t>0.18373003467840268                     0.49642789362052825</t>
  </si>
  <si>
    <t>0.1547476347398116                      0.560893758753657</t>
  </si>
  <si>
    <t>0.15094869352985418                     0.37925800632001255</t>
  </si>
  <si>
    <t>0.20079278249450205                     0.3737381487104919</t>
  </si>
  <si>
    <t>0.1871234527330175                      0.5062281865520565</t>
  </si>
  <si>
    <t>0.15777321959168958                     0.5579729110112869</t>
  </si>
  <si>
    <t>0.15261677492121664                     0.3756928168968033</t>
  </si>
  <si>
    <t>0.201234233005313                       0.3701466350288161</t>
  </si>
  <si>
    <t>0.17885236599226825                     0.4992320190158177</t>
  </si>
  <si>
    <t>0.1534829234038677                      0.5541623081666183</t>
  </si>
  <si>
    <t>0.1541260568648619                      0.3769457579908852</t>
  </si>
  <si>
    <t>0.1976645261938046                      0.36967941412609023</t>
  </si>
  <si>
    <t>0.18201596008930762                     0.49672253974851677</t>
  </si>
  <si>
    <t>0.15329363988360806                     0.5604685133175499</t>
  </si>
  <si>
    <t>0.15101309718835268                     0.36985819210904863</t>
  </si>
  <si>
    <t>0.2054277867095354                      0.38454556612374435</t>
  </si>
  <si>
    <t>0.18084906975827067                     0.49870220933524695</t>
  </si>
  <si>
    <t>0.1532866682080478                      0.5546044735744882</t>
  </si>
  <si>
    <t>0.1524718283474475                      0.37978763279795563</t>
  </si>
  <si>
    <t>0.19918278889218302                     0.37393713151802327</t>
  </si>
  <si>
    <t>0.17730699191344237                     0.4828165861946901</t>
  </si>
  <si>
    <t>0.15212053440336784                     0.551392350933443</t>
  </si>
  <si>
    <t>0.15352276661738745                     0.3803743885817708</t>
  </si>
  <si>
    <t>0.19672228983436482                     0.36775476370988336</t>
  </si>
  <si>
    <t>0.17853126385798068                     0.4948714847825246</t>
  </si>
  <si>
    <t>0.15356568304520227                     0.5695239792631082</t>
  </si>
  <si>
    <t>0.15098061728763604                     0.3782803214240897</t>
  </si>
  <si>
    <t>0.19625955725753688                     0.3674985707609719</t>
  </si>
  <si>
    <t>0.1824594079989403                      0.5059453460327947</t>
  </si>
  <si>
    <t>0.15219737112637263                     0.5626925402131442</t>
  </si>
  <si>
    <t>0.14868147536792845                     0.37037224870281443</t>
  </si>
  <si>
    <t>0.197502273900847                       0.3708792566609646</t>
  </si>
  <si>
    <t>0.17501835264906657                     0.4945968574609854</t>
  </si>
  <si>
    <t>0.15201222301874148                     0.5560738328316609</t>
  </si>
  <si>
    <t>0.1529328082707766                      0.38626873249787747</t>
  </si>
  <si>
    <t>0.1980305556377243                      0.37005596134520047</t>
  </si>
  <si>
    <t>0.17616398479807913                     0.5009989407141944</t>
  </si>
  <si>
    <t>0.15251365572941092                     0.5840096826406702</t>
  </si>
  <si>
    <t>0.14962246522428135                     0.3719390413270433</t>
  </si>
  <si>
    <t>0.19811177132491187                     0.37355756266905604</t>
  </si>
  <si>
    <t>0.17475005484583528                     0.489778348747787</t>
  </si>
  <si>
    <t>0.15029373434788565                     0.565511704985816</t>
  </si>
  <si>
    <t>0.14876508327381072                     0.37016069113813</t>
  </si>
  <si>
    <t>0.20155952799188803                     0.3773686081788291</t>
  </si>
  <si>
    <t>0.17585445111169315                     0.49010890346834385</t>
  </si>
  <si>
    <t>0.14880767780436033                     0.5684875433036533</t>
  </si>
  <si>
    <t>0.15261961984355454                     0.38180536169019585</t>
  </si>
  <si>
    <t>0.19894892701451822                     0.37014228712667235</t>
  </si>
  <si>
    <t>0.1787313974146069                      0.5063416652523135</t>
  </si>
  <si>
    <t>0.15334501581781312                     0.5801697197415698</t>
  </si>
  <si>
    <t>0.1483384336278347                      0.3772713481489647</t>
  </si>
  <si>
    <t>0.1976541128626549                      0.36750786893205617</t>
  </si>
  <si>
    <t>0.17661747222462487                     0.5048406388667429</t>
  </si>
  <si>
    <t>0.14863788041659637                     0.5722832200994156</t>
  </si>
  <si>
    <t>0.1469411193984823                      0.3758035244993035</t>
  </si>
  <si>
    <t>0.2002803361360264                      0.3744350413069423</t>
  </si>
  <si>
    <t>0.1759258307886948                      0.5010400248677733</t>
  </si>
  <si>
    <t>0.14693995028099383                     0.5617960280033611</t>
  </si>
  <si>
    <t>0.14720083601627004                     0.3732748374173605</t>
  </si>
  <si>
    <t>0.19648948594584772                     0.36719597028711737</t>
  </si>
  <si>
    <t>0.17289561605284148                     0.5067524398383199</t>
  </si>
  <si>
    <t>0.14643731526826004                     0.5708759179920728</t>
  </si>
  <si>
    <t>0.14507646211150138                     0.3712153384813898</t>
  </si>
  <si>
    <t>0.20033792104282222                     0.36528483315546445</t>
  </si>
  <si>
    <t>0.17272922797851534                     0.49547085040418887</t>
  </si>
  <si>
    <t>0.14578978124841255                     0.5638663906067427</t>
  </si>
  <si>
    <t>0.1447341952860793                      0.3747268483185428</t>
  </si>
  <si>
    <t>0.1992934878999149                      0.37614817730479116</t>
  </si>
  <si>
    <t>0.1731257378244729                      0.499614796425272</t>
  </si>
  <si>
    <t>0.14672408319877067                     0.5646038545151416</t>
  </si>
  <si>
    <t>0.1457779726353987                      0.37644854235204533</t>
  </si>
  <si>
    <t>0.19808199464071188                     0.3659572068105699</t>
  </si>
  <si>
    <t>0.1740796129376349                      0.5009659569053005</t>
  </si>
  <si>
    <t>0.14960311874424573                     0.5698667857117816</t>
  </si>
  <si>
    <t>0.14559317279616213                     0.3697944343004611</t>
  </si>
  <si>
    <t>0.19499221790896115                     0.36460613635364425</t>
  </si>
  <si>
    <t>0.1716556846775893                      0.49471697550946686</t>
  </si>
  <si>
    <t>0.15081727267971123                     0.553277283214895</t>
  </si>
  <si>
    <t>0.14650346797321953                     0.36684070726489904</t>
  </si>
  <si>
    <t>0.19841378707122967                     0.3697326787624937</t>
  </si>
  <si>
    <t>0.17711076491867922                     0.5089852124995179</t>
  </si>
  <si>
    <t>0.14675836700850783                     0.5684746918681274</t>
  </si>
  <si>
    <t>0.14536552285799006                     0.37415467408516195</t>
  </si>
  <si>
    <t>0.19512965178982083                     0.37282015708292426</t>
  </si>
  <si>
    <t>0.17069620149202797                     0.5021779612793619</t>
  </si>
  <si>
    <t>0.143299260724381                       0.5714068286863077</t>
  </si>
  <si>
    <t>0.14374245117915782                     0.3741357338241906</t>
  </si>
  <si>
    <t>0.19547993320051643                     0.3703125703534453</t>
  </si>
  <si>
    <t>0.16872844455908478                     0.49886488763164455</t>
  </si>
  <si>
    <t>0.14423700089057115                     0.5773010964126809</t>
  </si>
  <si>
    <t>0.1440551266980629                      0.37575121258323246</t>
  </si>
  <si>
    <t>0.19619523481025905                     0.3729155783683804</t>
  </si>
  <si>
    <t>0.16850943233134882                     0.5019547674234459</t>
  </si>
  <si>
    <t>0.1440091809793491                      0.573650894247681</t>
  </si>
  <si>
    <t>0.14239687907340517                     0.3742552040308339</t>
  </si>
  <si>
    <t>0.1968905602417066                      0.3733407381810629</t>
  </si>
  <si>
    <t>0.1686277752131825                      0.49712293996471096</t>
  </si>
  <si>
    <t>0.1462729071658296                      0.581271559764284</t>
  </si>
  <si>
    <t>0.14167785615990416                     0.36856840022210846</t>
  </si>
  <si>
    <t>0.1946416235712145                      0.37204755540397944</t>
  </si>
  <si>
    <t>0.1706952161598055                      0.4925637229732089</t>
  </si>
  <si>
    <t>0.14191166868998495                     0.5792170594174788</t>
  </si>
  <si>
    <t>0.14213831804077268                     0.37705651402951557</t>
  </si>
  <si>
    <t>0.19936899751021975                     0.3874208593835569</t>
  </si>
  <si>
    <t>0.16696411270541459                     0.5020419908059373</t>
  </si>
  <si>
    <t>0.14280145915118142                     0.5785839237727389</t>
  </si>
  <si>
    <t>0.14372407968295803                     0.3759711480650915</t>
  </si>
  <si>
    <t>0.1943160558133766                      0.3706334336704544</t>
  </si>
  <si>
    <t>0.16668181192537967                     0.49912779749986413</t>
  </si>
  <si>
    <t>0.14467092311645272                     0.5995111189488211</t>
  </si>
  <si>
    <t>0.14224874090429684                     0.37335687896900016</t>
  </si>
  <si>
    <t>0.193497135491903                       0.3684766779929956</t>
  </si>
  <si>
    <t>0.1743859082796288                      0.5033135991868254</t>
  </si>
  <si>
    <t>0.14076809097269133                     0.5741946540358029</t>
  </si>
  <si>
    <t>0.14100456408017914                     0.3695012570186777</t>
  </si>
  <si>
    <t>0.1946795570330161                      0.37240780652159367</t>
  </si>
  <si>
    <t>0.17115918448997144                     0.5026650083304042</t>
  </si>
  <si>
    <t>0.14134357842821976                     0.5796272371154212</t>
  </si>
  <si>
    <t>0.14222747369926864                     0.3691206039424484</t>
  </si>
  <si>
    <t>0.19538796335779154                     0.37427573133779707</t>
  </si>
  <si>
    <t>0.1652863231700931                      0.5030255539904577</t>
  </si>
  <si>
    <t>0.1445588289296261                      0.5762298831763805</t>
  </si>
  <si>
    <t>0.1399693949382568                      0.37456933215046445</t>
  </si>
  <si>
    <t>0.1942962277834216                      0.3718553474851269</t>
  </si>
  <si>
    <t>0.16468069838221935                     0.48972673243722425</t>
  </si>
  <si>
    <t>0.14154180408577233                     0.6009033757052014</t>
  </si>
  <si>
    <t>0.14236425842398198                     0.3807715505149162</t>
  </si>
  <si>
    <t>0.19984985144052866                     0.3825118588949617</t>
  </si>
  <si>
    <t>0.16544469251597305                     0.4898885222948273</t>
  </si>
  <si>
    <t>0.1396471826584051                      0.5826857548583813</t>
  </si>
  <si>
    <t>0.14101164316399312                     0.3733653130337585</t>
  </si>
  <si>
    <t>0.2033204558733767                      0.3848231135999806</t>
  </si>
  <si>
    <t>0.16653761974052894                     0.5024252717404444</t>
  </si>
  <si>
    <t>0.1384294102826116                      0.3685073349059911</t>
  </si>
  <si>
    <t>0.19449466674197086                     0.3795639643622256</t>
  </si>
  <si>
    <t>0.16950201508620422                     0.5060034248724253</t>
  </si>
  <si>
    <t>0.13997745005607148                     0.37798905748375206</t>
  </si>
  <si>
    <t>0.19868511917303747                     0.384424786566068</t>
  </si>
  <si>
    <t>0.1678540132130975                      0.5007188510945678</t>
  </si>
  <si>
    <t>0.13781052579061348                     0.37097323907458957</t>
  </si>
  <si>
    <t>0.193895829726718                       0.37497175297505236</t>
  </si>
  <si>
    <t>0.16557521890070465                     0.5027867138645548</t>
  </si>
  <si>
    <t>0.13815039669086368                     0.3786530982575558</t>
  </si>
  <si>
    <t>0.1938518175300386                      0.37440703947643383</t>
  </si>
  <si>
    <t>0.16485786532868105                     0.5091179054247323</t>
  </si>
  <si>
    <t>0.13900745064034536                     0.37323561070579236</t>
  </si>
  <si>
    <t>0.19235768582377685                     0.3710507028297026</t>
  </si>
  <si>
    <t>0.16172182212061958                     0.5039607568112541</t>
  </si>
  <si>
    <t>0.1376980830796663                      0.37126565288251023</t>
  </si>
  <si>
    <t>0.19186196097520677                     0.37745148261335254</t>
  </si>
  <si>
    <t>0.16125414387082498                     0.5047682683812307</t>
  </si>
  <si>
    <t>0.14054969414410376                     0.3702913764467541</t>
  </si>
  <si>
    <t>0.1929094134792554                      0.3753818999290316</t>
  </si>
  <si>
    <t>0.15917613297436603                     0.5028182042025996</t>
  </si>
  <si>
    <t>0.13825296333731069                     0.373839510633681</t>
  </si>
  <si>
    <t>0.1922896690052882                      0.3704645334822897</t>
  </si>
  <si>
    <t>0.16075851477012398                     0.5023005794987396</t>
  </si>
  <si>
    <t>0.1364064830199484                      0.3765936195114802</t>
  </si>
  <si>
    <t>0.19524225886773333                     0.38917254461896866</t>
  </si>
  <si>
    <t>0.16096806045212247                     0.49743900925877543</t>
  </si>
  <si>
    <t>0.13678074218757436                     0.3796623247598653</t>
  </si>
  <si>
    <t>0.1936990656124932                      0.3778929263492344</t>
  </si>
  <si>
    <t>0.15835359812659486                     0.5082041966470573</t>
  </si>
  <si>
    <t>0.1364705070213761                      0.37430179150676934</t>
  </si>
  <si>
    <t>0.19155100993486554                     0.3708722553276498</t>
  </si>
  <si>
    <t>0.1664748955832295                      0.5042496638309787</t>
  </si>
  <si>
    <t>0.13510244925917375                     0.37751136865611473</t>
  </si>
  <si>
    <t>0.1919729521281458                      0.3759059250207003</t>
  </si>
  <si>
    <t>0.16694098772814098                     0.5138986814018449</t>
  </si>
  <si>
    <t>0.13503586874534132                     0.3748999573652764</t>
  </si>
  <si>
    <t>0.19412896750943776                     0.38356949779636357</t>
  </si>
  <si>
    <t>0.1587599727185533                      0.5035779741397731</t>
  </si>
  <si>
    <t>0.1353797890121288                      0.37186261921060687</t>
  </si>
  <si>
    <t>0.1919965883725934                      0.372179438608223</t>
  </si>
  <si>
    <t>0.1582367426271499                      0.4967931410162261</t>
  </si>
  <si>
    <t>0.1352318370675589                      0.3774978961459237</t>
  </si>
  <si>
    <t>0.19238803358723322                     0.3697554737466614</t>
  </si>
  <si>
    <t>0.15813174554133186                     0.4952530540006762</t>
  </si>
  <si>
    <t>0.13688701788921065                     0.3743892683716695</t>
  </si>
  <si>
    <t>0.19263569118462232                     0.38891820182246906</t>
  </si>
  <si>
    <t>0.15968801517388762                     0.49166002526611186</t>
  </si>
  <si>
    <t>0.13611776715083765                     0.38022861199172925</t>
  </si>
  <si>
    <t>0.19208251296237686                     0.37543460666216055</t>
  </si>
  <si>
    <t>0.16682743310387269                     0.5029540610764021</t>
  </si>
  <si>
    <t>0.13422583577219707                     0.37915554867984874</t>
  </si>
  <si>
    <t>0.19246091687938682                     0.3731934352422735</t>
  </si>
  <si>
    <t>0.15651636365011604                     0.49574045237811115</t>
  </si>
  <si>
    <t>0.13302136667722272                     0.37556919911428416</t>
  </si>
  <si>
    <t>0.19030495780598272                     0.37366416258670315</t>
  </si>
  <si>
    <t>0.15888209343191687                     0.5073265502703703</t>
  </si>
  <si>
    <t>0.13289672602235736                     0.37144619779126004</t>
  </si>
  <si>
    <t>0.18961154312270087                     0.3762370892193462</t>
  </si>
  <si>
    <t>0.15564336422089298                     0.4969371459933268</t>
  </si>
  <si>
    <t>0.13435642141572496                     0.377932794292262</t>
  </si>
  <si>
    <t>0.1891803414348423                      0.38130954988576204</t>
  </si>
  <si>
    <t>0.155368379195162                       0.5007651758038896</t>
  </si>
  <si>
    <t>0.13331859159938164                     0.3744727264001298</t>
  </si>
  <si>
    <t>0.19711291008518356                     0.3928227973151059</t>
  </si>
  <si>
    <t>0.15494830293593986                     0.5049612089589943</t>
  </si>
  <si>
    <t>0.13230172839227783                     0.3744501941660577</t>
  </si>
  <si>
    <t>0.19105789298229534                     0.37841711547542795</t>
  </si>
  <si>
    <t>0.1548439520905758                      0.48946315505452087</t>
  </si>
  <si>
    <t>0.13427842537009158                     0.38411743538624193</t>
  </si>
  <si>
    <t>0.19200066900610177                     0.3865369786056355</t>
  </si>
  <si>
    <t>0.15378729436425845                     0.49456386321576146</t>
  </si>
  <si>
    <t>0.1329539291376545                      0.38312860457744824</t>
  </si>
  <si>
    <t>0.19107726425323032                     0.3806437141181617</t>
  </si>
  <si>
    <t>0.15278776148382553                     0.4998644526237047</t>
  </si>
  <si>
    <t>0.13159647025721158                     0.3775710313491639</t>
  </si>
  <si>
    <t>0.19292780474106505                     0.3853781300874157</t>
  </si>
  <si>
    <t>0.1549598693032465                      0.5016553904155726</t>
  </si>
  <si>
    <t>0.13692071271282943                     0.38958639892805647</t>
  </si>
  <si>
    <t>0.1898248877783288                      0.382863784298745</t>
  </si>
  <si>
    <t>0.1522750927277187                      0.4963133753557085</t>
  </si>
  <si>
    <t>0.1330445275765929                      0.3771297739237924</t>
  </si>
  <si>
    <t>0.19177488484182822                     0.3831546409721757</t>
  </si>
  <si>
    <t>0.1525233716465869                      0.49360226414153013</t>
  </si>
  <si>
    <t>0.1318728576306001                      0.38176751194096986</t>
  </si>
  <si>
    <t>0.19494898857497173                     0.3923224254906334</t>
  </si>
  <si>
    <t>0.15203383880014587                     0.4919300778766544</t>
  </si>
  <si>
    <t>0.13221890446932982                     0.3847688804333752</t>
  </si>
  <si>
    <t>0.1917418385979742                      0.38429332006139505</t>
  </si>
  <si>
    <t>0.15223077012883912                     0.4885184498405434</t>
  </si>
  <si>
    <t>0.13026989995201174                     0.3798040919293697</t>
  </si>
  <si>
    <t>0.19073620679903186                     0.3816714248132788</t>
  </si>
  <si>
    <t>0.15055406329674345                     0.4925886053720068</t>
  </si>
  <si>
    <t>0.13096328333109186                     0.3861703604961569</t>
  </si>
  <si>
    <t>0.1896722358404379                      0.38719111285178914</t>
  </si>
  <si>
    <t>0.15420755482802295                     0.5054172791092557</t>
  </si>
  <si>
    <t>0.13048001979722473                     0.37387978247393006</t>
  </si>
  <si>
    <t>0.18975249618332748                     0.38034205404795574</t>
  </si>
  <si>
    <t>0.15166469347812436                     0.49908504893089045</t>
  </si>
  <si>
    <t>0.13196600963330943                     0.38161466801607485</t>
  </si>
  <si>
    <t>0.18937484373845886                     0.3877925589289484</t>
  </si>
  <si>
    <t>0.14906705303524637                     0.5090995743927372</t>
  </si>
  <si>
    <t>0.12812887098411535                     0.3827049242635008</t>
  </si>
  <si>
    <t>0.18827024673427487                     0.37616293053129485</t>
  </si>
  <si>
    <t>0.1543896953196139                      0.5093375303857537</t>
  </si>
  <si>
    <t>0.12962897769684142                     0.3762682254831566</t>
  </si>
  <si>
    <t>0.18882631269963024                     0.379293431632174</t>
  </si>
  <si>
    <t>0.15092551249209246                     0.5043373647256371</t>
  </si>
  <si>
    <t>0.1299297345744103                      0.37467806855303104</t>
  </si>
  <si>
    <t>0.19428467225456866                     0.39124462826577855</t>
  </si>
  <si>
    <t>0.15357836557135118                     0.5115858420846804</t>
  </si>
  <si>
    <t>0.13145539688356922                     0.3841668782300011</t>
  </si>
  <si>
    <t>0.18706718360107316                     0.3802675850441531</t>
  </si>
  <si>
    <t>0.14962365173095624                     0.5168543634708711</t>
  </si>
  <si>
    <t>0.12901812996737136                     0.3810525276773808</t>
  </si>
  <si>
    <t>0.18815274189877565                     0.3789884173331809</t>
  </si>
  <si>
    <t>0.15022555058184667                     0.5167632837713577</t>
  </si>
  <si>
    <t>0.12827891718317172                     0.37621191362946804</t>
  </si>
  <si>
    <t>0.1896619110878101                      0.3878465271180533</t>
  </si>
  <si>
    <t>0.14981167435604378                     0.5038280442282425</t>
  </si>
  <si>
    <t>0.13022322675257528                     0.37876936047484544</t>
  </si>
  <si>
    <t>0.19163191288254344                     0.39647217273552127</t>
  </si>
  <si>
    <t>0.1504250811351914                      0.5096122025207637</t>
  </si>
  <si>
    <t>0.1305170143554098                      0.37828752407338107</t>
  </si>
  <si>
    <t>0.19202429113116948                     0.3902660508666753</t>
  </si>
  <si>
    <t>0.15494847958338734                     0.5153685905050205</t>
  </si>
  <si>
    <t>0.13077579860830763                     0.39503747167149533</t>
  </si>
  <si>
    <t>0.19801357147272367                     0.4078284106873314</t>
  </si>
  <si>
    <t>0.151090564028392                       0.5093688672401588</t>
  </si>
  <si>
    <t>0.12787688026409302                     0.3737949667888435</t>
  </si>
  <si>
    <t>0.1892122879483014                      0.3890274007827786</t>
  </si>
  <si>
    <t>0.1477822595915571                      0.5117230406056902</t>
  </si>
  <si>
    <t>0.12847986894472466                     0.3808938433470025</t>
  </si>
  <si>
    <t>0.1890874499903996                      0.39159142546987735</t>
  </si>
  <si>
    <t>0.14941368230488894                     0.5100323131547511</t>
  </si>
  <si>
    <t>0.128056975036843                       0.38442882537959827</t>
  </si>
  <si>
    <t>0.18781570409889395                     0.3939941597209402</t>
  </si>
  <si>
    <t>0.14779980288098163                     0.519497841756732</t>
  </si>
  <si>
    <t>0.12870464803193019                     0.3819839126374524</t>
  </si>
  <si>
    <t>0.18874076350777097                     0.3980503996571445</t>
  </si>
  <si>
    <t>0.1452554241224177                      0.5117992767624007</t>
  </si>
  <si>
    <t>0.1275361090011624                      0.3841569589120041</t>
  </si>
  <si>
    <t>0.1883278137374134                      0.39045407493426776</t>
  </si>
  <si>
    <t>0.12829332468568067                     0.37780253866392377</t>
  </si>
  <si>
    <t>0.1905170785289744                      0.3939453002813428</t>
  </si>
  <si>
    <t>0.12672431893705555                     0.37979829574495777</t>
  </si>
  <si>
    <t>0.18927598290726202                     0.39207689187099376</t>
  </si>
  <si>
    <t>0.12568667830966043                     0.3856367600879541</t>
  </si>
  <si>
    <t>0.18911873617676248                     0.404910739641208</t>
  </si>
  <si>
    <t>0.1259656090857659                      0.3818036965478283</t>
  </si>
  <si>
    <t>0.1866890058596485                      0.3938395823044934</t>
  </si>
  <si>
    <t>0.12516776294694365                     0.3805949082567094</t>
  </si>
  <si>
    <t>0.18764121378473242                     0.3812244827200667</t>
  </si>
  <si>
    <t>0.12721703480719213                     0.38822541736516936</t>
  </si>
  <si>
    <t>0.18945324546325665                     0.3972234091222114</t>
  </si>
  <si>
    <t>0.12602126671142563                     0.3752560586082588</t>
  </si>
  <si>
    <t>0.18760233619908717                     0.398060035187816</t>
  </si>
  <si>
    <t>0.12632117792207906                     0.3792053882433657</t>
  </si>
  <si>
    <t>0.18769705746784224                     0.39389404992065424</t>
  </si>
  <si>
    <t>0.12508687510619437                     0.3790591057393432</t>
  </si>
  <si>
    <t>0.1874049813296741                      0.39675603323479147</t>
  </si>
  <si>
    <t>0.12806742263354182                     0.3901820010795989</t>
  </si>
  <si>
    <t>0.18971413334379206                     0.39281508251738123</t>
  </si>
  <si>
    <t>0.12526551292691254                     0.3835732451923143</t>
  </si>
  <si>
    <t>0.1898555830471293                      0.3923695566921836</t>
  </si>
  <si>
    <t>0.1258405554417533                      0.3841622293496559</t>
  </si>
  <si>
    <t>0.19126531123842022                     0.3985598651265379</t>
  </si>
  <si>
    <t>0.12507161071944428                     0.3860775320876822</t>
  </si>
  <si>
    <t>0.18872134802439613                     0.3970256469459391</t>
  </si>
  <si>
    <t>0.12393127274808242                     0.38556914197967224</t>
  </si>
  <si>
    <t>0.18529507039985207                     0.39523332644306264</t>
  </si>
  <si>
    <t>0.1256228643269564                      0.38336759548564003</t>
  </si>
  <si>
    <t>0.18585064181220265                     0.40099429265511827</t>
  </si>
  <si>
    <t>0.1266555757952223                      0.3896923308295432</t>
  </si>
  <si>
    <t>0.19331915221999382                     0.40040191120225</t>
  </si>
  <si>
    <t>0.12533762035242274                     0.3869990880794038</t>
  </si>
  <si>
    <t>0.18584235556953904                     0.397475542243871</t>
  </si>
  <si>
    <t>0.12434120249203698                     0.38774363405326584</t>
  </si>
  <si>
    <t>0.18671259693408238                     0.395119360633448</t>
  </si>
  <si>
    <t>Task 2: numTrain = 5000</t>
  </si>
  <si>
    <t>Task 2: numTrain = 6000</t>
  </si>
  <si>
    <t>0.12598514580856615                     0.3833188484172032</t>
  </si>
  <si>
    <t>0.18591943613903583                     0.3914940432910896</t>
  </si>
  <si>
    <t>0.12569736224039577                     0.38241151791040373</t>
  </si>
  <si>
    <t>0.18773288548429817                     0.3999726427057704</t>
  </si>
  <si>
    <t>1.1304716150366612                      1.2745711819951917</t>
  </si>
  <si>
    <t>1.1105999798704387                      1.2065633919330514</t>
  </si>
  <si>
    <t>0.12337116058017365                     0.3803175516224621</t>
  </si>
  <si>
    <t>0.18736634118797232                     0.4032877376908558</t>
  </si>
  <si>
    <t>1.137070663846119                       1.3032616960609604</t>
  </si>
  <si>
    <t>1.0349477267150053                      1.1652522933691427</t>
  </si>
  <si>
    <t>0.12355952058956061                     0.38361221371928717</t>
  </si>
  <si>
    <t>0.1885461668221791                      0.39980986790828793</t>
  </si>
  <si>
    <t>1.0485002573935924                      1.2350630781980474</t>
  </si>
  <si>
    <t>0.9976140353101323                      1.1381968941642493</t>
  </si>
  <si>
    <t>0.1227957445792184                      0.392015119900509</t>
  </si>
  <si>
    <t>0.18790276740872855                     0.39308151095259664</t>
  </si>
  <si>
    <t>0.998827487463594                       1.19592024388685</t>
  </si>
  <si>
    <t>0.9264806136473858                      1.0904171677284664</t>
  </si>
  <si>
    <t>0.12328658249361737                     0.38134487083096485</t>
  </si>
  <si>
    <t>0.1865067099990771                      0.3990890620544294</t>
  </si>
  <si>
    <t>0.9915616613828113                      1.1937411385672365</t>
  </si>
  <si>
    <t>0.8605683489497978                      1.0298075254363404</t>
  </si>
  <si>
    <t>0.12232986273693258                     0.38167828296621936</t>
  </si>
  <si>
    <t>0.18579180723485425                     0.3982859325173163</t>
  </si>
  <si>
    <t>0.9280983581806397                      1.1169955486144096</t>
  </si>
  <si>
    <t>0.8210969028355427                      1.008831480751831</t>
  </si>
  <si>
    <t>0.1221410371496103                      0.3878364157859912</t>
  </si>
  <si>
    <t>0.18925366879814928                     0.39999571519993116</t>
  </si>
  <si>
    <t>0.8931396636998025                      1.1203026363883346</t>
  </si>
  <si>
    <t>0.8327059776414459                      1.0087201785253095</t>
  </si>
  <si>
    <t>0.12144036275361379                     0.3911508988062677</t>
  </si>
  <si>
    <t>0.18926898751053747                     0.40845654937701326</t>
  </si>
  <si>
    <t>0.8934835244931009                      1.1267174384046865</t>
  </si>
  <si>
    <t>0.7947493369613057                      0.9735979550792914</t>
  </si>
  <si>
    <t>0.12163702763714487                     0.3965395116085725</t>
  </si>
  <si>
    <t>0.18616037846355474                     0.4017275414607849</t>
  </si>
  <si>
    <t>0.8574685665435434                      1.0888405717641247</t>
  </si>
  <si>
    <t>0.7557607990477189                      0.9463396016813633</t>
  </si>
  <si>
    <t>0.12112490201757731                     0.3852912554577975</t>
  </si>
  <si>
    <t>0.18585209399753513                     0.39807242917519037</t>
  </si>
  <si>
    <t>0.8323349676190281                      1.0703966273680234</t>
  </si>
  <si>
    <t>0.7338250136539287                      0.9361111875231826</t>
  </si>
  <si>
    <t>0.12033780662727334                     0.3765088838897756</t>
  </si>
  <si>
    <t>0.18550793369803112                     0.40296419538637207</t>
  </si>
  <si>
    <t>0.7904485800645941                      1.0287871445557204</t>
  </si>
  <si>
    <t>0.698281518823301                       0.9052822012137685</t>
  </si>
  <si>
    <t>0.12374681051179456                     0.38653128242155227</t>
  </si>
  <si>
    <t>0.18636778285127079                     0.4033172190927399</t>
  </si>
  <si>
    <t>0.782382866678426                       1.0225932038927241</t>
  </si>
  <si>
    <t>0.6797401346321407                      0.9187221242722745</t>
  </si>
  <si>
    <t>0.1225486103585632                      0.39656964736396394</t>
  </si>
  <si>
    <t>0.18676705774812383                     0.4060154330440231</t>
  </si>
  <si>
    <t>0.7991994003922621                      1.0409914217215288</t>
  </si>
  <si>
    <t>0.6626891271763576                      0.8994698893168418</t>
  </si>
  <si>
    <t>0.1202791926762561                      0.3878060748860843</t>
  </si>
  <si>
    <t>0.18739859980759643                     0.39821767418369947</t>
  </si>
  <si>
    <t>0.7969800319275827                      1.0658250520480645</t>
  </si>
  <si>
    <t>0.6660219319641841                      0.8993015130876423</t>
  </si>
  <si>
    <t>0.12140032028690136                     0.3919082638390784</t>
  </si>
  <si>
    <t>0.18414929447048223                     0.39862745011768475</t>
  </si>
  <si>
    <t>0.760223280346844                       1.0283272920802333</t>
  </si>
  <si>
    <t>0.6226622011681525                      0.8603385988795132</t>
  </si>
  <si>
    <t>0.1199680272762586                      0.3871528230319019</t>
  </si>
  <si>
    <t>0.1865546836923837                      0.40324649800199813</t>
  </si>
  <si>
    <t>0.7553572809777654                      1.0233179690909626</t>
  </si>
  <si>
    <t>0.6274738667483756                      0.8783971085569895</t>
  </si>
  <si>
    <t>0.18614764258907548                     0.39609320478447285</t>
  </si>
  <si>
    <t>0.7170628991891247                      0.9950655591876821</t>
  </si>
  <si>
    <t>0.6137995284664028                      0.8604250092049129</t>
  </si>
  <si>
    <t>0.18279893274393633                     0.39523588194156106</t>
  </si>
  <si>
    <t>0.7141986830065443                      0.9936650819801442</t>
  </si>
  <si>
    <t>0.5889828268303462                      0.8582887805619477</t>
  </si>
  <si>
    <t>0.18573262347974534                     0.403634704697917</t>
  </si>
  <si>
    <t>0.7164041052003459                      1.0076489408009215</t>
  </si>
  <si>
    <t>0.5809888549381449                      0.8366320355184144</t>
  </si>
  <si>
    <t>0.1845591896262069                      0.3994196093558441</t>
  </si>
  <si>
    <t>0.6904239645430028                      0.9766574894658294</t>
  </si>
  <si>
    <t>0.5704594323616693                      0.8149759015153503</t>
  </si>
  <si>
    <t>0.18939389669515747                     0.4152017768755035</t>
  </si>
  <si>
    <t>0.6770785175546744                      0.9536958626442704</t>
  </si>
  <si>
    <t>0.5629271403203047                      0.8214304657110107</t>
  </si>
  <si>
    <t>0.18553071297646595                     0.40645701833671416</t>
  </si>
  <si>
    <t>0.6941982537861803                      1.0053448162414935</t>
  </si>
  <si>
    <t>0.5544248618049176                      0.8087053321934683</t>
  </si>
  <si>
    <t>0.1847872840774586                      0.40124234897270944</t>
  </si>
  <si>
    <t>0.6767948253654974                      0.9766737202684402</t>
  </si>
  <si>
    <t>0.5274095758426653                      0.786705599139707</t>
  </si>
  <si>
    <t>0.18497654365148364                     0.40299205650366315</t>
  </si>
  <si>
    <t>0.6443800585517406                      0.9118097252456541</t>
  </si>
  <si>
    <t>0.5399662755912541                      0.809802373726826</t>
  </si>
  <si>
    <t>0.18489087243896815                     0.4058845075719582</t>
  </si>
  <si>
    <t>0.6273211694636786                      0.9086258616241872</t>
  </si>
  <si>
    <t>0.5414443573717301                      0.8082234578612116</t>
  </si>
  <si>
    <t>0.18676030357767842                     0.39847905286088714</t>
  </si>
  <si>
    <t>0.6189927610561173                      0.9152924628104815</t>
  </si>
  <si>
    <t>0.49556806489089755                     0.7662776545050757</t>
  </si>
  <si>
    <t>0.18453156967873022                     0.40819947904325304</t>
  </si>
  <si>
    <t>0.6433467474742054                      0.9339312439996055</t>
  </si>
  <si>
    <t>0.4999757780520624                      0.7900569792371914</t>
  </si>
  <si>
    <t>0.1899274949107482                      0.4157388302098564</t>
  </si>
  <si>
    <t>0.631497628390419                       0.9579025891611257</t>
  </si>
  <si>
    <t>0.4836597347527996                      0.7624325529713162</t>
  </si>
  <si>
    <t>0.18542522916807763                     0.40104105047707944</t>
  </si>
  <si>
    <t>0.5982611465907698                      0.911992877069042</t>
  </si>
  <si>
    <t>0.47808579060807294                     0.7462018555945824</t>
  </si>
  <si>
    <t>0.18531300010008467                     0.4064320362487086</t>
  </si>
  <si>
    <t>0.5936039257123035                      0.9022854661399992</t>
  </si>
  <si>
    <t>0.4970210145299762                      0.7781927899160624</t>
  </si>
  <si>
    <t>0.18530367343823734                     0.4054787375894242</t>
  </si>
  <si>
    <t>0.5763254824428552                      0.8969711748610113</t>
  </si>
  <si>
    <t>0.46542867070155625                     0.7423735626679135</t>
  </si>
  <si>
    <t>0.18485972284554475                     0.4043791469987147</t>
  </si>
  <si>
    <t>0.5884514026875445                      0.9121503657369248</t>
  </si>
  <si>
    <t>0.4818868910349468                      0.7773019644776445</t>
  </si>
  <si>
    <t>0.1825786973412105                      0.39664076847669816</t>
  </si>
  <si>
    <t>0.5919072662588236                      0.9240289293072798</t>
  </si>
  <si>
    <t>0.45276019220288466                     0.741765340264745</t>
  </si>
  <si>
    <t>0.1857069943145717                      0.3980433170691435</t>
  </si>
  <si>
    <t>0.574920161282109                       0.8617996898483851</t>
  </si>
  <si>
    <t>0.44728630839598554                     0.7297534696991065</t>
  </si>
  <si>
    <t>0.1917887386715201                      0.40640630836391506</t>
  </si>
  <si>
    <t>0.5673581023042795                      0.8826579494722091</t>
  </si>
  <si>
    <t>0.4301073856663586                      0.7263572980181916</t>
  </si>
  <si>
    <t>0.1838348343341839                      0.41213788955748987</t>
  </si>
  <si>
    <t>0.5407907807107504                      0.8645408178826398</t>
  </si>
  <si>
    <t>0.44237239713175236                     0.744087324874054</t>
  </si>
  <si>
    <t>0.18628294401290155                     0.4007665403120034</t>
  </si>
  <si>
    <t>0.5735907117103889                      0.8859118339646593</t>
  </si>
  <si>
    <t>0.45314864061993343                     0.7618436359815456</t>
  </si>
  <si>
    <t>0.188828126370183                       0.4038428052776507</t>
  </si>
  <si>
    <t>0.5492457208776259                      0.8773050898901771</t>
  </si>
  <si>
    <t>0.4406675082390901                      0.7391111821975573</t>
  </si>
  <si>
    <t>0.18366337705673738                     0.4032211505933359</t>
  </si>
  <si>
    <t>0.5572971852270587                      0.8769915300166214</t>
  </si>
  <si>
    <t>0.42741932576832975                     0.7296010685367594</t>
  </si>
  <si>
    <t>0.18555949837236732                     0.404184187520761</t>
  </si>
  <si>
    <t>0.5279239547361376                      0.8515503124172361</t>
  </si>
  <si>
    <t>0.42696094657281125                     0.7127584314946513</t>
  </si>
  <si>
    <t>0.18343840732430608                     0.4098328505716222</t>
  </si>
  <si>
    <t>0.510004858463986                       0.8526884650331542</t>
  </si>
  <si>
    <t>0.4201846267312994                      0.7244778545132718</t>
  </si>
  <si>
    <t>0.18397243534529964                     0.40677912541580535</t>
  </si>
  <si>
    <t>0.5432279769111424                      0.8649314637327847</t>
  </si>
  <si>
    <t>0.4224290347356951                      0.7506747056267857</t>
  </si>
  <si>
    <t>0.18599244932305453                     0.4103988325818299</t>
  </si>
  <si>
    <t>0.5063011482938691                      0.8364225994450328</t>
  </si>
  <si>
    <t>0.40611866994260654                     0.7265252128869889</t>
  </si>
  <si>
    <t>0.18575840834591487                     0.4079901681268885</t>
  </si>
  <si>
    <t>0.5004583680026428                      0.8458062430869834</t>
  </si>
  <si>
    <t>0.4033865243753573                      0.7152774060387184</t>
  </si>
  <si>
    <t>0.18707679642232583                     0.4054846525858506</t>
  </si>
  <si>
    <t>0.5142019700622025                      0.8675211931496013</t>
  </si>
  <si>
    <t>0.3917197870087782                      0.7016529899700917</t>
  </si>
  <si>
    <t>0.18286878053705677                     0.4043387459763143</t>
  </si>
  <si>
    <t>0.5090960616355614                      0.8561449815684393</t>
  </si>
  <si>
    <t>0.40325671877063596                     0.7224481346581129</t>
  </si>
  <si>
    <t>0.18285759975611657                     0.4145934805609285</t>
  </si>
  <si>
    <t>0.5013544535766158                      0.8395639124326416</t>
  </si>
  <si>
    <t>0.39238286507185616                     0.6985627929268462</t>
  </si>
  <si>
    <t>0.18388776307720675                     0.4056956417432354</t>
  </si>
  <si>
    <t>0.4782617679062296                      0.8323830906273089</t>
  </si>
  <si>
    <t>0.38671042277567563                     0.7152734338918768</t>
  </si>
  <si>
    <t>0.18450736290823333                     0.4075638873480141</t>
  </si>
  <si>
    <t>0.4859679835071432                      0.8319360869160394</t>
  </si>
  <si>
    <t>0.37537438360871744                     0.6930892946039439</t>
  </si>
  <si>
    <t>0.18672719239702698                     0.4099577417112002</t>
  </si>
  <si>
    <t>0.48445803362850276                     0.8193117264250683</t>
  </si>
  <si>
    <t>0.3998664960187078                      0.7107784022832127</t>
  </si>
  <si>
    <t>0.18416422264562451                     0.40861992567669936</t>
  </si>
  <si>
    <t>0.47793072738083775                     0.8190593901759481</t>
  </si>
  <si>
    <t>0.3639207142901349                      0.686132307743081</t>
  </si>
  <si>
    <t>0.1820319740113229                      0.4151689446943316</t>
  </si>
  <si>
    <t>0.4810290651360211                      0.8266205301546167</t>
  </si>
  <si>
    <t>0.3809628761878017                      0.6981700215449778</t>
  </si>
  <si>
    <t>0.18402345974781015                     0.40409892677697684</t>
  </si>
  <si>
    <t>0.46500872618743355                     0.8104201379410918</t>
  </si>
  <si>
    <t>0.3623760759373722                      0.6783111782499837</t>
  </si>
  <si>
    <t>0.1849509563397041                      0.40941256267202814</t>
  </si>
  <si>
    <t>0.46904684860965074                     0.8300731456557721</t>
  </si>
  <si>
    <t>0.3688694775884866                      0.6850238547208652</t>
  </si>
  <si>
    <t>0.18432134654462662                     0.4073127455400879</t>
  </si>
  <si>
    <t>0.4592259288628537                      0.8100211522641183</t>
  </si>
  <si>
    <t>0.36676960208464326                     0.6936906762590807</t>
  </si>
  <si>
    <t>0.18248304054579537                     0.41486312513622736</t>
  </si>
  <si>
    <t>0.44551801636856747                     0.8024869479479786</t>
  </si>
  <si>
    <t>0.3583897984889778                      0.680197442283193</t>
  </si>
  <si>
    <t>0.18282999986365753                     0.4085550954433704</t>
  </si>
  <si>
    <t>0.46503272624328784                     0.8238298888000122</t>
  </si>
  <si>
    <t>0.37128297993092                        0.6934050053908581</t>
  </si>
  <si>
    <t>0.18442753677037793                     0.4116869513905308</t>
  </si>
  <si>
    <t>0.4430318651658989                      0.8127733405486179</t>
  </si>
  <si>
    <t>0.3539285135570348                      0.6843815863438234</t>
  </si>
  <si>
    <t>0.18539434109671363                     0.4208957031266865</t>
  </si>
  <si>
    <t>0.44026927313943764                     0.809991635788955</t>
  </si>
  <si>
    <t>0.3569030522621701                      0.6857711810777336</t>
  </si>
  <si>
    <t>0.1873820861969539                      0.4278120510752574</t>
  </si>
  <si>
    <t>0.45435023901024363                     0.8112492488158315</t>
  </si>
  <si>
    <t>0.3483614846047343                      0.6741538887234696</t>
  </si>
  <si>
    <t>0.453150739085962                       0.8048343387666652</t>
  </si>
  <si>
    <t>0.3394723491801455                      0.6665117179533333</t>
  </si>
  <si>
    <t>0.4317372579985936                      0.8034574680719401</t>
  </si>
  <si>
    <t>0.3450136357954678                      0.681055844814849</t>
  </si>
  <si>
    <t>0.42328735604375417                     0.775509531417144</t>
  </si>
  <si>
    <t>0.3402327142021242                      0.6723208077369891</t>
  </si>
  <si>
    <t>0.4269672255189946                      0.7984300537867948</t>
  </si>
  <si>
    <t>0.3342253958716837                      0.67561904572303</t>
  </si>
  <si>
    <t>0.42687593467705404                     0.793047549610301</t>
  </si>
  <si>
    <t>0.3311311230184524                      0.6547592261704698</t>
  </si>
  <si>
    <t>0.4208269264807749                      0.7914984900710551</t>
  </si>
  <si>
    <t>0.3321127812894081                      0.6838129128211944</t>
  </si>
  <si>
    <t>0.4288810949937933                      0.7821993312713461</t>
  </si>
  <si>
    <t>0.328800751072192                       0.6648666865621826</t>
  </si>
  <si>
    <t>0.43437335845074787                     0.8119811748060903</t>
  </si>
  <si>
    <t>0.3271700892963551                      0.6638030977958824</t>
  </si>
  <si>
    <t>0.421295714888139                       0.8113018482655809</t>
  </si>
  <si>
    <t>0.32161550658285043                     0.6588208379956245</t>
  </si>
  <si>
    <t>0.3995827016766183                      0.7652219682424127</t>
  </si>
  <si>
    <t>0.3231936407854284                      0.6568374434606075</t>
  </si>
  <si>
    <t>0.4120223121077521                      0.7808740340697388</t>
  </si>
  <si>
    <t>0.3187070276957203                      0.6632030666850544</t>
  </si>
  <si>
    <t>0.40144604420953967                     0.7836217534310164</t>
  </si>
  <si>
    <t>0.3390151486419335                      0.6818192430338798</t>
  </si>
  <si>
    <t>0.3993860012887021                      0.786352519598686</t>
  </si>
  <si>
    <t>0.3185147935210219                      0.670893487654269</t>
  </si>
  <si>
    <t>0.40489677543413394                     0.7963002112041208</t>
  </si>
  <si>
    <t>0.30582564545253543                     0.6500079159808564</t>
  </si>
  <si>
    <t>0.4206542885917214                      0.8009739062374257</t>
  </si>
  <si>
    <t>0.3191288397209473                      0.6483801444518639</t>
  </si>
  <si>
    <t>0.396932339452568                       0.786814256392909</t>
  </si>
  <si>
    <t>0.2972895118968631                      0.6453689397749659</t>
  </si>
  <si>
    <t>0.4042668929341222                      0.7977808347935763</t>
  </si>
  <si>
    <t>0.30078379245894893                     0.6536956528103566</t>
  </si>
  <si>
    <t>0.38885329362707083                     0.7903871315124227</t>
  </si>
  <si>
    <t>0.3023280908516213                      0.6588736167770903</t>
  </si>
  <si>
    <t>Task 2: numTrain = 7500</t>
  </si>
  <si>
    <t>Task 2: numTrain = 10000</t>
  </si>
  <si>
    <t>0.39071412835895764                     0.773925517031528</t>
  </si>
  <si>
    <t>0.3020161224504705                      0.6608825011902372</t>
  </si>
  <si>
    <t>0.38122808426104426                     0.7644031179081846</t>
  </si>
  <si>
    <t>0.2941804625610101                      0.637949131532086</t>
  </si>
  <si>
    <t>1.1113570202518408                      1.195668710276651</t>
  </si>
  <si>
    <t>1.0847325831555912                      1.173905359264077</t>
  </si>
  <si>
    <t>0.38981700988420875                     0.7841494172911389</t>
  </si>
  <si>
    <t>0.2964581477874769                      0.6445492612647573</t>
  </si>
  <si>
    <t>1.0359085920821274                      1.154234219669261</t>
  </si>
  <si>
    <t>1.0210969718396605                      1.1224006466601837</t>
  </si>
  <si>
    <t>0.3956116742572305                      0.7801638321689508</t>
  </si>
  <si>
    <t>0.29029175127017626                     0.6512189662865615</t>
  </si>
  <si>
    <t>0.9639592958691444                      1.0679134130891954</t>
  </si>
  <si>
    <t>0.9161795005245488                      1.0246754956992723</t>
  </si>
  <si>
    <t>0.3675840297489125                      0.7556350841710306</t>
  </si>
  <si>
    <t>0.29156142817535297                     0.643510459090467</t>
  </si>
  <si>
    <t>0.9504764700349809                      1.0928037465697984</t>
  </si>
  <si>
    <t>0.8813791665317626                      0.9977110778995606</t>
  </si>
  <si>
    <t>0.3742774628883619                      0.7627245813934546</t>
  </si>
  <si>
    <t>0.2892867704810801                      0.64393865659471</t>
  </si>
  <si>
    <t>0.9052699489399644                      1.0566946142475635</t>
  </si>
  <si>
    <t>0.824818523881918                       0.9448820171093203</t>
  </si>
  <si>
    <t>0.37872685598451794                     0.7694236028217715</t>
  </si>
  <si>
    <t>0.29649499399536616                     0.6494694318425883</t>
  </si>
  <si>
    <t>0.8212958905259952                      0.9797538114969757</t>
  </si>
  <si>
    <t>0.82878372583124                        0.9483251289515123</t>
  </si>
  <si>
    <t>0.37028238192602314                     0.7831681154087753</t>
  </si>
  <si>
    <t>0.28406200083811733                     0.6455942914157329</t>
  </si>
  <si>
    <t>0.817829595350549                       0.982002555849034</t>
  </si>
  <si>
    <t>0.7875901511045431                      0.9386312036858777</t>
  </si>
  <si>
    <t>0.374787195732398                       0.7490058024748328</t>
  </si>
  <si>
    <t>0.2938152040270661                      0.6507209917713819</t>
  </si>
  <si>
    <t>0.8287488357038744                      0.9859228328535073</t>
  </si>
  <si>
    <t>0.7495761204694237                      0.8882677872690155</t>
  </si>
  <si>
    <t>0.3655671766835371                      0.7704148794703841</t>
  </si>
  <si>
    <t>0.3009872414405323                      0.657239316213986</t>
  </si>
  <si>
    <t>0.7648568286526534                      0.9251618280910275</t>
  </si>
  <si>
    <t>0.7166267065782149                      0.8476274167094123</t>
  </si>
  <si>
    <t>0.36820449171605546                     0.7748689012534025</t>
  </si>
  <si>
    <t>0.280855443767793                       0.6385818184940539</t>
  </si>
  <si>
    <t>0.7372363676282652                      0.8936362603736608</t>
  </si>
  <si>
    <t>0.6809969641739362                      0.8254729524133718</t>
  </si>
  <si>
    <t>0.36512458647652285                     0.7738340121995728</t>
  </si>
  <si>
    <t>0.28262736159605245                     0.6442745278275197</t>
  </si>
  <si>
    <t>0.7459598457159471                      0.9063784945535902</t>
  </si>
  <si>
    <t>0.6633370312969249                      0.8036269643743728</t>
  </si>
  <si>
    <t>0.3587301889607183                      0.7678411696318165</t>
  </si>
  <si>
    <t>0.2903661905202012                      0.6483798681499628</t>
  </si>
  <si>
    <t>0.704804019673734                       0.8724307460000257</t>
  </si>
  <si>
    <t>0.6455080533910121                      0.7903394477522064</t>
  </si>
  <si>
    <t>0.36153187983306256                     0.7539248793878789</t>
  </si>
  <si>
    <t>0.28138491404123434                     0.6425066594178496</t>
  </si>
  <si>
    <t>0.7007238497203945                      0.8846994650317856</t>
  </si>
  <si>
    <t>0.6130458633650003                      0.7610652827687115</t>
  </si>
  <si>
    <t>0.358646993801871                       0.759583097764918</t>
  </si>
  <si>
    <t>0.2833907205538675                      0.652762651506816</t>
  </si>
  <si>
    <t>0.6767982604205647                      0.8695236637029998</t>
  </si>
  <si>
    <t>0.6031104266066245                      0.7528423158937381</t>
  </si>
  <si>
    <t>0.3438400757213864                      0.7310916755935498</t>
  </si>
  <si>
    <t>0.2772363212959702                      0.6326897782188887</t>
  </si>
  <si>
    <t>0.6663338128045402                      0.8725482688478006</t>
  </si>
  <si>
    <t>0.5898733735392947                      0.7487036059244534</t>
  </si>
  <si>
    <t>0.3602393769029253                      0.7604711325482305</t>
  </si>
  <si>
    <t>0.26889869777672915                     0.6244558971311674</t>
  </si>
  <si>
    <t>0.6498995795159441                      0.8420841284860666</t>
  </si>
  <si>
    <t>0.5984283930638461                      0.7605180033134951</t>
  </si>
  <si>
    <t>0.3583877488443901                      0.7653823268732706</t>
  </si>
  <si>
    <t>0.2731159960494362                      0.6358982265464956</t>
  </si>
  <si>
    <t>0.6650373761587753                      0.8700331824879103</t>
  </si>
  <si>
    <t>0.5531441324659326                      0.7177790301092957</t>
  </si>
  <si>
    <t>0.3433936391226446                      0.7498519651037374</t>
  </si>
  <si>
    <t>0.26860516857699474                     0.639555430166441</t>
  </si>
  <si>
    <t>0.6486800149703374                      0.8518139402269007</t>
  </si>
  <si>
    <t>0.5700740534169885                      0.7458475126263532</t>
  </si>
  <si>
    <t>0.3720856242407508                      0.8046953177478006</t>
  </si>
  <si>
    <t>0.26804154552419956                     0.6343195807789076</t>
  </si>
  <si>
    <t>0.6141463994123784                      0.8211230528719397</t>
  </si>
  <si>
    <t>0.5538094916296153                      0.7305413282597779</t>
  </si>
  <si>
    <t>0.3525085224736457                      0.7731469238836663</t>
  </si>
  <si>
    <t>0.2676832096005202                      0.6329621123681719</t>
  </si>
  <si>
    <t>0.6447998253064725                      0.8414475709417951</t>
  </si>
  <si>
    <t>0.5394564929508734                      0.7121362880411325</t>
  </si>
  <si>
    <t>0.3628037657995027                      0.7750512307176137</t>
  </si>
  <si>
    <t>0.2588145049712528                      0.6346286005709308</t>
  </si>
  <si>
    <t>0.5977774416290403                      0.8173140057609888</t>
  </si>
  <si>
    <t>0.5338300607283153                      0.6989702398500297</t>
  </si>
  <si>
    <t>0.3573617889861486                      0.7660562409988234</t>
  </si>
  <si>
    <t>0.28041177672183887                     0.6482125156314966</t>
  </si>
  <si>
    <t>0.5908765842535785                      0.8154973292120414</t>
  </si>
  <si>
    <t>0.5227222400163506                      0.6988761489019819</t>
  </si>
  <si>
    <t>0.3497898573695865                      0.7485004650446149</t>
  </si>
  <si>
    <t>0.2698185965297687                      0.646307510885353</t>
  </si>
  <si>
    <t>0.5798095411201192                      0.7776344631227597</t>
  </si>
  <si>
    <t>0.5247715892520978                      0.7110841080989228</t>
  </si>
  <si>
    <t>0.33603566461980505                     0.7496968148998755</t>
  </si>
  <si>
    <t>0.2619309014629033                      0.6222931596125384</t>
  </si>
  <si>
    <t>0.5670428699726844                      0.7783816061696163</t>
  </si>
  <si>
    <t>0.4964574707262361                      0.6714365977130099</t>
  </si>
  <si>
    <t>0.34406519734134283                     0.7643981667934009</t>
  </si>
  <si>
    <t>0.2581382710348845                      0.6341036641145369</t>
  </si>
  <si>
    <t>0.5680832229118535                      0.78792198189219</t>
  </si>
  <si>
    <t>0.5036143085083562                      0.6871201054394442</t>
  </si>
  <si>
    <t>0.33354714996740403                     0.7577130383802702</t>
  </si>
  <si>
    <t>0.2560324253659375                      0.625978744233302</t>
  </si>
  <si>
    <t>0.5378498519647625                      0.7592088481102693</t>
  </si>
  <si>
    <t>0.480643910808489                       0.6526065726728787</t>
  </si>
  <si>
    <t>0.3401753100493208                      0.7564501818761135</t>
  </si>
  <si>
    <t>0.2531191778867961                      0.622395678424775</t>
  </si>
  <si>
    <t>0.5595178681611347                      0.7818564766966142</t>
  </si>
  <si>
    <t>0.4753594656561607                      0.6558218512509307</t>
  </si>
  <si>
    <t>0.33151825575196553                     0.7331373566502799</t>
  </si>
  <si>
    <t>0.25790214771848025                     0.6364527424203352</t>
  </si>
  <si>
    <t>0.5343489130287723                      0.7460714629685169</t>
  </si>
  <si>
    <t>0.4575055131410655                      0.6363539352032186</t>
  </si>
  <si>
    <t>0.3420472570034223                      0.7605306426931401</t>
  </si>
  <si>
    <t>0.25377663188160865                     0.6253138656967653</t>
  </si>
  <si>
    <t>0.5159789495302587                      0.73493403778296</t>
  </si>
  <si>
    <t>0.46195127221842935                     0.6512007657150191</t>
  </si>
  <si>
    <t>0.3235132588918985                      0.7457939216343783</t>
  </si>
  <si>
    <t>0.2557464603518578                      0.6346533712777775</t>
  </si>
  <si>
    <t>0.5088905541152565                      0.7393170977980122</t>
  </si>
  <si>
    <t>0.44681726103228914                     0.6277365562031332</t>
  </si>
  <si>
    <t>0.31926344285478864                     0.7228658851829696</t>
  </si>
  <si>
    <t>0.2516368603713413                      0.6320069412269038</t>
  </si>
  <si>
    <t>0.5128387257301628                      0.7513265468358936</t>
  </si>
  <si>
    <t>0.4568099642754196                      0.6471388141058886</t>
  </si>
  <si>
    <t>0.3213882965436109                      0.7408554125527659</t>
  </si>
  <si>
    <t>0.2556346333101609                      0.6366597869045745</t>
  </si>
  <si>
    <t>0.494605113696449                       0.7250868202642088</t>
  </si>
  <si>
    <t>0.446541920587124                       0.6400605599243246</t>
  </si>
  <si>
    <t>0.32591381993300556                     0.73109939467396</t>
  </si>
  <si>
    <t>0.24777024208431658                     0.6246309576591202</t>
  </si>
  <si>
    <t>0.49804841156734325                     0.7302956650159769</t>
  </si>
  <si>
    <t>0.44180824633640836                     0.6364619918141269</t>
  </si>
  <si>
    <t>0.3236980680703594                      0.7442470866362878</t>
  </si>
  <si>
    <t>0.24091687409603946                     0.6203706729316402</t>
  </si>
  <si>
    <t>0.4843929837093208                      0.7172211158291473</t>
  </si>
  <si>
    <t>0.43309337743592735                     0.6364975683673171</t>
  </si>
  <si>
    <t>0.3148887939650628                      0.734212737818568</t>
  </si>
  <si>
    <t>0.2478198066730141                      0.6282697968356976</t>
  </si>
  <si>
    <t>0.4807938723876711                      0.7101654639513006</t>
  </si>
  <si>
    <t>0.42967881396864904                     0.6222319742281202</t>
  </si>
  <si>
    <t>0.3126837469277486                      0.7298357644540806</t>
  </si>
  <si>
    <t>0.24620125428766867                     0.6283441512899265</t>
  </si>
  <si>
    <t>0.47535752240445556                     0.7124868099367682</t>
  </si>
  <si>
    <t>0.4206976594897721                      0.6116465925955648</t>
  </si>
  <si>
    <t>0.32172182689146583                     0.7472127524485785</t>
  </si>
  <si>
    <t>0.23876280889485807                     0.6228553110827031</t>
  </si>
  <si>
    <t>0.46977813860947265                     0.6995484583668594</t>
  </si>
  <si>
    <t>0.4444112983399172                      0.6332234461423302</t>
  </si>
  <si>
    <t>0.30735793569587855                     0.7266965377677409</t>
  </si>
  <si>
    <t>0.23832739069600783                     0.6195118074243487</t>
  </si>
  <si>
    <t>0.5012148306433438                      0.7437508598897111</t>
  </si>
  <si>
    <t>0.42713953330921406                     0.6262114440942663</t>
  </si>
  <si>
    <t>0.31375886307415884                     0.7219947630615506</t>
  </si>
  <si>
    <t>0.24124481078659366                     0.6271286558370966</t>
  </si>
  <si>
    <t>0.4563464148507592                      0.6912896845399308</t>
  </si>
  <si>
    <t>0.41142921034746655                     0.6076820093059634</t>
  </si>
  <si>
    <t>0.3085743544168598                      0.7158578723007619</t>
  </si>
  <si>
    <t>0.2480710224969346                      0.6400162181137087</t>
  </si>
  <si>
    <t>0.44832624313369823                     0.708315510157385</t>
  </si>
  <si>
    <t>0.4085323884155969                      0.615021057804367</t>
  </si>
  <si>
    <t>0.30740170129472144                     0.7185423266181965</t>
  </si>
  <si>
    <t>0.23812405843940349                     0.615538479572388</t>
  </si>
  <si>
    <t>0.46698336743643193                     0.7188103956529895</t>
  </si>
  <si>
    <t>0.4042823243184363                      0.6025469145505301</t>
  </si>
  <si>
    <t>0.3193883500841424                      0.7530787890055667</t>
  </si>
  <si>
    <t>0.23856127980312203                     0.6328267413384445</t>
  </si>
  <si>
    <t>0.44232642268160627                     0.6895321867625271</t>
  </si>
  <si>
    <t>0.39626306266969696                     0.6055551583185987</t>
  </si>
  <si>
    <t>0.3058956602908339                      0.7452451049490452</t>
  </si>
  <si>
    <t>0.22969691482997517                     0.6174950830672731</t>
  </si>
  <si>
    <t>0.4470606768710654                      0.6936250709544213</t>
  </si>
  <si>
    <t>0.3863717181613546                      0.5956837418996538</t>
  </si>
  <si>
    <t>0.3000666241138388                      0.7311285614097389</t>
  </si>
  <si>
    <t>0.2429328182646983                      0.6189286528521738</t>
  </si>
  <si>
    <t>0.4411060406663012                      0.6956841619698759</t>
  </si>
  <si>
    <t>0.3906093892704844                      0.5931642964163041</t>
  </si>
  <si>
    <t>0.3020762465951888                      0.7255622817683948</t>
  </si>
  <si>
    <t>0.24076609107094019                     0.620418202787178</t>
  </si>
  <si>
    <t>0.4386638809986703                      0.6914077181902946</t>
  </si>
  <si>
    <t>0.4028585599607127                      0.6121787357855325</t>
  </si>
  <si>
    <t>0.3019848229441911                      0.7305787318822128</t>
  </si>
  <si>
    <t>0.23573267212637103                     0.632977714191004</t>
  </si>
  <si>
    <t>0.42649252458129316                     0.6733918018237901</t>
  </si>
  <si>
    <t>0.3786009986867953                      0.5828589526914071</t>
  </si>
  <si>
    <t>0.30861146436451464                     0.7424876637061738</t>
  </si>
  <si>
    <t>0.229753421781948                       0.6229051092139108</t>
  </si>
  <si>
    <t>0.4421797052784991                      0.6881737044307334</t>
  </si>
  <si>
    <t>0.38258154057888394                     0.5864893807648013</t>
  </si>
  <si>
    <t>0.3013771026959521                      0.727884696773944</t>
  </si>
  <si>
    <t>0.23275176453597093                     0.619476335888203</t>
  </si>
  <si>
    <t>0.406717872627298                       0.6596388733745058</t>
  </si>
  <si>
    <t>0.40246282374460085                     0.6072240715491481</t>
  </si>
  <si>
    <t>0.29687004900579267                     0.7193724226398116</t>
  </si>
  <si>
    <t>0.23064125681960998                     0.621266120233794</t>
  </si>
  <si>
    <t>0.4216157206635243                      0.6696860616510572</t>
  </si>
  <si>
    <t>0.3816724295910144                      0.5948337975688024</t>
  </si>
  <si>
    <t>0.3109264030978679                      0.7677302740469888</t>
  </si>
  <si>
    <t>0.23199967732978405                     0.6323672740025896</t>
  </si>
  <si>
    <t>0.4283317622544857                      0.6787058753717167</t>
  </si>
  <si>
    <t>0.3854484800804553                      0.5839076243343392</t>
  </si>
  <si>
    <t>0.2941155989508625                      0.7206828705467487</t>
  </si>
  <si>
    <t>0.2308596296523824                      0.6359609370558837</t>
  </si>
  <si>
    <t>0.4143626856743164                      0.6656167192333642</t>
  </si>
  <si>
    <t>0.36720319097672494                     0.5912520178973205</t>
  </si>
  <si>
    <t>0.2962530521746041                      0.7294656910647257</t>
  </si>
  <si>
    <t>0.23253532521100084                     0.6332518926029992</t>
  </si>
  <si>
    <t>0.40630066264787706                     0.6747088665455666</t>
  </si>
  <si>
    <t>0.3606969135825668                      0.5702040779516238</t>
  </si>
  <si>
    <t>0.2994302937258673                      0.7358797854954972</t>
  </si>
  <si>
    <t>0.2284767495465769                      0.6206246633002866</t>
  </si>
  <si>
    <t>0.399028366399633                       0.6476327448533966</t>
  </si>
  <si>
    <t>0.37052038652699937                     0.5782734037136056</t>
  </si>
  <si>
    <t>0.29805925237929176                     0.7232846937092666</t>
  </si>
  <si>
    <t>0.22862142512872935                     0.6334139902723884</t>
  </si>
  <si>
    <t>0.3963441097160019                      0.6486856931071018</t>
  </si>
  <si>
    <t>0.3495231098402305                      0.5541445624989224</t>
  </si>
  <si>
    <t>0.29546405444681617                     0.7336659975841152</t>
  </si>
  <si>
    <t>0.22130496551808998                     0.6158671265349809</t>
  </si>
  <si>
    <t>0.39101400599807773                     0.6450440526269675</t>
  </si>
  <si>
    <t>0.3593965792271908                      0.5772383791776674</t>
  </si>
  <si>
    <t>0.29619368694768045                     0.7344741518322147</t>
  </si>
  <si>
    <t>0.22424747550056043                     0.6169758766103494</t>
  </si>
  <si>
    <t>0.3936651821729416                      0.6588581673631709</t>
  </si>
  <si>
    <t>0.3495528796809247                      0.5550306222616846</t>
  </si>
  <si>
    <t>0.28789945453339905                     0.7174165744659163</t>
  </si>
  <si>
    <t>0.22480924431477894                     0.6233216770488976</t>
  </si>
  <si>
    <t>0.3828567482475244                      0.6380768942499608</t>
  </si>
  <si>
    <t>0.3672632709398584                      0.5796664017137987</t>
  </si>
  <si>
    <t>0.2897210623150913                      0.7264477458487892</t>
  </si>
  <si>
    <t>0.22131663054657702                     0.6120953534872418</t>
  </si>
  <si>
    <t>0.4009372164433366                      0.6597105546862045</t>
  </si>
  <si>
    <t>0.34035071569737935                     0.5454945270217764</t>
  </si>
  <si>
    <t>0.2798383123452868                      0.7066566489719326</t>
  </si>
  <si>
    <t>0.21899645457870306                     0.6155570529145133</t>
  </si>
  <si>
    <t>0.3905950698681394                      0.6571991097093534</t>
  </si>
  <si>
    <t>0.34244620950571264                     0.5626885622764981</t>
  </si>
  <si>
    <t>0.29299551949613123                     0.7191424868651333</t>
  </si>
  <si>
    <t>0.2209264493361543                      0.6026210281098449</t>
  </si>
  <si>
    <t>0.3839320014413298                      0.6455519907354919</t>
  </si>
  <si>
    <t>0.33508188908210074                     0.5424593352505787</t>
  </si>
  <si>
    <t>0.28899852450364555                     0.7156963261522372</t>
  </si>
  <si>
    <t>0.23041812892837624                     0.6398175959202378</t>
  </si>
  <si>
    <t>0.38040098876104467                     0.6419135538626735</t>
  </si>
  <si>
    <t>0.32791821916249764                     0.542377709489518</t>
  </si>
  <si>
    <t>0.28101322988815575                     0.7173527615730411</t>
  </si>
  <si>
    <t>0.21083433101872454                     0.6093800278679146</t>
  </si>
  <si>
    <t>0.37881465268948616                     0.642757342639422</t>
  </si>
  <si>
    <t>0.33593862159726284                     0.5534560996618051</t>
  </si>
  <si>
    <t>0.27766891294310714                     0.7270834878683627</t>
  </si>
  <si>
    <t>0.22427910146098906                     0.6283093846160371</t>
  </si>
  <si>
    <t>0.3760314492161987                      0.6387013039847458</t>
  </si>
  <si>
    <t>0.32740597894804635                     0.5543904182409796</t>
  </si>
  <si>
    <t>0.29391890886835076                     0.7243106023049989</t>
  </si>
  <si>
    <t>0.2175937364684865                      0.6181722328555673</t>
  </si>
  <si>
    <t>0.37049962731726543                     0.6294464710606228</t>
  </si>
  <si>
    <t>0.3210283998548558                      0.5371520040524222</t>
  </si>
  <si>
    <t>0.28360806321226545                     0.7325753761768266</t>
  </si>
  <si>
    <t>0.21355097447773208                     0.6131534461821683</t>
  </si>
  <si>
    <t>0.3692703695581556                      0.6326700079283135</t>
  </si>
  <si>
    <t>0.32819704006116424                     0.5418889451504532</t>
  </si>
  <si>
    <t>0.27305536386561075                     0.7018099724674046</t>
  </si>
  <si>
    <t>0.20991032169021998                     0.6027914020086638</t>
  </si>
  <si>
    <t>0.380600527416225                       0.6482426555694225</t>
  </si>
  <si>
    <t>0.315796506078886                       0.5286526469091165</t>
  </si>
  <si>
    <t>0.28674134231095527                     0.7201155025055942</t>
  </si>
  <si>
    <t>0.21385517817934457                     0.6182897069576383</t>
  </si>
  <si>
    <t>0.3718069233082465                      0.634080660054953</t>
  </si>
  <si>
    <t>0.31274206116874725                     0.5344408630681677</t>
  </si>
  <si>
    <t>0.28562632024462015                     0.7175030788485101</t>
  </si>
  <si>
    <t>0.21372460755279227                     0.6092263208652133</t>
  </si>
  <si>
    <t>0.3627370013080817                      0.6325541375297048</t>
  </si>
  <si>
    <t>0.3151773908802244                      0.5285398814902166</t>
  </si>
  <si>
    <t>0.2890736711846763                      0.7455071260237767</t>
  </si>
  <si>
    <t>0.21759484150100858                     0.6185792710905046</t>
  </si>
  <si>
    <t>0.35540920411351085                     0.6281326574399162</t>
  </si>
  <si>
    <t>0.32588675926811156                     0.5461382862906529</t>
  </si>
  <si>
    <t>0.275577825463296                       0.7161446022320789</t>
  </si>
  <si>
    <t>0.2219473337749793                      0.6429723774347753</t>
  </si>
  <si>
    <t>0.3573560935416529                      0.635160535258821</t>
  </si>
  <si>
    <t>0.3087782448626827                      0.5304741119790406</t>
  </si>
  <si>
    <t>0.2697298548884836                      0.7049959470017476</t>
  </si>
  <si>
    <t>0.20729410852675387                     0.6272376169405337</t>
  </si>
  <si>
    <t>0.35983769180830816                     0.6366148228275306</t>
  </si>
  <si>
    <t>0.3236697510846941                      0.5425181513504556</t>
  </si>
  <si>
    <t>0.28260082422829724                     0.7273326577222351</t>
  </si>
  <si>
    <t>0.20814474853395                        0.6086835449586355</t>
  </si>
  <si>
    <t>0.337876162593367                       0.6148955095017377</t>
  </si>
  <si>
    <t>0.3081763641375869                      0.5311428142966221</t>
  </si>
  <si>
    <t>0.27008128103975926                     0.7132155095615754</t>
  </si>
  <si>
    <t>0.20288134844598538                     0.6085458089410066</t>
  </si>
  <si>
    <t>0.3448360178021877                      0.6164066395892138</t>
  </si>
  <si>
    <t>0.30630244799689826                     0.5266512470183773</t>
  </si>
  <si>
    <t>0.2821762587895718                      0.7515381075451231</t>
  </si>
  <si>
    <t>0.20367923052060682                     0.6100261605087499</t>
  </si>
  <si>
    <t>0.35408736230796606                     0.6243707815407874</t>
  </si>
  <si>
    <t>0.3008069903931321                      0.5219191791824255</t>
  </si>
  <si>
    <t>0.268628257575286                       0.7254075536073777</t>
  </si>
  <si>
    <t>0.20223824619876582                     0.6101071349455525</t>
  </si>
  <si>
    <t>0.35264677137737044                     0.6364390804319227</t>
  </si>
  <si>
    <t>0.31547360048875966                     0.5350186073471551</t>
  </si>
  <si>
    <t>0.2650863307703168                      0.7179245661595961</t>
  </si>
  <si>
    <t>0.22269034026450343                     0.6365684201072203</t>
  </si>
  <si>
    <t>0.3396795779739454                      0.6108781379912306</t>
  </si>
  <si>
    <t>0.2941418822752123                      0.517196426544988</t>
  </si>
  <si>
    <t>0.2636685786711039                      0.7131106378230517</t>
  </si>
  <si>
    <t>0.2096748498629569                      0.6086872348601485</t>
  </si>
  <si>
    <t>0.3393933177471833                      0.6125741556888973</t>
  </si>
  <si>
    <t>0.2884121443904919                      0.5082948587173256</t>
  </si>
  <si>
    <t>0.2718497468438965                      0.7065667684068617</t>
  </si>
  <si>
    <t>0.20061129791382964                     0.6069328261873694</t>
  </si>
  <si>
    <t>0.3393883135142583                      0.6149102999601392</t>
  </si>
  <si>
    <t>0.29514153011505995                     0.5125548093506165</t>
  </si>
  <si>
    <t>0.2721560244066789                      0.741410314452051</t>
  </si>
  <si>
    <t>0.21819542668627712                     0.6307201998201565</t>
  </si>
  <si>
    <t>0.33367160240412785                     0.6083472839381456</t>
  </si>
  <si>
    <t>0.2943031568126548                      0.5204030068589367</t>
  </si>
  <si>
    <t>0.2702901329525608                      0.7139010011565051</t>
  </si>
  <si>
    <t>0.20151336491061148                     0.6088713124388477</t>
  </si>
  <si>
    <t>0.33906603366127136                     0.622111381647094</t>
  </si>
  <si>
    <t>0.29045702847999233                     0.5204541148641283</t>
  </si>
  <si>
    <t>0.2751670867360434                      0.7382502542062214</t>
  </si>
  <si>
    <t>0.20010839467471808                     0.604072617150355</t>
  </si>
  <si>
    <t>0.3291181252788848                      0.6034509426091729</t>
  </si>
  <si>
    <t>0.29669174456518793                     0.5350172103304107</t>
  </si>
  <si>
    <t>0.2697002315206516                      0.736967366744986</t>
  </si>
  <si>
    <t>0.1930606506959981                      0.596505308237948</t>
  </si>
  <si>
    <t>0.3263990143844246                      0.5975162329167304</t>
  </si>
  <si>
    <t>0.2929008284820811                      0.5240583050023953</t>
  </si>
  <si>
    <t>0.27315210116815036                     0.735038305932442</t>
  </si>
  <si>
    <t>0.2021828910594412                      0.6180772129758568</t>
  </si>
  <si>
    <t>0.3242567730101068                      0.6087611379101148</t>
  </si>
  <si>
    <t>0.28952164298360766                     0.5166017449701337</t>
  </si>
  <si>
    <t>0.26308159028138633                     0.7179787042144041</t>
  </si>
  <si>
    <t>0.1962361229849693                      0.6086953934279206</t>
  </si>
  <si>
    <t>0.3253004994000677                      0.5927544558717384</t>
  </si>
  <si>
    <t>0.29301738811690164                     0.5228408229159928</t>
  </si>
  <si>
    <t>0.27350108419352975                     0.7227413450405509</t>
  </si>
  <si>
    <t>0.20341419498471577                     0.619964009668359</t>
  </si>
  <si>
    <t>0.34568301909814647                     0.6356882236206749</t>
  </si>
  <si>
    <t>0.2886469461779737                      0.5180845057109575</t>
  </si>
  <si>
    <t>0.25524113824103184                     0.7114977208510673</t>
  </si>
  <si>
    <t>0.19543368719128382                     0.6074159718095351</t>
  </si>
  <si>
    <t>0.32619772837144756                     0.6061468873479969</t>
  </si>
  <si>
    <t>0.275457412451674                       0.5071060271029729</t>
  </si>
  <si>
    <t>0.25908198717757347                     0.7271319297466222</t>
  </si>
  <si>
    <t>0.19990972647804978                     0.6211764004857719</t>
  </si>
  <si>
    <t>0.3120567222076059                      0.5961747745811711</t>
  </si>
  <si>
    <t>0.276430266719493                       0.5050501417248848</t>
  </si>
  <si>
    <t>0.2544974799087227                      0.7302909087061378</t>
  </si>
  <si>
    <t>0.1916548990637651                      0.602012041826736</t>
  </si>
  <si>
    <t>0.3136483504434485                      0.5900411668248459</t>
  </si>
  <si>
    <t>0.29063843612545065                     0.5246923578843291</t>
  </si>
  <si>
    <t>0.2624083960853667                      0.7331739594082034</t>
  </si>
  <si>
    <t>0.19796334127246237                     0.6129417766296295</t>
  </si>
  <si>
    <t>0.31732490932976365                     0.5854341791364815</t>
  </si>
  <si>
    <t>0.27863843526322185                     0.5084505812056538</t>
  </si>
  <si>
    <t>0.26105311115154806                     0.7273882539052768</t>
  </si>
  <si>
    <t>0.197283038171421                       0.6182059808861348</t>
  </si>
  <si>
    <t>0.3127938632885632                      0.6021912606939996</t>
  </si>
  <si>
    <t>0.2723226579806018                      0.49971399681324813</t>
  </si>
  <si>
    <t>0.2495066984638645                      0.7134066945170888</t>
  </si>
  <si>
    <t>0.19689370982241275                     0.6065399849352614</t>
  </si>
  <si>
    <t>0.3062580227380223                      0.5909747276456094</t>
  </si>
  <si>
    <t>0.2772923267107377                      0.5117070890058003</t>
  </si>
  <si>
    <t>0.256119930736607                       0.7246230097088895</t>
  </si>
  <si>
    <t>0.1932377895986806                      0.6069201635285845</t>
  </si>
  <si>
    <t>0.30723251761986736                     0.591624614870186</t>
  </si>
  <si>
    <t>0.2722336752911539                      0.4977344969437093</t>
  </si>
  <si>
    <t>0.26350765708647444                     0.7236244246515613</t>
  </si>
  <si>
    <t>0.19536614725604837                     0.6267123617611439</t>
  </si>
  <si>
    <t>0.299025384951378                       0.5854940888333551</t>
  </si>
  <si>
    <t>0.27310199448231853                     0.5071621358603727</t>
  </si>
  <si>
    <t>0.2522187391630646                      0.7200664285902278</t>
  </si>
  <si>
    <t>0.19793778619049165                     0.6173546229494704</t>
  </si>
  <si>
    <t>0.30970327100937023                     0.5958906787951946</t>
  </si>
  <si>
    <t>0.2695583409766703                      0.4923661155893497</t>
  </si>
  <si>
    <t>0.24922088272692106                     0.7138769740813468</t>
  </si>
  <si>
    <t>0.19193006947772404                     0.6140465218304131</t>
  </si>
  <si>
    <t>0.3025106394452324                      0.5799948889108268</t>
  </si>
  <si>
    <t>0.2634326621855158                      0.4939267327386232</t>
  </si>
  <si>
    <t>0.2503585459178832                      0.7078425363664759</t>
  </si>
  <si>
    <t>0.1900693194816034                      0.6157584696362157</t>
  </si>
  <si>
    <t>0.3001238347286764                      0.5793564303768384</t>
  </si>
  <si>
    <t>0.2623476529920746                      0.4867451915571881</t>
  </si>
  <si>
    <t>0.24747198423484656                     0.7139953258126295</t>
  </si>
  <si>
    <t>0.18592538152784444                     0.6064117744939981</t>
  </si>
  <si>
    <t>0.3040352460626635                      0.6053649156341776</t>
  </si>
  <si>
    <t>0.27657431307792424                     0.5118017001756473</t>
  </si>
  <si>
    <t>0.25332124120322436                     0.7177212703137732</t>
  </si>
  <si>
    <t>0.1883128982928497                      0.5999135701164658</t>
  </si>
  <si>
    <t>0.3008494610185123                      0.5809623231447691</t>
  </si>
  <si>
    <t>0.25957066852260346                     0.4873354873375033</t>
  </si>
  <si>
    <t>0.2498677792181607                      0.7109605659809287</t>
  </si>
  <si>
    <t>0.18808475915333098                     0.6006372410429413</t>
  </si>
  <si>
    <t>0.3071343638486713                      0.593299878775012</t>
  </si>
  <si>
    <t>0.2583399461918593                      0.4910071410540587</t>
  </si>
  <si>
    <t>0.24221408430689573                     0.6994413804444899</t>
  </si>
  <si>
    <t>0.18418445535021233                     0.6027033549554797</t>
  </si>
  <si>
    <t>0.310394878354204                       0.6033204960511709</t>
  </si>
  <si>
    <t>0.27151341398659057                     0.5073011906878435</t>
  </si>
  <si>
    <t>0.23874704952522371                     0.7081349164541708</t>
  </si>
  <si>
    <t>0.18953525816995181                     0.6101002092397011</t>
  </si>
  <si>
    <t>0.29248987736373694                     0.5804030856831766</t>
  </si>
  <si>
    <t>0.25732866771047225                     0.4914964668165575</t>
  </si>
  <si>
    <t>0.2461948345662717                      0.7149759637326912</t>
  </si>
  <si>
    <t>0.18436837521180707                     0.5984674933855543</t>
  </si>
  <si>
    <t>0.30328230821023905                     0.5844173270579869</t>
  </si>
  <si>
    <t>0.2609236316404542                      0.5007530614230216</t>
  </si>
  <si>
    <t>0.26771065914974146                     0.7613055322074929</t>
  </si>
  <si>
    <t>0.18611471466256296                     0.6040538305352475</t>
  </si>
  <si>
    <t>0.2981612723584519                      0.5874872324304022</t>
  </si>
  <si>
    <t>0.2625419290626257                      0.5023481127630041</t>
  </si>
  <si>
    <t>0.2411321858167252                      0.7144986163073958</t>
  </si>
  <si>
    <t>0.18571884558083182                     0.6157300691536607</t>
  </si>
  <si>
    <t>0.287563607671147                       0.5769837345778627</t>
  </si>
  <si>
    <t>0.25269562286029934                     0.48761010333467286</t>
  </si>
  <si>
    <t>0.2546847082354674                      0.7111273371691954</t>
  </si>
  <si>
    <t>0.18925818911757655                     0.619606374003738</t>
  </si>
  <si>
    <t>0.2879175451474734                      0.5796624236960719</t>
  </si>
  <si>
    <t>0.2561034324115139                      0.4859043238000342</t>
  </si>
  <si>
    <t>0.23770558595961858                     0.7073020222327793</t>
  </si>
  <si>
    <t>0.1819060043880914                      0.6039346317031348</t>
  </si>
  <si>
    <t>0.28686196918100093                     0.5796865389560084</t>
  </si>
  <si>
    <t>0.26208352591780787                     0.49813897773298216</t>
  </si>
  <si>
    <t>0.25095300797752523                     0.7281522650332906</t>
  </si>
  <si>
    <t>0.17990052418483837                     0.6072590293727774</t>
  </si>
  <si>
    <t>0.28802768592352285                     0.5781513932361138</t>
  </si>
  <si>
    <t>0.2740350562556458                      0.5101122711966839</t>
  </si>
  <si>
    <t>0.23875019532726893                     0.7219438134095065</t>
  </si>
  <si>
    <t>0.18413949165054574                     0.6066906878410667</t>
  </si>
  <si>
    <t>0.29300844924646113                     0.5823206241924118</t>
  </si>
  <si>
    <t>0.24679625961477833                     0.4871442374779159</t>
  </si>
  <si>
    <t>0.24954022912053853                     0.7249799087181521</t>
  </si>
  <si>
    <t>0.187386657728193                       0.6170973001247269</t>
  </si>
  <si>
    <t>0.28021630929735764                     0.5632267606118069</t>
  </si>
  <si>
    <t>0.25742257136713537                     0.49434051639662757</t>
  </si>
  <si>
    <t>0.23477943257309217                     0.7014742320412938</t>
  </si>
  <si>
    <t>0.1793627329707291                      0.5937145179248743</t>
  </si>
  <si>
    <t>0.27761794074189533                     0.5663363566773044</t>
  </si>
  <si>
    <t>0.2525925841359449                      0.5009803709846998</t>
  </si>
  <si>
    <t>0.23360642973036194                     0.7046195126223602</t>
  </si>
  <si>
    <t>0.18191616155851087                     0.615795473584876</t>
  </si>
  <si>
    <t>0.2852772485856889                      0.5733346911251415</t>
  </si>
  <si>
    <t>0.245536684975415                       0.48645947524926736</t>
  </si>
  <si>
    <t>0.23838883772783798                     0.7248776530686164</t>
  </si>
  <si>
    <t>0.18653808128022756                     0.6103878668574129</t>
  </si>
  <si>
    <t>0.2789715934257849                      0.5718033568633</t>
  </si>
  <si>
    <t>0.24421349945283696                     0.4800855266411952</t>
  </si>
  <si>
    <t>0.24362341796925008                     0.7152513322783784</t>
  </si>
  <si>
    <t>0.183435544338539                       0.6199333742971724</t>
  </si>
  <si>
    <t>0.2888623171570057                      0.5884591755362116</t>
  </si>
  <si>
    <t>0.24721255934431438                     0.4764379113393102</t>
  </si>
  <si>
    <t>0.23357917369371223                     0.71086111214471</t>
  </si>
  <si>
    <t>0.18867152683873814                     0.6190250273970637</t>
  </si>
  <si>
    <t>0.27249137455425143                     0.5709235737728288</t>
  </si>
  <si>
    <t>0.24409159141463466                     0.4830495166053553</t>
  </si>
  <si>
    <t>0.2391374063863752                      0.7189240745667086</t>
  </si>
  <si>
    <t>0.17828223160119663                     0.6056572018502858</t>
  </si>
  <si>
    <t>0.27841925357317465                     0.5683772306542273</t>
  </si>
  <si>
    <t>0.2341260234183038                      0.47620780301741006</t>
  </si>
  <si>
    <t>0.23580334434247344                     0.7011664687833246</t>
  </si>
  <si>
    <t>0.1836999337863076                      0.6077159278185874</t>
  </si>
  <si>
    <t>0.27583250409799037                     0.5691914686536783</t>
  </si>
  <si>
    <t>0.24109537934742845                     0.4806405515306011</t>
  </si>
  <si>
    <t>0.23307628934930436                     0.6986906032810976</t>
  </si>
  <si>
    <t>0.17746057302844492                     0.6117728214524774</t>
  </si>
  <si>
    <t>0.2732188660272374                      0.5732084177903564</t>
  </si>
  <si>
    <t>0.23621405415798705                     0.4731179416689078</t>
  </si>
  <si>
    <t>0.2399135672683991                      0.7142986433377495</t>
  </si>
  <si>
    <t>0.1857105153595822                      0.6184088534024357</t>
  </si>
  <si>
    <t>0.266472824921646                       0.5650201358594537</t>
  </si>
  <si>
    <t>0.23452907013052504                     0.4790009444782527</t>
  </si>
  <si>
    <t>0.2325152389812155                      0.7071493236006623</t>
  </si>
  <si>
    <t>0.1796582648895755                      0.6149371308623163</t>
  </si>
  <si>
    <t>0.27525389271948625                     0.5690952873464521</t>
  </si>
  <si>
    <t>0.24056514359762765                     0.4843653183593795</t>
  </si>
  <si>
    <t>0.22214341679958166                     0.695788036191674</t>
  </si>
  <si>
    <t>0.17022297034170836                     0.6046025598340795</t>
  </si>
  <si>
    <t>0.2877863261210622                      0.5874466411861935</t>
  </si>
  <si>
    <t>0.23209676663706988                     0.46750430896663314</t>
  </si>
  <si>
    <t>0.23309830277501464                     0.7113982219800133</t>
  </si>
  <si>
    <t>0.1744600206553446                      0.6098492182265484</t>
  </si>
  <si>
    <t>0.26752792438839695                     0.5658037877175576</t>
  </si>
  <si>
    <t>0.22923416672961971                     0.4661542564630523</t>
  </si>
  <si>
    <t>0.2347031262387976                      0.7173540897940182</t>
  </si>
  <si>
    <t>0.17660883515586176                     0.6011765064122667</t>
  </si>
  <si>
    <t>0.2642135626188144                      0.5625697127087947</t>
  </si>
  <si>
    <t>0.2252545325644468                      0.46504679469651394</t>
  </si>
  <si>
    <t>0.22534646562435814                     0.7056363279046046</t>
  </si>
  <si>
    <t>0.1805314831101624                      0.6100405463465418</t>
  </si>
  <si>
    <t>0.2593481321781008                      0.5571090804137762</t>
  </si>
  <si>
    <t>0.23391188036571822                     0.4788896772254013</t>
  </si>
  <si>
    <t>0.23004120019901458                     0.7057661134602248</t>
  </si>
  <si>
    <t>0.17704701016130747                     0.6142264562085958</t>
  </si>
  <si>
    <t>0.2667693892647869                      0.559903003675274</t>
  </si>
  <si>
    <t>0.23131703308771068                     0.46905211785195755</t>
  </si>
  <si>
    <t>0.22194312465901694                     0.7002887487291874</t>
  </si>
  <si>
    <t>0.17574837480130096                     0.6100093525650878</t>
  </si>
  <si>
    <t>0.26790354598757243                     0.5718852444067382</t>
  </si>
  <si>
    <t>0.23081382201848588                     0.46966316959044074</t>
  </si>
  <si>
    <t>0.22455914432935725                     0.7069993153756469</t>
  </si>
  <si>
    <t>0.17422101570908693                     0.6170788911138348</t>
  </si>
  <si>
    <t>0.262127037962584                       0.5688617712167077</t>
  </si>
  <si>
    <t>0.22952399368194853                     0.47295321758132697</t>
  </si>
  <si>
    <t>0.2273149278901773                      0.713783013194407</t>
  </si>
  <si>
    <t>0.17542664658634302                     0.612709144298974</t>
  </si>
  <si>
    <t>0.2646159974737359                      0.5646974908455245</t>
  </si>
  <si>
    <t>0.23088638821218835                     0.4711098847996047</t>
  </si>
  <si>
    <t>0.2237727627899072                      0.6917728572854355</t>
  </si>
  <si>
    <t>0.17233610288149506                     0.6203971256190824</t>
  </si>
  <si>
    <t>0.2557010755094707                      0.5574832308850235</t>
  </si>
  <si>
    <t>0.23094623620265986                     0.47672635191776275</t>
  </si>
  <si>
    <t>0.22948106319295167                     0.7014710960984202</t>
  </si>
  <si>
    <t>0.17374898233025426                     0.6081636072956805</t>
  </si>
  <si>
    <t>0.2561894030186057                      0.5649020187419581</t>
  </si>
  <si>
    <t>0.23596354982974385                     0.4708011083178963</t>
  </si>
  <si>
    <t>0.22802506682035775                     0.7062197026221438</t>
  </si>
  <si>
    <t>0.16770386138095836                     0.5997157332917338</t>
  </si>
  <si>
    <t>0.2701446513803207                      0.5687897661631127</t>
  </si>
  <si>
    <t>0.22594233782073153                     0.4603907821571335</t>
  </si>
  <si>
    <t>0.22142476990501278                     0.6905870141034022</t>
  </si>
  <si>
    <t>0.16714280862473802                     0.6010195308856542</t>
  </si>
  <si>
    <t>0.25586018259819676                     0.5623060954430191</t>
  </si>
  <si>
    <t>0.2263318349940627                      0.47117797369416353</t>
  </si>
  <si>
    <t>0.218121834542043                       0.7026344866866493</t>
  </si>
  <si>
    <t>0.17577974467729376                     0.6110543299093241</t>
  </si>
  <si>
    <t>0.25068459098437446                     0.5545240955986834</t>
  </si>
  <si>
    <t>0.22573268381522069                     0.47211586409150397</t>
  </si>
  <si>
    <t>0.22503913833609937                     0.7166746986645072</t>
  </si>
  <si>
    <t>0.1722787694706481                      0.6105298744184671</t>
  </si>
  <si>
    <t>0.2629969632303149                      0.573775000851653</t>
  </si>
  <si>
    <t>0.22425067879695185                     0.46358538062188775</t>
  </si>
  <si>
    <t>0.23672856832826183                     0.7114660163574856</t>
  </si>
  <si>
    <t>0.17596382737545338                     0.6058571405889785</t>
  </si>
  <si>
    <t>0.2526914081781294                      0.5712828708803481</t>
  </si>
  <si>
    <t>0.22373873712409778                     0.47275138795922267</t>
  </si>
  <si>
    <t>0.22015210490714526                     0.7043092328186368</t>
  </si>
  <si>
    <t>0.1731707420809191                      0.6172737143213931</t>
  </si>
  <si>
    <t>0.24765356295383387                     0.5546989897810338</t>
  </si>
  <si>
    <t>0.22651861776597                        0.4725562104080945</t>
  </si>
  <si>
    <t>0.2350282535253668                      0.7230467140585909</t>
  </si>
  <si>
    <t>0.16547937282287395                     0.6068857770365373</t>
  </si>
  <si>
    <t>0.24369901843739136                     0.5480682259185358</t>
  </si>
  <si>
    <t>0.220211105455678                       0.4662082217317224</t>
  </si>
  <si>
    <t>0.2153135429257179                      0.6970451091734893</t>
  </si>
  <si>
    <t>0.16686805120823675                     0.6003815695199854</t>
  </si>
  <si>
    <t>0.26057485242690864                     0.5764427570146748</t>
  </si>
  <si>
    <t>0.22685423654746664                     0.4788940155853521</t>
  </si>
  <si>
    <t>0.22210679170546438                     0.6969147593935157</t>
  </si>
  <si>
    <t>0.17097973340771036                     0.610502235174306</t>
  </si>
  <si>
    <t>0.24225457814265275                     0.551961936398777</t>
  </si>
  <si>
    <t>0.21568526066476376                     0.4651009747522183</t>
  </si>
  <si>
    <t>0.22166224276800772                     0.7036512724028167</t>
  </si>
  <si>
    <t>0.1659727977389052                      0.6010731512490709</t>
  </si>
  <si>
    <t>0.25105983147893535                     0.5654042510889273</t>
  </si>
  <si>
    <t>0.22647395645889948                     0.4657576623194333</t>
  </si>
  <si>
    <t>0.21699043155867512                     0.6947124550072954</t>
  </si>
  <si>
    <t>0.16478695307771327                     0.607255440693206</t>
  </si>
  <si>
    <t>0.2448676733297535                      0.537525753696247</t>
  </si>
  <si>
    <t>0.2142290925915534                      0.45256394231009994</t>
  </si>
  <si>
    <t>0.2145201463974816                      0.6897770059777028</t>
  </si>
  <si>
    <t>0.16370080993345956                     0.6019198016644768</t>
  </si>
  <si>
    <t>0.2420562275304427                      0.5527843814402417</t>
  </si>
  <si>
    <t>0.2225353506404826                      0.469848778982074</t>
  </si>
  <si>
    <t>0.21902624322511552                     0.7089205300236923</t>
  </si>
  <si>
    <t>0.16607473317869548                     0.6086887173372366</t>
  </si>
  <si>
    <t>0.25076511486075265                     0.5638936236538854</t>
  </si>
  <si>
    <t>0.21850847707002363                     0.4613241310288682</t>
  </si>
  <si>
    <t>0.2123123617346716                      0.6962459551227057</t>
  </si>
  <si>
    <t>0.16573852773022515                     0.6191140962296874</t>
  </si>
  <si>
    <t>0.25360655506885077                     0.5764357197496826</t>
  </si>
  <si>
    <t>0.2256399489714353                      0.46930527828220303</t>
  </si>
  <si>
    <t>0.21556933890595847                     0.7067311428999736</t>
  </si>
  <si>
    <t>0.16008278072103307                     0.6034283039802028</t>
  </si>
  <si>
    <t>0.24378468460666983                     0.5538279177572811</t>
  </si>
  <si>
    <t>0.21990139416768703                     0.4720123616397778</t>
  </si>
  <si>
    <t>0.226333548251762                       0.7130699315292529</t>
  </si>
  <si>
    <t>0.1633529749988743                      0.5952940325889325</t>
  </si>
  <si>
    <t>0.24927531377851003                     0.5665810219895224</t>
  </si>
  <si>
    <t>0.2082096871670666                      0.4510540275305444</t>
  </si>
  <si>
    <t>0.21442611894751867                     0.7003533994562807</t>
  </si>
  <si>
    <t>0.16198099570910665                     0.6011901900449113</t>
  </si>
  <si>
    <t>0.2411430736947248                      0.5582917142732444</t>
  </si>
  <si>
    <t>0.20863344181081858                     0.4570710541145378</t>
  </si>
  <si>
    <t>0.21004857748891168                     0.6990593030432267</t>
  </si>
  <si>
    <t>0.1591375720068416                      0.6012442649922008</t>
  </si>
  <si>
    <t>0.23914164222634335                     0.5553730099484032</t>
  </si>
  <si>
    <t>0.2159711901983005                      0.45334930033185933</t>
  </si>
  <si>
    <t>0.21891038453153597                     0.7207419488499234</t>
  </si>
  <si>
    <t>0.16176781122617104                     0.6095506697898073</t>
  </si>
  <si>
    <t>0.24651421222384517                     0.5564822408809066</t>
  </si>
  <si>
    <t>0.21044572277442564                     0.4593596414785053</t>
  </si>
  <si>
    <t>0.2068409232180413                      0.699185653079379</t>
  </si>
  <si>
    <t>0.15967965964153988                     0.5968365309425722</t>
  </si>
  <si>
    <t>0.24188395633453139                     0.562830040116786</t>
  </si>
  <si>
    <t>0.20863556656018914                     0.4560508255254924</t>
  </si>
  <si>
    <t>0.21143071076519002                     0.7071856728028103</t>
  </si>
  <si>
    <t>0.15749408922302716                     0.6026642486807192</t>
  </si>
  <si>
    <t>0.23470911487621                        0.5489375624132692</t>
  </si>
  <si>
    <t>0.20638055031093847                     0.45385348930055264</t>
  </si>
  <si>
    <t>0.2096212220009627                      0.6964302934285503</t>
  </si>
  <si>
    <t>0.16186442949048543                     0.6066626329941778</t>
  </si>
  <si>
    <t>0.25275697134995134                     0.5624721549013633</t>
  </si>
  <si>
    <t>0.21000640030631573                     0.46159567485209013</t>
  </si>
  <si>
    <t>0.21558782723643813                     0.7230878548294626</t>
  </si>
  <si>
    <t>0.16477572981084565                     0.6089570476669838</t>
  </si>
  <si>
    <t>0.23325318469650913                     0.5500554665097344</t>
  </si>
  <si>
    <t>0.20626869761418973                     0.45063981577531714</t>
  </si>
  <si>
    <t>0.20509449081301223                     0.6987812108069302</t>
  </si>
  <si>
    <t>0.16261819486607798                     0.6119818655715026</t>
  </si>
  <si>
    <t>0.23438869671340978                     0.5433371370645216</t>
  </si>
  <si>
    <t>0.21115724032486533                     0.4595535236151609</t>
  </si>
  <si>
    <t>0.21586492169643595                     0.7126831072879466</t>
  </si>
  <si>
    <t>0.155813201718631                       0.5967066007941483</t>
  </si>
  <si>
    <t>0.23342167523695687                     0.5496531579163024</t>
  </si>
  <si>
    <t>0.210044148608351                       0.4503754411694008</t>
  </si>
  <si>
    <t>0.21413779607888342                     0.713315233622047</t>
  </si>
  <si>
    <t>0.15694777195838353                     0.6064345677641059</t>
  </si>
  <si>
    <t>0.2378703981941899                      0.5583902583051432</t>
  </si>
  <si>
    <t>0.2035264936033483                      0.4455410457310733</t>
  </si>
  <si>
    <t>0.21167425836683829                     0.7104607961554061</t>
  </si>
  <si>
    <t>0.15509857141625166                     0.6053306511484536</t>
  </si>
  <si>
    <t>0.23367936049381233                     0.5571969545540822</t>
  </si>
  <si>
    <t>0.20852859357525258                     0.4462967009778259</t>
  </si>
  <si>
    <t>0.2063698140073703                      0.7028043200131926</t>
  </si>
  <si>
    <t>0.15929062303001373                     0.6080813856289936</t>
  </si>
  <si>
    <t>0.23593578718717292                     0.5455105627330542</t>
  </si>
  <si>
    <t>0.2113983022040549                      0.46442403507239416</t>
  </si>
  <si>
    <t>0.20855714393623204                     0.7127069261332772</t>
  </si>
  <si>
    <t>0.15670895347995195                     0.6156200152052135</t>
  </si>
  <si>
    <t>0.23385125262231604                     0.550798775545104</t>
  </si>
  <si>
    <t>0.19860831165012077                     0.4409988261026327</t>
  </si>
  <si>
    <t>0.2075822072751245                      0.7145477705502521</t>
  </si>
  <si>
    <t>0.15998625226355143                     0.6204311152049502</t>
  </si>
  <si>
    <t>0.23885305870704135                     0.5575814305443485</t>
  </si>
  <si>
    <t>0.20185099438005405                     0.4516766240052425</t>
  </si>
  <si>
    <t>0.20638469343861476                     0.7129347333910473</t>
  </si>
  <si>
    <t>0.1595172135360465                      0.6005695505869454</t>
  </si>
  <si>
    <t>0.22964862008670273                     0.5478488852289538</t>
  </si>
  <si>
    <t>0.20327403420490434                     0.44647467798390866</t>
  </si>
  <si>
    <t>0.20083718282347976                     0.7043532308778829</t>
  </si>
  <si>
    <t>0.1561205624135253                      0.6083141429327616</t>
  </si>
  <si>
    <t>0.2283627194259222                      0.5376559493914191</t>
  </si>
  <si>
    <t>0.19601326536489053                     0.4458410863329722</t>
  </si>
  <si>
    <t>0.20603109611927561                     0.7047495206677853</t>
  </si>
  <si>
    <t>0.15739873095108697                     0.5908967797545766</t>
  </si>
  <si>
    <t>0.22945821105469505                     0.5527469769224341</t>
  </si>
  <si>
    <t>0.20364076756589974                     0.45848664624448116</t>
  </si>
  <si>
    <t>0.20791485439845364                     0.705549902656617</t>
  </si>
  <si>
    <t>0.15923577626017374                     0.599942082283416</t>
  </si>
  <si>
    <t>0.23175952732342223                     0.5563625207500126</t>
  </si>
  <si>
    <t>0.20423378867919725                     0.4441780339767192</t>
  </si>
  <si>
    <t>0.20540868739690654                     0.7050530149922531</t>
  </si>
  <si>
    <t>0.15681037533515593                     0.5959085484008213</t>
  </si>
  <si>
    <t>0.22397080769790045                     0.5377813792508195</t>
  </si>
  <si>
    <t>0.19762336719511187                     0.4508860079823413</t>
  </si>
  <si>
    <t>0.2079991420832505                      0.7181456053290537</t>
  </si>
  <si>
    <t>0.15805829241393093                     0.6091015268367828</t>
  </si>
  <si>
    <t>0.22687499682408532                     0.5525406404319086</t>
  </si>
  <si>
    <t>0.20039596211869024                     0.4459584727764144</t>
  </si>
  <si>
    <t>0.21376431035977486                     0.7090295604562847</t>
  </si>
  <si>
    <t>0.16064210276198226                     0.6130954460995165</t>
  </si>
  <si>
    <t>0.22926779367214956                     0.5530955635655677</t>
  </si>
  <si>
    <t>0.19917469589963352                     0.45272309042020853</t>
  </si>
  <si>
    <t>0.20454743056706007                     0.7012744285910913</t>
  </si>
  <si>
    <t>0.15868553098163546                     0.6040058894820505</t>
  </si>
  <si>
    <t>0.2274260658749839                      0.5502909705558189</t>
  </si>
  <si>
    <t>0.1953924924892828                      0.44619892600907424</t>
  </si>
  <si>
    <t>0.20430587071102893                     0.7071881882351901</t>
  </si>
  <si>
    <t>0.15341016271341915                     0.6053271237757153</t>
  </si>
  <si>
    <t>0.22952150354097875                     0.5520731890365081</t>
  </si>
  <si>
    <t>0.1959329761271849                      0.4486028705262161</t>
  </si>
  <si>
    <t>0.20379693360176726                     0.7145290068828712</t>
  </si>
  <si>
    <t>0.15177359021708473                     0.6018448786309648</t>
  </si>
  <si>
    <t>0.22398485149876238                     0.5444104107688358</t>
  </si>
  <si>
    <t>0.19290987504199217                     0.4343125117297138</t>
  </si>
  <si>
    <t>0.20095771965637946                     0.7079050365601928</t>
  </si>
  <si>
    <t>0.15309066924961157                     0.6026344822666303</t>
  </si>
  <si>
    <t>0.2231809033235068                      0.5281664009308723</t>
  </si>
  <si>
    <t>0.19334110501964075                     0.4434307271305051</t>
  </si>
  <si>
    <t>0.20082424177111305                     0.6908229755151436</t>
  </si>
  <si>
    <t>0.14951241424134293                     0.5964602172803701</t>
  </si>
  <si>
    <t>0.22977433344954057                     0.561883617666849</t>
  </si>
  <si>
    <t>0.20037851167026852                     0.4532815495395885</t>
  </si>
  <si>
    <t>0.2024743208438915                      0.7079401711892337</t>
  </si>
  <si>
    <t>0.15432674511389954                     0.6116220392579145</t>
  </si>
  <si>
    <t>0.21902674080810322                     0.526856362675553</t>
  </si>
  <si>
    <t>0.18887209101342073                     0.4409514357309326</t>
  </si>
  <si>
    <t>0.19559217469292775                     0.6953324780182313</t>
  </si>
  <si>
    <t>0.15732795886315337                     0.6102510347140058</t>
  </si>
  <si>
    <t>0.22017899432625482                     0.5452302918189976</t>
  </si>
  <si>
    <t>0.19247808286460844                     0.4428729203935994</t>
  </si>
  <si>
    <t>0.1946494442025332                      0.6912271396438039</t>
  </si>
  <si>
    <t>0.15797916077126964                     0.6124846809452346</t>
  </si>
  <si>
    <t>0.2151995561042663                      0.5425983407831108</t>
  </si>
  <si>
    <t>0.19010240376635248                     0.43725692409828393</t>
  </si>
  <si>
    <t>0.19607967533642576                     0.6904416175474983</t>
  </si>
  <si>
    <t>0.15402421000351527                     0.6122655773973411</t>
  </si>
  <si>
    <t>0.22785671555903828                     0.5429486145974051</t>
  </si>
  <si>
    <t>0.1954606386953101                      0.4439296510538044</t>
  </si>
  <si>
    <t>0.1990857939240111                      0.7090041416115974</t>
  </si>
  <si>
    <t>0.15003451986604585                     0.6148459112811215</t>
  </si>
  <si>
    <t>0.2224357404626519                      0.5454908347298351</t>
  </si>
  <si>
    <t>0.19262934262698253                     0.4539651484035487</t>
  </si>
  <si>
    <t>0.20084507516429595                     0.714094222867467</t>
  </si>
  <si>
    <t>0.146413460403479                       0.6020640324951132</t>
  </si>
  <si>
    <t>0.22219490072959186                     0.5463044722601766</t>
  </si>
  <si>
    <t>0.19728044596671768                     0.46231811773968723</t>
  </si>
  <si>
    <t>0.20100297163870573                     0.7175774148362973</t>
  </si>
  <si>
    <t>0.15117232501922825                     0.6164403570223084</t>
  </si>
  <si>
    <t>0.21514911727201866                     0.5382458220182489</t>
  </si>
  <si>
    <t>0.19332912236905483                     0.4526268991881193</t>
  </si>
  <si>
    <t>0.2012628604012897                      0.6993118970021222</t>
  </si>
  <si>
    <t>0.14899515856922296                     0.6132582217239168</t>
  </si>
  <si>
    <t>0.21753158924501717                     0.5375987270509736</t>
  </si>
  <si>
    <t>0.19487820203573622                     0.44439334214499426</t>
  </si>
  <si>
    <t>0.19180978178313288                     0.7052792174534566</t>
  </si>
  <si>
    <t>0.148071690727239                       0.6059271666080186</t>
  </si>
  <si>
    <t>0.21392599576082214                     0.542147394240084</t>
  </si>
  <si>
    <t>0.18529264914104168                     0.43030372572704684</t>
  </si>
  <si>
    <t>0.19673499427101926                     0.7168559891202554</t>
  </si>
  <si>
    <t>0.1490997323565937                      0.6134273825236851</t>
  </si>
  <si>
    <t>0.2102639510528158                      0.5334229736707847</t>
  </si>
  <si>
    <t>0.18790953698680407                     0.43144185778892447</t>
  </si>
  <si>
    <t>0.19974878687672035                     0.7263785555502217</t>
  </si>
  <si>
    <t>0.1489107116611172                      0.6042660266583597</t>
  </si>
  <si>
    <t>0.21036541709641962                     0.5366778022777943</t>
  </si>
  <si>
    <t>0.20153341338648695                     0.45525926218686763</t>
  </si>
  <si>
    <t>0.19108962915032068                     0.7104856227103494</t>
  </si>
  <si>
    <t>0.15130203128023603                     0.6172896391957806</t>
  </si>
  <si>
    <t>0.20933022635835555                     0.529486498184639</t>
  </si>
  <si>
    <t>0.18718340204050685                     0.44024403808742174</t>
  </si>
  <si>
    <t>0.19731651045081727                     0.7193059562891789</t>
  </si>
  <si>
    <t>0.14340344825505333                     0.6037112629585577</t>
  </si>
  <si>
    <t>0.21519617538731842                     0.5359005522061923</t>
  </si>
  <si>
    <t>0.18642671859646093                     0.44177146967460035</t>
  </si>
  <si>
    <t>0.19560986279502252                     0.7050060163563608</t>
  </si>
  <si>
    <t>0.14685708169890097                     0.6067556500748834</t>
  </si>
  <si>
    <t>0.20781950502693253                     0.5229871629514123</t>
  </si>
  <si>
    <t>0.179420971671317                       0.43312086244488673</t>
  </si>
  <si>
    <t>0.1887080527963393                      0.7003589335265233</t>
  </si>
  <si>
    <t>0.14681266035218385                     0.6060013216302897</t>
  </si>
  <si>
    <t>0.21711386989773185                     0.5361355352573789</t>
  </si>
  <si>
    <t>0.18931146739945293                     0.4470212079658487</t>
  </si>
  <si>
    <t>0.19693656496366058                     0.7014611557512133</t>
  </si>
  <si>
    <t>0.14806837606172774                     0.6198901766586489</t>
  </si>
  <si>
    <t>0.2110504759892719                      0.5284119059143464</t>
  </si>
  <si>
    <t>0.18777645182245664                     0.4439591197951426</t>
  </si>
  <si>
    <t>0.19714517115468883                     0.7143289540143875</t>
  </si>
  <si>
    <t>0.14409595556717633                     0.6002803712036813</t>
  </si>
  <si>
    <t>0.21163668175954                        0.5529848796795361</t>
  </si>
  <si>
    <t>0.18561369114608955                     0.4398716691972623</t>
  </si>
  <si>
    <t>0.19210020585975626                     0.7076166737154089</t>
  </si>
  <si>
    <t>0.1487771348501048                      0.6190463628155062</t>
  </si>
  <si>
    <t>0.20556160362025397                     0.5343524250401983</t>
  </si>
  <si>
    <t>0.18762039322294644                     0.4427006024939905</t>
  </si>
  <si>
    <t>0.19359632582641975                     0.7011918540981099</t>
  </si>
  <si>
    <t>0.1521189412440614                      0.6190915975046593</t>
  </si>
  <si>
    <t>0.2083054116877246                      0.5339871437888586</t>
  </si>
  <si>
    <t>0.18160339137016002                     0.43780242114454654</t>
  </si>
  <si>
    <t>0.19305584093214237                     0.715753177183293</t>
  </si>
  <si>
    <t>0.14322758514576786                     0.6111950138889766</t>
  </si>
  <si>
    <t>0.20354558988354676                     0.5393936196777801</t>
  </si>
  <si>
    <t>0.18113592728072128                     0.43829293837057426</t>
  </si>
  <si>
    <t>0.20109077323679075                     0.7050440482944935</t>
  </si>
  <si>
    <t>0.14382306191718808                     0.6094121373181294</t>
  </si>
  <si>
    <t>0.20908421356421053                     0.5286198033839731</t>
  </si>
  <si>
    <t>0.1779029473198848                      0.4276863783020995</t>
  </si>
  <si>
    <t>0.19202190514643874                     0.6999059262893447</t>
  </si>
  <si>
    <t>0.14275531564176336                     0.6143978376451833</t>
  </si>
  <si>
    <t>0.2063731462308819                      0.5371219881326441</t>
  </si>
  <si>
    <t>0.18122502912807814                     0.43065383506477095</t>
  </si>
  <si>
    <t>0.19026329505624853                     0.7134558573684228</t>
  </si>
  <si>
    <t>0.14236334971900194                     0.604559708074613</t>
  </si>
  <si>
    <t>0.205410078790789                       0.5355607429612259</t>
  </si>
  <si>
    <t>0.17906413856857625                     0.43051181470901756</t>
  </si>
  <si>
    <t>0.18762359846303167                     0.7121793891086678</t>
  </si>
  <si>
    <t>0.1437489528590394                      0.6029380373739748</t>
  </si>
  <si>
    <t>0.20184159826412426                     0.5301963144300709</t>
  </si>
  <si>
    <t>0.1769375775879975                      0.43340724122821167</t>
  </si>
  <si>
    <t>0.19421626850207285                     0.728627645476068</t>
  </si>
  <si>
    <t>0.1443542743666835                      0.6131688008323958</t>
  </si>
  <si>
    <t>0.20493512508930972                     0.5377658992237146</t>
  </si>
  <si>
    <t>0.17487041885851917                     0.4258534580945861</t>
  </si>
  <si>
    <t>0.18821820809725381                     0.7066911654549535</t>
  </si>
  <si>
    <t>0.14603065367978987                     0.6026852882887543</t>
  </si>
  <si>
    <t>0.20728170781330388                     0.5230197710439082</t>
  </si>
  <si>
    <t>0.17788572991044385                     0.4309962131884866</t>
  </si>
  <si>
    <t>0.19161566048823997                     0.7076435071350752</t>
  </si>
  <si>
    <t>0.14442872146228056                     0.6077598435564945</t>
  </si>
  <si>
    <t>0.20838792711960685                     0.5381631827728128</t>
  </si>
  <si>
    <t>0.1882453257126579                      0.4351819467909697</t>
  </si>
  <si>
    <t>0.19727722109857004                     0.7167784330144313</t>
  </si>
  <si>
    <t>0.14360244149577947                     0.6057093608806415</t>
  </si>
  <si>
    <t>0.20219210600171797                     0.5261797958219361</t>
  </si>
  <si>
    <t>0.1778623593626071                      0.4343094159991401</t>
  </si>
  <si>
    <t>0.18436999884132382                     0.7096641781368948</t>
  </si>
  <si>
    <t>0.14354694884864497                     0.6102722126075583</t>
  </si>
  <si>
    <t>0.20093736380071897                     0.5298978404595384</t>
  </si>
  <si>
    <t>0.17643704236684798                     0.43439967618449665</t>
  </si>
  <si>
    <t>0.18621226014043132                     0.7072046303003646</t>
  </si>
  <si>
    <t>0.14216885465515935                     0.6052601570876657</t>
  </si>
  <si>
    <t>0.20265784777662818                     0.5345643012740781</t>
  </si>
  <si>
    <t>0.17908032963933754                     0.4274851649989871</t>
  </si>
  <si>
    <t>0.1975168563706328                      0.7295094646637931</t>
  </si>
  <si>
    <t>0.13951378289245028                     0.610807074326195</t>
  </si>
  <si>
    <t>0.2019256644707066                      0.5328544702784382</t>
  </si>
  <si>
    <t>0.17819797048892735                     0.4304376923865869</t>
  </si>
  <si>
    <t>0.18516546380031557                     0.7049877770207089</t>
  </si>
  <si>
    <t>0.13944820488926624                     0.6076115462356799</t>
  </si>
  <si>
    <t>0.20519835465090647                     0.5254526640908637</t>
  </si>
  <si>
    <t>0.175734185613126                       0.42469578402623276</t>
  </si>
  <si>
    <t>0.18496016115981928                     0.7008679776347518</t>
  </si>
  <si>
    <t>0.1383089155426112                      0.6139312786051814</t>
  </si>
  <si>
    <t>0.1978022414940482                      0.5200783981205638</t>
  </si>
  <si>
    <t>0.17184516686467957                     0.43186571995161244</t>
  </si>
  <si>
    <t>0.18145146424744457                     0.6993560107113865</t>
  </si>
  <si>
    <t>0.1393668156064307                      0.6129658584787726</t>
  </si>
  <si>
    <t>0.20049649081917947                     0.5290622559689087</t>
  </si>
  <si>
    <t>0.17540892202747943                     0.4301739232685961</t>
  </si>
  <si>
    <t>0.1924364159115025                      0.7055927622138891</t>
  </si>
  <si>
    <t>0.14550013369515388                     0.6214548636315779</t>
  </si>
  <si>
    <t>0.19806409162902563                     0.5306655533196928</t>
  </si>
  <si>
    <t>0.1798807033243865                      0.42512642664020334</t>
  </si>
  <si>
    <t>0.18310306027545997                     0.7046800494720223</t>
  </si>
  <si>
    <t>0.13833933235343338                     0.6039172472656188</t>
  </si>
  <si>
    <t>0.19905785171145957                     0.5262581788747216</t>
  </si>
  <si>
    <t>0.17183347237249783                     0.42022211789319003</t>
  </si>
  <si>
    <t>0.1932300254894759                      0.7097304436432691</t>
  </si>
  <si>
    <t>0.1425598309004916                      0.6097713539071825</t>
  </si>
  <si>
    <t>0.19283009364021483                     0.5275105580651795</t>
  </si>
  <si>
    <t>0.17199903739557826                     0.42031498536842277</t>
  </si>
  <si>
    <t>0.1826141141856311                      0.7057761474400377</t>
  </si>
  <si>
    <t>0.13765256061601405                     0.6024748723442254</t>
  </si>
  <si>
    <t>0.20239646210863294                     0.5345517053598593</t>
  </si>
  <si>
    <t>0.17250094347328604                     0.42365051889429556</t>
  </si>
  <si>
    <t>0.1799821983098259                      0.7068126405574763</t>
  </si>
  <si>
    <t>0.14091543313792557                     0.6194391767116455</t>
  </si>
  <si>
    <t>0.19727273386387081                     0.5353579989201311</t>
  </si>
  <si>
    <t>0.17596929748297668                     0.42667777651227146</t>
  </si>
  <si>
    <t>0.17663658428335702                     0.6976717097190476</t>
  </si>
  <si>
    <t>0.13956422669386645                     0.6143802121246956</t>
  </si>
  <si>
    <t>0.19348636358904436                     0.5265924536531577</t>
  </si>
  <si>
    <t>0.17223668454612912                     0.4304849663642057</t>
  </si>
  <si>
    <t>0.17976269195933856                     0.7044591441811059</t>
  </si>
  <si>
    <t>0.13639739691246272                     0.6144557139269597</t>
  </si>
  <si>
    <t>0.19639192562091234                     0.5332050334902823</t>
  </si>
  <si>
    <t>0.1736007327842527                      0.4337607376243201</t>
  </si>
  <si>
    <t>0.17987177930203382                     0.7033616896321035</t>
  </si>
  <si>
    <t>0.13721766564986687                     0.6097526402535275</t>
  </si>
  <si>
    <t>0.19170371348622103                     0.5308496957495183</t>
  </si>
  <si>
    <t>0.17092723927374626                     0.42356462021414093</t>
  </si>
  <si>
    <t>0.1820198371231428                      0.7014954125571059</t>
  </si>
  <si>
    <t>0.14196630630051452                     0.615706202942679</t>
  </si>
  <si>
    <t>0.19300788355977683                     0.5333329020244111</t>
  </si>
  <si>
    <t>0.17060408639845087                     0.42681294766744754</t>
  </si>
  <si>
    <t>0.18122777945803697                     0.7081705737001245</t>
  </si>
  <si>
    <t>0.1365955805176996                      0.6141529705300314</t>
  </si>
  <si>
    <t>0.18914848188340316                     0.5172453804397321</t>
  </si>
  <si>
    <t>0.16762962590871233                     0.41657540968615003</t>
  </si>
  <si>
    <t>0.1784522911381528                      0.7053405853503018</t>
  </si>
  <si>
    <t>0.1363387161552621                      0.6116665067531891</t>
  </si>
  <si>
    <t>0.19088313615874555                     0.5245477073060034</t>
  </si>
  <si>
    <t>0.1670590130901452                      0.4215303363831919</t>
  </si>
  <si>
    <t>0.18103363545457468                     0.7168542184175101</t>
  </si>
  <si>
    <t>0.14042449995776957                     0.6197435313324956</t>
  </si>
  <si>
    <t>0.1953010320655                 0.5342101924203346</t>
  </si>
  <si>
    <t>0.17144459269366338                     0.42775043811530206</t>
  </si>
  <si>
    <t>0.18633507126448534                     0.7289389988160467</t>
  </si>
  <si>
    <t>0.1357906301853864                      0.6087810186548024</t>
  </si>
  <si>
    <t>0.1905311220070731                      0.530387672959752</t>
  </si>
  <si>
    <t>0.16618617040163675                     0.41448178332563257</t>
  </si>
  <si>
    <t>0.17891666568426762                     0.6972352507757364</t>
  </si>
  <si>
    <t>0.139390516730501                       0.6194910138374601</t>
  </si>
  <si>
    <t>0.19132475092605278                     0.523728366565959</t>
  </si>
  <si>
    <t>0.17119371986385062                     0.42517206581572803</t>
  </si>
  <si>
    <t>0.18309715610754018                     0.7101788824959463</t>
  </si>
  <si>
    <t>0.13568051405201234                     0.6063911297573397</t>
  </si>
  <si>
    <t>0.19146090250454317                     0.5263240771880588</t>
  </si>
  <si>
    <t>0.16377577707033658                     0.4231334885883377</t>
  </si>
  <si>
    <t>0.17408879558688722                     0.706134356194628</t>
  </si>
  <si>
    <t>0.13540148099769933                     0.6112550492018616</t>
  </si>
  <si>
    <t>0.19039734190821214                     0.5321072595017998</t>
  </si>
  <si>
    <t>0.17060556503801869                     0.4272156611580239</t>
  </si>
  <si>
    <t>0.1761197359511552                      0.708275616495659</t>
  </si>
  <si>
    <t>0.1382931470447722                      0.6089360506835446</t>
  </si>
  <si>
    <t>0.1966615545462672                      0.5416848218194006</t>
  </si>
  <si>
    <t>0.16397941519204326                     0.4258974296266137</t>
  </si>
  <si>
    <t>0.1759016343011054                      0.7149621029532461</t>
  </si>
  <si>
    <t>0.13801375687645434                     0.6128471036743706</t>
  </si>
  <si>
    <t>0.18811155728280263                     0.5234312992990724</t>
  </si>
  <si>
    <t>0.1712058664640687                      0.43222820694288616</t>
  </si>
  <si>
    <t>0.17828727999575356                     0.6963266287266182</t>
  </si>
  <si>
    <t>0.13655484549699912                     0.610162856000605</t>
  </si>
  <si>
    <t>0.19628663552302725                     0.5482594034288245</t>
  </si>
  <si>
    <t>0.1630963604369914                      0.4138606866114805</t>
  </si>
  <si>
    <t>0.17594491824489186                     0.6973565672386974</t>
  </si>
  <si>
    <t>0.13374750016536283                     0.6148138637759133</t>
  </si>
  <si>
    <t>0.18820977706590378                     0.5216549903679754</t>
  </si>
  <si>
    <t>0.16628179873874382                     0.4263187049453627</t>
  </si>
  <si>
    <t>0.1820781379159802                      0.7064128548240418</t>
  </si>
  <si>
    <t>0.13523736786722906                     0.6221719310276744</t>
  </si>
  <si>
    <t>0.20389030661517568                     0.5336910787659355</t>
  </si>
  <si>
    <t>0.16584564380156636                     0.4265183350666387</t>
  </si>
  <si>
    <t>0.1737969593937785                      0.7052529489600382</t>
  </si>
  <si>
    <t>0.13084970422806147                     0.6065804957101958</t>
  </si>
  <si>
    <t>0.18425228704754806                     0.5332501435012927</t>
  </si>
  <si>
    <t>0.16166630160344778                     0.41653833778507926</t>
  </si>
  <si>
    <t>0.17830789620516588                     0.699884094186446</t>
  </si>
  <si>
    <t>0.13656787230035283                     0.6151292095079138</t>
  </si>
  <si>
    <t>0.18684023682730413                     0.5301948262981176</t>
  </si>
  <si>
    <t>0.16071907985924075                     0.41766958650965375</t>
  </si>
  <si>
    <t>0.17477482850900558                     0.6962650643435421</t>
  </si>
  <si>
    <t>0.13769423773779638                     0.6107648933699055</t>
  </si>
  <si>
    <t>0.1895389120273536                      0.5208096108171859</t>
  </si>
  <si>
    <t>0.1624807673516698                      0.4279982395957349</t>
  </si>
  <si>
    <t>0.17474366295813126                     0.7022410424889162</t>
  </si>
  <si>
    <t>0.13693733294818428                     0.6140704496484664</t>
  </si>
  <si>
    <t>0.1846500513468521                      0.5249578000376848</t>
  </si>
  <si>
    <t>0.1638703876182952                      0.42901173911586565</t>
  </si>
  <si>
    <t>0.17273593157021327                     0.7061121494667446</t>
  </si>
  <si>
    <t>0.13104980567675423                     0.6091728286419889</t>
  </si>
  <si>
    <t>0.18315003640764044                     0.517728949476854</t>
  </si>
  <si>
    <t>0.16509903170722823                     0.432701760116052</t>
  </si>
  <si>
    <t>0.1698644558559053                      0.7002865590628946</t>
  </si>
  <si>
    <t>0.13629598514523344                     0.6141160993406913</t>
  </si>
  <si>
    <t>0.18846367409601403                     0.5397906767674122</t>
  </si>
  <si>
    <t>0.16482058920654474                     0.4231703235059846</t>
  </si>
  <si>
    <t>0.1705792557603655                      0.7055901893482407</t>
  </si>
  <si>
    <t>0.13082285388199075                     0.6096218255221115</t>
  </si>
  <si>
    <t>0.18355507102347934                     0.516838929874709</t>
  </si>
  <si>
    <t>0.16247727198689962                     0.4174713796006061</t>
  </si>
  <si>
    <t>0.17273386824241488                     0.7033248214131036</t>
  </si>
  <si>
    <t>0.13320411403184407                     0.6229369616610954</t>
  </si>
  <si>
    <t>0.1835809384113319                      0.5217479821556344</t>
  </si>
  <si>
    <t>0.16799083236152648                     0.4287154239425993</t>
  </si>
  <si>
    <t>0.1718492162359377                      0.709469629076912</t>
  </si>
  <si>
    <t>0.13130349311485473                     0.6102558830603433</t>
  </si>
  <si>
    <t>0.18465021204327534                     0.5334827344462238</t>
  </si>
  <si>
    <t>0.1591890379369702                      0.4160244602556815</t>
  </si>
  <si>
    <t>0.16843711908356188                     0.6969525687679775</t>
  </si>
  <si>
    <t>0.13219484099367035                     0.6189735189603651</t>
  </si>
  <si>
    <t>0.18353954603779318                     0.523771804352659</t>
  </si>
  <si>
    <t>0.16148129090147934                     0.4248622077295309</t>
  </si>
  <si>
    <t>0.17452056200586907                     0.70053300553693</t>
  </si>
  <si>
    <t>0.13885259575083114                     0.6130522984359922</t>
  </si>
  <si>
    <t>0.185343844877729                       0.5270121312511252</t>
  </si>
  <si>
    <t>0.16045708177744147                     0.41647194759736267</t>
  </si>
  <si>
    <t>0.1687119977051193                      0.6923531053249529</t>
  </si>
  <si>
    <t>0.13197236145225438                     0.6212872406361423</t>
  </si>
  <si>
    <t>0.17977169639939136                     0.5201048697946528</t>
  </si>
  <si>
    <t>0.15751217116088823                     0.41597678081492667</t>
  </si>
  <si>
    <t>0.1722331008813572                      0.6990140593038074</t>
  </si>
  <si>
    <t>0.13012280177587157                     0.6051933374310875</t>
  </si>
  <si>
    <t>0.185961878191588                       0.5239768438246599</t>
  </si>
  <si>
    <t>0.15757277778412165                     0.4172698757419972</t>
  </si>
  <si>
    <t>0.1734507355305338                      0.7125460221285934</t>
  </si>
  <si>
    <t>0.13150797322913657                     0.6189347495456233</t>
  </si>
  <si>
    <t>0.17862379408768345                     0.5267912847892031</t>
  </si>
  <si>
    <t>0.16375283277599437                     0.4193136232857166</t>
  </si>
  <si>
    <t>0.1725287492013933                      0.7170381223134766</t>
  </si>
  <si>
    <t>0.13140607127291073                     0.61487261423283</t>
  </si>
  <si>
    <t>0.1811277113631671                      0.5331477004752664</t>
  </si>
  <si>
    <t>0.1561821903393713                      0.40892629805073893</t>
  </si>
  <si>
    <t>0.16701823526520573                     0.6937436544203746</t>
  </si>
  <si>
    <t>0.1295819408666764                      0.6130106480860444</t>
  </si>
  <si>
    <t>0.18398159753866783                     0.5203613867100012</t>
  </si>
  <si>
    <t>0.16450760339332157                     0.420048195570147</t>
  </si>
  <si>
    <t>0.16954751619586436                     0.7135564788819259</t>
  </si>
  <si>
    <t>0.130637771497045                       0.6165217852641305</t>
  </si>
  <si>
    <t>0.17748421153395774                     0.525788315364233</t>
  </si>
  <si>
    <t>0.15824182353489255                     0.41708222286641977</t>
  </si>
  <si>
    <t>0.17601146330535214                     0.6960984011915685</t>
  </si>
  <si>
    <t>0.12871552889317542                     0.6031660396679116</t>
  </si>
  <si>
    <t>0.17680968212905057                     0.5174996551384748</t>
  </si>
  <si>
    <t>0.15757601270684868                     0.4200204175461764</t>
  </si>
  <si>
    <t>0.16793919440486132                     0.7108849973691901</t>
  </si>
  <si>
    <t>0.1293387389554984                      0.6102498851632545</t>
  </si>
  <si>
    <t>0.18780449643516178                     0.5354451311879673</t>
  </si>
  <si>
    <t>0.15652756854339211                     0.4150646010087081</t>
  </si>
  <si>
    <t>0.16887048172031616                     0.6986972207998082</t>
  </si>
  <si>
    <t>0.12899739530635385                     0.6190303895678994</t>
  </si>
  <si>
    <t>0.18148124993553214                     0.5127679920690149</t>
  </si>
  <si>
    <t>0.15924560933126997                     0.41355676988454115</t>
  </si>
  <si>
    <t>0.16627298815097305                     0.7054615740785943</t>
  </si>
  <si>
    <t>0.12810477718995092                     0.6009668964885602</t>
  </si>
  <si>
    <t>0.1790827410601771                      0.5269623197040064</t>
  </si>
  <si>
    <t>0.15789189761319788                     0.4204489621600363</t>
  </si>
  <si>
    <t>0.16918927483176546                     0.7170013606932218</t>
  </si>
  <si>
    <t>0.1264622851213189                      0.6073037575326132</t>
  </si>
  <si>
    <t>0.17826367515381047                     0.5270622285006855</t>
  </si>
  <si>
    <t>0.15432467000934658                     0.4121079413784223</t>
  </si>
  <si>
    <t>0.16607078618864                        0.7055515645660565</t>
  </si>
  <si>
    <t>0.1281514833779602                      0.6092914700231791</t>
  </si>
  <si>
    <t>0.17548139010785                        0.5217047143335984</t>
  </si>
  <si>
    <t>0.15586045743761195                     0.4137951142669771</t>
  </si>
  <si>
    <t>0.16528870113476515                     0.7087797594170793</t>
  </si>
  <si>
    <t>0.13012832335886199                     0.6179861691024235</t>
  </si>
  <si>
    <t>0.17468826442413665                     0.5264466759927442</t>
  </si>
  <si>
    <t>0.158121099471266                       0.416946825465386</t>
  </si>
  <si>
    <t>0.16962270112568076                     0.7213147468984512</t>
  </si>
  <si>
    <t>0.12645066740361693                     0.6133450738951519</t>
  </si>
  <si>
    <t>0.18297553723783344                     0.532160303129778</t>
  </si>
  <si>
    <t>0.15422839126366727                     0.41399250743469157</t>
  </si>
  <si>
    <t>0.16411093250944284                     0.7042280121303905</t>
  </si>
  <si>
    <t>0.1307471226163257                      0.6169888655578348</t>
  </si>
  <si>
    <t>0.1841431984210685                      0.5304206388725049</t>
  </si>
  <si>
    <t>0.15269472382733743                     0.41027076671664153</t>
  </si>
  <si>
    <t>0.16689529116362287                     0.710230974990921</t>
  </si>
  <si>
    <t>0.12926822802615784                     0.6160044419471921</t>
  </si>
  <si>
    <t>0.18456294740042398                     0.5305042794854732</t>
  </si>
  <si>
    <t>0.15711582890683334                     0.4155499978094607</t>
  </si>
  <si>
    <t>0.16588519273580704                     0.7151830596308898</t>
  </si>
  <si>
    <t>0.12864945367103572                     0.6131596354020996</t>
  </si>
  <si>
    <t>0.1746502647664084                      0.5225192730903935</t>
  </si>
  <si>
    <t>0.154761429837795                       0.42081231816184655</t>
  </si>
  <si>
    <t>0.16888943591604785                     0.7120800608371085</t>
  </si>
  <si>
    <t>0.12477564866505124                     0.6109704635122091</t>
  </si>
  <si>
    <t>0.17596044673634023                     0.520305808747111</t>
  </si>
  <si>
    <t>0.1527412506830728                      0.4126166556244206</t>
  </si>
  <si>
    <t>0.16702401113440932                     0.7083687976857328</t>
  </si>
  <si>
    <t>0.1256683965603796                      0.6167259315964824</t>
  </si>
  <si>
    <t>0.1757196999412495                      0.5294644344785031</t>
  </si>
  <si>
    <t>0.15185231651972378                     0.40725154374894923</t>
  </si>
  <si>
    <t>0.16641599169365456                     0.6999667962251594</t>
  </si>
  <si>
    <t>0.12423412897694618                     0.6143670045089845</t>
  </si>
  <si>
    <t>0.17079417801426733                     0.5208638132190342</t>
  </si>
  <si>
    <t>0.15182676680825477                     0.4137941182099169</t>
  </si>
  <si>
    <t>0.1646430927321237                      0.6985510191436766</t>
  </si>
  <si>
    <t>0.12693114690475507                     0.6202635821977763</t>
  </si>
  <si>
    <t>0.17257248780713935                     0.5121391021819895</t>
  </si>
  <si>
    <t>0.15037072769074863                     0.41391984049560415</t>
  </si>
  <si>
    <t>0.17258776735158513                     0.715088740919823</t>
  </si>
  <si>
    <t>0.12696494340529244                     0.6120418501274558</t>
  </si>
  <si>
    <t>0.17551092311328012                     0.5317736087240205</t>
  </si>
  <si>
    <t>0.1483639627653834                      0.4067764530556026</t>
  </si>
  <si>
    <t>0.16171949167087343                     0.7020808156087104</t>
  </si>
  <si>
    <t>0.12216700049777106                     0.6129711716825981</t>
  </si>
  <si>
    <t>0.1757472344388565                      0.519951342318422</t>
  </si>
  <si>
    <t>0.15503450879230887                     0.4146570060819364</t>
  </si>
  <si>
    <t>0.16536142634524903                     0.7100066516786327</t>
  </si>
  <si>
    <t>0.12520935214148582                     0.6174294007599476</t>
  </si>
  <si>
    <t>0.1733955164347344                      0.520865113072108</t>
  </si>
  <si>
    <t>0.1519159748356736                      0.4088388886707895</t>
  </si>
  <si>
    <t>0.1605834479395195                      0.7087578877402944</t>
  </si>
  <si>
    <t>0.12809640655868032                     0.6193333363504241</t>
  </si>
  <si>
    <t>0.17700188723478463                     0.5169027726588017</t>
  </si>
  <si>
    <t>0.14959797099459027                     0.4069797799920429</t>
  </si>
  <si>
    <t>0.16360307203754534                     0.7142763640005461</t>
  </si>
  <si>
    <t>0.12985614095678896                     0.6142989526282476</t>
  </si>
  <si>
    <t>0.1677275582229884                      0.5104143735434531</t>
  </si>
  <si>
    <t>0.14678494332969694                     0.40274550513986285</t>
  </si>
  <si>
    <t>0.1672739165707531                      0.7053777897169121</t>
  </si>
  <si>
    <t>0.12549407432312357                     0.6210410268827532</t>
  </si>
  <si>
    <t>0.1720580789843191                      0.5167478293653708</t>
  </si>
  <si>
    <t>0.1496121664533838                      0.41647151813609035</t>
  </si>
  <si>
    <t>0.15804939588883427                     0.6993602768338382</t>
  </si>
  <si>
    <t>0.12157494055122216                     0.6130739642129813</t>
  </si>
  <si>
    <t>0.16965644503359545                     0.5227052294009704</t>
  </si>
  <si>
    <t>0.1516351899023551                      0.41100878586138745</t>
  </si>
  <si>
    <t>0.1643984343179961                      0.7135080863964387</t>
  </si>
  <si>
    <t>0.12339274743368116                     0.6067740296628468</t>
  </si>
  <si>
    <t>0.1723101725278424                      0.5188461717218296</t>
  </si>
  <si>
    <t>0.15516781427790885                     0.4168484107787069</t>
  </si>
  <si>
    <t>0.1598081095181525                      0.716902367624966</t>
  </si>
  <si>
    <t>0.12492058460131251                     0.6117816728491242</t>
  </si>
  <si>
    <t>0.17363707843412746                     0.5252090686533329</t>
  </si>
  <si>
    <t>0.14802873370785613                     0.40848210033172977</t>
  </si>
  <si>
    <t>0.16638523410189068                     0.7208935737213257</t>
  </si>
  <si>
    <t>0.12759794775284292                     0.6146867673823544</t>
  </si>
  <si>
    <t>0.17000181326688457                     0.5191785011372688</t>
  </si>
  <si>
    <t>0.14780438706055724                     0.40916237984945325</t>
  </si>
  <si>
    <t>0.15968640454232677                     0.7051497882767883</t>
  </si>
  <si>
    <t>0.12839840157534002                     0.6164025541132598</t>
  </si>
  <si>
    <t>0.17471218201987004                     0.5282447344456478</t>
  </si>
  <si>
    <t>0.1517987431178319                      0.41782463280264004</t>
  </si>
  <si>
    <t>0.16002981453537515                     0.7131067558890325</t>
  </si>
  <si>
    <t>0.12399094217906291                     0.613360819596118</t>
  </si>
  <si>
    <t>0.16712766891154648                     0.5127209388586286</t>
  </si>
  <si>
    <t>0.15095347577999674                     0.4059795459439437</t>
  </si>
  <si>
    <t>0.16285553844802442                     0.7197173262001417</t>
  </si>
  <si>
    <t>0.12162403540459311                     0.6139048467000048</t>
  </si>
  <si>
    <t>0.17082416177245285                     0.5153425384546749</t>
  </si>
  <si>
    <t>0.15234868694293038                     0.4097228025353804</t>
  </si>
  <si>
    <t>0.1598722768597046                      0.7068227030979488</t>
  </si>
  <si>
    <t>0.1220188288570157                      0.6219137377903814</t>
  </si>
  <si>
    <t>0.16726528634441679                     0.5096263028325748</t>
  </si>
  <si>
    <t>0.14417416654580612                     0.4033358652866503</t>
  </si>
  <si>
    <t>0.15974230071682244                     0.7127459873940262</t>
  </si>
  <si>
    <t>0.12018691882639009                     0.6166274614356874</t>
  </si>
  <si>
    <t>0.16410554018192436                     0.5176076158173873</t>
  </si>
  <si>
    <t>0.1482318883015521                      0.41247857209169464</t>
  </si>
  <si>
    <t>0.15721736557803465                     0.7107797258866673</t>
  </si>
  <si>
    <t>0.12029619597305408                     0.6112159496624532</t>
  </si>
  <si>
    <t>0.16652601252619695                     0.510490443519097</t>
  </si>
  <si>
    <t>0.1455694645974974                      0.4116857806406095</t>
  </si>
  <si>
    <t>0.15812654380693159                     0.7114407775908742</t>
  </si>
  <si>
    <t>0.1271305903744915                      0.6188049231674192</t>
  </si>
  <si>
    <t>0.16760692114130157                     0.5276515669946672</t>
  </si>
  <si>
    <t>0.14216696718999544                     0.406037555325513</t>
  </si>
  <si>
    <t>0.15715680639586738                     0.7101895121222944</t>
  </si>
  <si>
    <t>0.12270638964933546                     0.6219843145255749</t>
  </si>
  <si>
    <t>0.16614038212678078                     0.5230067964113373</t>
  </si>
  <si>
    <t>0.1461700266368642                      0.4083286036429484</t>
  </si>
  <si>
    <t>0.1608162048077541                      0.7182509623410048</t>
  </si>
  <si>
    <t>0.11981738109514922                     0.6145161734813681</t>
  </si>
  <si>
    <t>0.1710095511197264                      0.5160006889873394</t>
  </si>
  <si>
    <t>0.14436101710272226                     0.40473162039498073</t>
  </si>
  <si>
    <t>0.1590201046166024                      0.7159167588408694</t>
  </si>
  <si>
    <t>0.12294694591346512                     0.624316144835329</t>
  </si>
  <si>
    <t>0.16393099662504207                     0.5133903602194247</t>
  </si>
  <si>
    <t>0.14505692342013046                     0.41459469968321466</t>
  </si>
  <si>
    <t>0.15533877275151867                     0.7036679217981386</t>
  </si>
  <si>
    <t>0.12140535424156221                     0.6115777622624016</t>
  </si>
  <si>
    <t>0.16838200173227671                     0.5118124723855105</t>
  </si>
  <si>
    <t>0.14428387716523436                     0.4064400206409003</t>
  </si>
  <si>
    <t>0.1575278154492223                      0.7141172755717993</t>
  </si>
  <si>
    <t>0.12226925156210887                     0.6103604041180921</t>
  </si>
  <si>
    <t>0.1673129304162789                      0.5126163560284568</t>
  </si>
  <si>
    <t>0.14552178269055238                     0.41178796444594845</t>
  </si>
  <si>
    <t>0.15525182364795978                     0.7129616350375391</t>
  </si>
  <si>
    <t>0.12029425550322953                     0.6189257844469492</t>
  </si>
  <si>
    <t>0.1631793270589563                      0.5149908807158803</t>
  </si>
  <si>
    <t>0.14836314016001484                     0.41785652399487744</t>
  </si>
  <si>
    <t>0.15427145413788232                     0.7110195396711865</t>
  </si>
  <si>
    <t>0.1216482477919893                      0.6248667260607246</t>
  </si>
  <si>
    <t>0.1771103008283717                      0.5269147834404361</t>
  </si>
  <si>
    <t>0.14927284076123795                     0.4191468761350701</t>
  </si>
  <si>
    <t>0.15916779093922062                     0.718600648228931</t>
  </si>
  <si>
    <t>0.120035589594867                       0.6228019176114975</t>
  </si>
  <si>
    <t>0.16231742191227036                     0.516316326181904</t>
  </si>
  <si>
    <t>0.1433774864754443                      0.4059711308120991</t>
  </si>
  <si>
    <t>0.1503657936113646                      0.7034654845539713</t>
  </si>
  <si>
    <t>0.11894399806483048                     0.6106454817889362</t>
  </si>
  <si>
    <t>0.1657083174596257                      0.5191959210038862</t>
  </si>
  <si>
    <t>0.1467388469236361                      0.4166987865968796</t>
  </si>
  <si>
    <t>0.15810373198960362                     0.7073124903318582</t>
  </si>
  <si>
    <t>0.11998628891982148                     0.6152002035787851</t>
  </si>
  <si>
    <t>0.1642998033875003                      0.5092978052021724</t>
  </si>
  <si>
    <t>0.14859050948907893                     0.41781441522834206</t>
  </si>
  <si>
    <t>0.15476600579525313                     0.7101202565893451</t>
  </si>
  <si>
    <t>0.12030977542752909                     0.6120394002661135</t>
  </si>
  <si>
    <t>0.16754485969459237                     0.5264849362997918</t>
  </si>
  <si>
    <t>0.14325362976694767                     0.41427498541194363</t>
  </si>
  <si>
    <t>0.15471303862769964                     0.7096493643491899</t>
  </si>
  <si>
    <t>0.12235216729457102                     0.6203134311460237</t>
  </si>
  <si>
    <t>0.16418251262665354                     0.5169455239878413</t>
  </si>
  <si>
    <t>0.14169942222272572                     0.39917533671402655</t>
  </si>
  <si>
    <t>0.1580044797471217                      0.7149787016252765</t>
  </si>
  <si>
    <t>0.11850953072571863                     0.6077822600217894</t>
  </si>
  <si>
    <t>0.1608163254492698                      0.5127881262407807</t>
  </si>
  <si>
    <t>0.14077241159992818                     0.399534147436362</t>
  </si>
  <si>
    <t>0.15550349181239836                     0.7073522352432224</t>
  </si>
  <si>
    <t>0.11760655251588978                     0.6173443684589532</t>
  </si>
  <si>
    <t>0.16122013597484855                     0.5231076300876557</t>
  </si>
  <si>
    <t>0.13949943494883252                     0.4083041204162</t>
  </si>
  <si>
    <t>0.15554288180504894                     0.7041851647538186</t>
  </si>
  <si>
    <t>0.1182268590861197                      0.6156421146319316</t>
  </si>
  <si>
    <t>0.1622229215303291                      0.5115365052499571</t>
  </si>
  <si>
    <t>0.14164487391935263                     0.40601573103503974</t>
  </si>
  <si>
    <t>0.15366234201447818                     0.7037991203539533</t>
  </si>
  <si>
    <t>0.11878018880916205                     0.6158603584006244</t>
  </si>
  <si>
    <t>0.16000104802261636                     0.5087814928335703</t>
  </si>
  <si>
    <t>0.13977981782951138                     0.4042509406456193</t>
  </si>
  <si>
    <t>0.15975043358820926                     0.7311920482775379</t>
  </si>
  <si>
    <t>0.11709421049303703                     0.6156968200917304</t>
  </si>
  <si>
    <t>0.1588422943859896                      0.5060818557481461</t>
  </si>
  <si>
    <t>0.14050841199639724                     0.40245715902207985</t>
  </si>
  <si>
    <t>0.1528535123215835                      0.7173088805802775</t>
  </si>
  <si>
    <t>0.11814205858655397                     0.6165005753250644</t>
  </si>
  <si>
    <t>0.16574571696343696                     0.5287706152271103</t>
  </si>
  <si>
    <t>0.14181031323811658                     0.40039619566297463</t>
  </si>
  <si>
    <t>0.15146687630394123                     0.7089342492836151</t>
  </si>
  <si>
    <t>0.11471357050241922                     0.6131156474278865</t>
  </si>
  <si>
    <t>0.1621742936136974                      0.5183598346674395</t>
  </si>
  <si>
    <t>0.14001256351955935                     0.4030146739445842</t>
  </si>
  <si>
    <t>0.15525190714067805                     0.7203468263140776</t>
  </si>
  <si>
    <t>0.11734809073944323                     0.6231144712109662</t>
  </si>
  <si>
    <t>0.16285768710665033                     0.5218417175633625</t>
  </si>
  <si>
    <t>0.14131619187831576                     0.4089487258801809</t>
  </si>
  <si>
    <t>0.1539817297655118                      0.7264326629682623</t>
  </si>
  <si>
    <t>0.11560133831357916                     0.6144532930111327</t>
  </si>
  <si>
    <t>0.16325843519793853                     0.5149112456648974</t>
  </si>
  <si>
    <t>0.14281569919481812                     0.41020942471311683</t>
  </si>
  <si>
    <t>0.1550035318844943                      0.7129570081090871</t>
  </si>
  <si>
    <t>0.11899701233098517                     0.6284648604000128</t>
  </si>
  <si>
    <t>0.15910578228860914                     0.5094925582495409</t>
  </si>
  <si>
    <t>0.14169134352351295                     0.4017497238618481</t>
  </si>
  <si>
    <t>0.15193315172944977                     0.7138687077506789</t>
  </si>
  <si>
    <t>0.11865966949634307                     0.6225320841815573</t>
  </si>
  <si>
    <t>0.16012506260610962                     0.5123015713583752</t>
  </si>
  <si>
    <t>0.14464464413785752                     0.403109916026406</t>
  </si>
  <si>
    <t>0.15262533732367498                     0.7127739949944523</t>
  </si>
  <si>
    <t>0.11679866590414453                     0.6096663873961023</t>
  </si>
  <si>
    <t>0.15594393679755505                     0.5085996050394637</t>
  </si>
  <si>
    <t>0.14041539083878984                     0.40229904732175886</t>
  </si>
  <si>
    <t>0.1540785648978286                      0.7185366409992249</t>
  </si>
  <si>
    <t>0.1203877189007022                      0.6290807545966866</t>
  </si>
  <si>
    <t>0.15754620659872054                     0.5148175360353557</t>
  </si>
  <si>
    <t>0.1380862388694279                      0.39972847583183224</t>
  </si>
  <si>
    <t>0.14912570320929328                     0.713792205930572</t>
  </si>
  <si>
    <t>0.11709897022431981                     0.6113772823594741</t>
  </si>
  <si>
    <t>0.15878364774182532                     0.5092015287328647</t>
  </si>
  <si>
    <t>0.13666787816232165                     0.40079319252875284</t>
  </si>
  <si>
    <t>0.15564565901832428                     0.7160888328299144</t>
  </si>
  <si>
    <t>0.11444525712437725                     0.6191155772210022</t>
  </si>
  <si>
    <t>0.157064707904101                       0.5053443807626047</t>
  </si>
  <si>
    <t>0.13899901118441443                     0.397680742075599</t>
  </si>
  <si>
    <t>0.15229786054952718                     0.7107164780333612</t>
  </si>
  <si>
    <t>0.12048708013313603                     0.6310486405459833</t>
  </si>
  <si>
    <t>0.15754609774387796                     0.5150176991623524</t>
  </si>
  <si>
    <t>0.13868836746382737                     0.3992630550351012</t>
  </si>
  <si>
    <t>0.15067786920248882                     0.7114564377462822</t>
  </si>
  <si>
    <t>0.11608031362071458                     0.6193871398560296</t>
  </si>
  <si>
    <t>0.1574305096882618                      0.5069313285507274</t>
  </si>
  <si>
    <t>0.13527018418190354                     0.39384358847825307</t>
  </si>
  <si>
    <t>0.15091079875921093                     0.702729825303543</t>
  </si>
  <si>
    <t>0.11662988104595316                     0.6155921501525597</t>
  </si>
  <si>
    <t>0.15420227692913185                     0.5109851519169476</t>
  </si>
  <si>
    <t>0.13593951853100952                     0.39437718680098427</t>
  </si>
  <si>
    <t>0.148687816500422                       0.7115458342939404</t>
  </si>
  <si>
    <t>0.11668767657414836                     0.6234993885790351</t>
  </si>
  <si>
    <t>0.15347634726928813                     0.5077740528750361</t>
  </si>
  <si>
    <t>0.13755699382891307                     0.39942985404763975</t>
  </si>
  <si>
    <t>0.1527866334323046                      0.7137535557064989</t>
  </si>
  <si>
    <t>0.12059883190904448                     0.6275895257601946</t>
  </si>
  <si>
    <t>0.15412380326002476                     0.5209968036470162</t>
  </si>
  <si>
    <t>0.13926543917870257                     0.39603165484306685</t>
  </si>
  <si>
    <t>0.15309187516481526                     0.7138126548923655</t>
  </si>
  <si>
    <t>0.11565348525678833                     0.619455265344001</t>
  </si>
  <si>
    <t>0.15342122904507166                     0.5074941744145461</t>
  </si>
  <si>
    <t>0.1407298825084633                      0.4072773633203271</t>
  </si>
  <si>
    <t>0.1537811995946291                      0.7210099936389287</t>
  </si>
  <si>
    <t>0.11487424129791952                     0.6192699226411634</t>
  </si>
  <si>
    <t>0.15696548508302327                     0.5196942952525954</t>
  </si>
  <si>
    <t>0.13471283524126568                     0.396838853989629</t>
  </si>
  <si>
    <t>0.14747457534079642                     0.7128368476755137</t>
  </si>
  <si>
    <t>0.11258048545270856                     0.6151129228744283</t>
  </si>
  <si>
    <t>0.15857728169953225                     0.5060936274882031</t>
  </si>
  <si>
    <t>0.13523233846010355                     0.4011973011660011</t>
  </si>
  <si>
    <t>0.15050375118868098                     0.7092192144965384</t>
  </si>
  <si>
    <t>0.11619301736702572                     0.625154183912857</t>
  </si>
  <si>
    <t>0.15340293767803787                     0.5069342578112903</t>
  </si>
  <si>
    <t>0.13486391103263454                     0.4010809507751176</t>
  </si>
  <si>
    <t>0.14726684614024568                     0.7043229022558068</t>
  </si>
  <si>
    <t>0.11523262243508103                     0.6302983334130507</t>
  </si>
  <si>
    <t>0.15750563373222656                     0.5254843030016974</t>
  </si>
  <si>
    <t>0.13693572959704492                     0.3943471961290854</t>
  </si>
  <si>
    <t>0.14630953242084205                     0.713701651180031</t>
  </si>
  <si>
    <t>0.11977252858066918                     0.633252324308298</t>
  </si>
  <si>
    <t>0.15921812745233574                     0.5060369580553404</t>
  </si>
  <si>
    <t>0.1381450966522247                      0.4059877605665721</t>
  </si>
  <si>
    <t>0.1474984839947589                      0.7136022423394782</t>
  </si>
  <si>
    <t>0.11504671291410794                     0.619490133017227</t>
  </si>
  <si>
    <t>0.15824031208698605                     0.5154118505397157</t>
  </si>
  <si>
    <t>0.13836905211747447                     0.4051875253969469</t>
  </si>
  <si>
    <t>0.14702035832008953                     0.7075948561813841</t>
  </si>
  <si>
    <t>0.11768100834879924                     0.6158177603608139</t>
  </si>
  <si>
    <t>0.14930044719504237                     0.5055959345727138</t>
  </si>
  <si>
    <t>0.1398699369254921                      0.4050045656736647</t>
  </si>
  <si>
    <t>0.14719527950766195                     0.7064775319996363</t>
  </si>
  <si>
    <t>0.12404437437525839                     0.6250352157904839</t>
  </si>
  <si>
    <t>0.15427968972117656                     0.5179788404577115</t>
  </si>
  <si>
    <t>0.13457803097527846                     0.4023230006727007</t>
  </si>
  <si>
    <t>0.1476000360513125                      0.7076100117624414</t>
  </si>
  <si>
    <t>0.11191864244735165                     0.6211195527757521</t>
  </si>
  <si>
    <t>0.1537195996410838                      0.5188699041964822</t>
  </si>
  <si>
    <t>0.13389460712388704                     0.401255244007395</t>
  </si>
  <si>
    <t>0.14457116021788258                     0.7121246262194759</t>
  </si>
  <si>
    <t>0.11072792073021168                     0.6151637102955595</t>
  </si>
  <si>
    <t>0.15649854194229032                     0.5187239822806472</t>
  </si>
  <si>
    <t>0.13379084852764433                     0.3971511756354341</t>
  </si>
  <si>
    <t>0.150617536462202                       0.7104850425269178</t>
  </si>
  <si>
    <t>0.11718942761640375                     0.6229942191899425</t>
  </si>
  <si>
    <t>0.15328794595635503                     0.5197766787680609</t>
  </si>
  <si>
    <t>0.13129917442490405                     0.3988140587984402</t>
  </si>
  <si>
    <t>0.14724524253887777                     0.7044135907659116</t>
  </si>
  <si>
    <t>0.11304367243218492                     0.6147799987550128</t>
  </si>
  <si>
    <t>0.14828688282519722                     0.5087096105694612</t>
  </si>
  <si>
    <t>0.1404571558908339                      0.4067636782374739</t>
  </si>
  <si>
    <t>0.14414949712540379                     0.7105059010604742</t>
  </si>
  <si>
    <t>0.11076782603888267                     0.6115972299860727</t>
  </si>
  <si>
    <t>0.15170678459423279                     0.5086012238478879</t>
  </si>
  <si>
    <t>0.13371788629328674                     0.39908198758832203</t>
  </si>
  <si>
    <t>0.1471860687751831                      0.7165434753091319</t>
  </si>
  <si>
    <t>0.11015275146669534                     0.6237658793814137</t>
  </si>
  <si>
    <t>0.1545789510897764                      0.5289536721341607</t>
  </si>
  <si>
    <t>0.1310764906790526                      0.39489989501248846</t>
  </si>
  <si>
    <t>0.1430996091611997                      0.7072202833616773</t>
  </si>
  <si>
    <t>0.11291372783106694                     0.6257040173983267</t>
  </si>
  <si>
    <t>0.14795581710388472                     0.5052632562807252</t>
  </si>
  <si>
    <t>0.13607293966139475                     0.4043341241335914</t>
  </si>
  <si>
    <t>0.14899976854272076                     0.7115023485143669</t>
  </si>
  <si>
    <t>0.11123200609122151                     0.6223220995722448</t>
  </si>
  <si>
    <t>0.15025506265548677                     0.5131227272102681</t>
  </si>
  <si>
    <t>0.13042379890355824                     0.3951605330356824</t>
  </si>
  <si>
    <t>0.15301125901246332                     0.7139514122734867</t>
  </si>
  <si>
    <t>0.11038898705915666                     0.620718263089936</t>
  </si>
  <si>
    <t>0.15569068778897324                     0.5182492233853493</t>
  </si>
  <si>
    <t>0.13141267077053778                     0.3939016376604981</t>
  </si>
  <si>
    <t>0.14287354239119807                     0.7049428687822509</t>
  </si>
  <si>
    <t>0.11755502183529283                     0.6294342421540002</t>
  </si>
  <si>
    <t>0.14976132624202754                     0.5097834051529335</t>
  </si>
  <si>
    <t>0.1475048441365967                      0.4128869274617351</t>
  </si>
  <si>
    <t>0.14824744930053216                     0.7304987569990039</t>
  </si>
  <si>
    <t>0.1117171264990892                      0.6166243208851793</t>
  </si>
  <si>
    <t>0.14918479755145966                     0.5135728429654992</t>
  </si>
  <si>
    <t>0.13145682748606588                     0.39148275794736476</t>
  </si>
  <si>
    <t>0.14625723480108324                     0.7150900929459406</t>
  </si>
  <si>
    <t>0.1144318197367539                      0.6306512433695787</t>
  </si>
  <si>
    <t>0.14976643842151016                     0.5131621485044108</t>
  </si>
  <si>
    <t>0.13326233498812892                     0.3972138971695064</t>
  </si>
  <si>
    <t>0.14258143940706952                     0.714659704996686</t>
  </si>
  <si>
    <t>0.11077998462154562                     0.6164097679450858</t>
  </si>
  <si>
    <t>0.1482299398227288                      0.5092182238927369</t>
  </si>
  <si>
    <t>0.1302836074502964                      0.3984623824935721</t>
  </si>
  <si>
    <t>0.14447777460234132                     0.7089413711459489</t>
  </si>
  <si>
    <t>0.109370350602004                       0.6118586365179832</t>
  </si>
  <si>
    <t>0.14723711452722385                     0.5125312183047785</t>
  </si>
  <si>
    <t>0.12789608527235577                     0.39522450574646306</t>
  </si>
  <si>
    <t>0.14244675248095606                     0.7102773433884609</t>
  </si>
  <si>
    <t>0.10793206340498515                     0.618736680614833</t>
  </si>
  <si>
    <t>0.1482118336173611                      0.511193434596183</t>
  </si>
  <si>
    <t>0.1355774351781108                      0.40517751811796343</t>
  </si>
  <si>
    <t>0.14841355827056646                     0.7161552186920734</t>
  </si>
  <si>
    <t>0.10825369395506668                     0.623944211209748</t>
  </si>
  <si>
    <t>0.15094806904915056                     0.5254572843189527</t>
  </si>
  <si>
    <t>0.12936422028354136                     0.394072863322757</t>
  </si>
  <si>
    <t>0.14361143769463583                     0.7128511832281342</t>
  </si>
  <si>
    <t>0.112211720815052                       0.6284072641142598</t>
  </si>
  <si>
    <t>0.15323599814394948                     0.5205896754028079</t>
  </si>
  <si>
    <t>0.13064853287726347                     0.39061080011959576</t>
  </si>
  <si>
    <t>0.14731062011108115                     0.705400078749433</t>
  </si>
  <si>
    <t>0.10992648929130519                     0.6218100022758767</t>
  </si>
  <si>
    <t>0.14688955304712253                     0.510887296555903</t>
  </si>
  <si>
    <t>0.12949950274284322                     0.3968682813397073</t>
  </si>
  <si>
    <t>0.14552442419435552                     0.7124902500872361</t>
  </si>
  <si>
    <t>0.11180169740009753                     0.6160771155880671</t>
  </si>
  <si>
    <t>0.14606923403182254                     0.5121990234377922</t>
  </si>
  <si>
    <t>0.1276369969352035                      0.3945472975715566</t>
  </si>
  <si>
    <t>0.1442474258771137                      0.709731158212902</t>
  </si>
  <si>
    <t>0.11174801064307016                     0.6321812979960857</t>
  </si>
  <si>
    <t>0.14752552251182166                     0.5094343263449415</t>
  </si>
  <si>
    <t>0.1278547866684182                      0.39606217323195214</t>
  </si>
  <si>
    <t>0.1480467543162489                      0.7118386820950239</t>
  </si>
  <si>
    <t>0.10861256425182614                     0.6142452945781696</t>
  </si>
  <si>
    <t>0.14611390987837683                     0.5032741269589533</t>
  </si>
  <si>
    <t>0.12831874809347077                     0.39719985314724704</t>
  </si>
  <si>
    <t>0.1413509844728842                      0.7099082530865082</t>
  </si>
  <si>
    <t>0.10908996703685897                     0.619712825886261</t>
  </si>
  <si>
    <t>0.1465354141413871                      0.5054666695144249</t>
  </si>
  <si>
    <t>0.12854019927902366                     0.3913835694414973</t>
  </si>
  <si>
    <t>0.14371073796346473                     0.6946556844252598</t>
  </si>
  <si>
    <t>0.1089194755300145                      0.6243451043667598</t>
  </si>
  <si>
    <t>0.14426317827519095                     0.5047724558709009</t>
  </si>
  <si>
    <t>0.12806451253580967                     0.39600098215873686</t>
  </si>
  <si>
    <t>0.14148235353422717                     0.7058956468506409</t>
  </si>
  <si>
    <t>0.11135660364049098                     0.628334388355516</t>
  </si>
  <si>
    <t>0.14816456065768147                     0.5074877060483198</t>
  </si>
  <si>
    <t>0.13126839880021762                     0.40324006460936423</t>
  </si>
  <si>
    <t>0.1459669897383917                      0.7097237959729129</t>
  </si>
  <si>
    <t>0.10883198253840229                     0.6228769896324354</t>
  </si>
  <si>
    <t>0.14384037985261533                     0.5065239666640123</t>
  </si>
  <si>
    <t>0.12785902250756825                     0.39941920055683927</t>
  </si>
  <si>
    <t>0.13991924654792648                     0.7099751194582937</t>
  </si>
  <si>
    <t>0.11114607172115824                     0.6220413032102413</t>
  </si>
  <si>
    <t>0.14832780432666803                     0.514525846363375</t>
  </si>
  <si>
    <t>0.13016643402995529                     0.3992328780720139</t>
  </si>
  <si>
    <t>0.14166776268300674                     0.7142716749368667</t>
  </si>
  <si>
    <t>0.10798703514189938                     0.6211127923253206</t>
  </si>
  <si>
    <t>0.1463542925473891                      0.5226912483547757</t>
  </si>
  <si>
    <t>0.1306830838282739                      0.40512586080146495</t>
  </si>
  <si>
    <t>0.1394855678635984                      0.7107900116873295</t>
  </si>
  <si>
    <t>0.1106981229095566                      0.6260402471203165</t>
  </si>
  <si>
    <t>0.1497142745744296                      0.5186702547622236</t>
  </si>
  <si>
    <t>0.12675620176777785                     0.3893961786254589</t>
  </si>
  <si>
    <t>0.1397872608191213                      0.7156400749376376</t>
  </si>
  <si>
    <t>0.10696087269976937                     0.6204845541637378</t>
  </si>
  <si>
    <t>0.14341358800098938                     0.5056300150118525</t>
  </si>
  <si>
    <t>0.12529770109187272                     0.39341507360054934</t>
  </si>
  <si>
    <t>0.14281026719193163                     0.7185749705550378</t>
  </si>
  <si>
    <t>0.10971966919705352                     0.6286816277152922</t>
  </si>
  <si>
    <t>0.14890539539321626                     0.5113511380110163</t>
  </si>
  <si>
    <t>0.1288603592091229                      0.3962328769726663</t>
  </si>
  <si>
    <t>0.13785222614319606                     0.7087497825388761</t>
  </si>
  <si>
    <t>0.1089030209696633                      0.6276101410502314</t>
  </si>
  <si>
    <t>0.14131646798768194                     0.502018385590437</t>
  </si>
  <si>
    <t>0.12680309075301502                     0.3950099402695058</t>
  </si>
  <si>
    <t>0.13955185656456354                     0.7188927382824156</t>
  </si>
  <si>
    <t>0.11130675289572535                     0.6302509015077662</t>
  </si>
  <si>
    <t>0.1465904487618689                      0.5153137181014316</t>
  </si>
  <si>
    <t>0.12259830561326697                     0.38974921884130503</t>
  </si>
  <si>
    <t>0.14114245199960368                     0.7054351644239285</t>
  </si>
  <si>
    <t>0.10727407373837333                     0.6125153931204212</t>
  </si>
  <si>
    <t>0.14211488500883362                     0.5111205493446533</t>
  </si>
  <si>
    <t>0.12528300518693924                     0.3906259828023121</t>
  </si>
  <si>
    <t>0.13646038900732055                     0.7126929941584988</t>
  </si>
  <si>
    <t>0.10660224817172813                     0.6196367441936457</t>
  </si>
  <si>
    <t>0.14304528239763784                     0.5063711101936281</t>
  </si>
  <si>
    <t>0.1304569997316457                      0.4015317843367874</t>
  </si>
  <si>
    <t>0.13762758458574875                     0.7142283348734759</t>
  </si>
  <si>
    <t>0.10711895212909174                     0.6118471829566838</t>
  </si>
  <si>
    <t>0.14542285221657522                     0.5090942791559682</t>
  </si>
  <si>
    <t>0.12455907471519409                     0.3900307219860602</t>
  </si>
  <si>
    <t>0.13717202227797615                     0.6985534913257475</t>
  </si>
  <si>
    <t>0.11109007584538243                     0.6337764739484193</t>
  </si>
  <si>
    <t>0.14609853531582345                     0.5004011165916279</t>
  </si>
  <si>
    <t>0.12679847312101794                     0.39131398088892116</t>
  </si>
  <si>
    <t>0.13849700206821325                     0.7038152383598673</t>
  </si>
  <si>
    <t>0.10752449104112245                     0.620763936887694</t>
  </si>
  <si>
    <t>0.14958349443199065                     0.5119163081127138</t>
  </si>
  <si>
    <t>0.12796797144724648                     0.39845736491939876</t>
  </si>
  <si>
    <t>0.13815760071071428                     0.7183477063324215</t>
  </si>
  <si>
    <t>0.10706371031147588                     0.6180104183440901</t>
  </si>
  <si>
    <t>0.14518014682404182                     0.5119478535258969</t>
  </si>
  <si>
    <t>0.12160576153391667                     0.39151710929203215</t>
  </si>
  <si>
    <t>0.14057484462015266                     0.7116564948517607</t>
  </si>
  <si>
    <t>0.10680757986006838                     0.6289929785278493</t>
  </si>
  <si>
    <t>0.14259436488916785                     0.5044747657793167</t>
  </si>
  <si>
    <t>0.12399049354472884                     0.3896353481799166</t>
  </si>
  <si>
    <t>0.1379097789429775                      0.6995947363232528</t>
  </si>
  <si>
    <t>0.10607443738556137                     0.6206649775724237</t>
  </si>
  <si>
    <t>0.13995495592544857                     0.5063013257448987</t>
  </si>
  <si>
    <t>0.12694351693113412                     0.38721608702123866</t>
  </si>
  <si>
    <t>0.13679354025572787                     0.707634261474786</t>
  </si>
  <si>
    <t>0.10768418929964527                     0.6279596194969901</t>
  </si>
  <si>
    <t>0.14043411485972818                     0.49687115925418635</t>
  </si>
  <si>
    <t>0.126357625664857                       0.3893150598053615</t>
  </si>
  <si>
    <t>0.1375855469304828                      0.7084231731472211</t>
  </si>
  <si>
    <t>0.10493173792209444                     0.622000775726069</t>
  </si>
  <si>
    <t>0.13995225206343218                     0.501260003009587</t>
  </si>
  <si>
    <t>0.12091185631935569                     0.3853568475833554</t>
  </si>
  <si>
    <t>0.13644408944871764                     0.7116108943631746</t>
  </si>
  <si>
    <t>0.10419616628526249                     0.6283911415825637</t>
  </si>
  <si>
    <t>0.14019929673246967                     0.502036860814479</t>
  </si>
  <si>
    <t>0.12632819118087174                     0.39081711941929276</t>
  </si>
  <si>
    <t>0.1403397990608603                      0.7134754310444064</t>
  </si>
  <si>
    <t>0.10507224559713339                     0.6248575724124175</t>
  </si>
  <si>
    <t>0.14030249558357505                     0.5042299922383219</t>
  </si>
  <si>
    <t>0.12313817720247504                     0.390705985824686</t>
  </si>
  <si>
    <t>0.13576915585790958                     0.7079769968746753</t>
  </si>
  <si>
    <t>0.10575749274353904                     0.6234082400083076</t>
  </si>
  <si>
    <t>0.14272992865187817                     0.4994761789006685</t>
  </si>
  <si>
    <t>0.12214507965706362                     0.3933151820748806</t>
  </si>
  <si>
    <t>0.13614646825095322                     0.7190761215253385</t>
  </si>
  <si>
    <t>0.10466304957022526                     0.6187972953720858</t>
  </si>
  <si>
    <t>0.13733137204033824                     0.4995074259720441</t>
  </si>
  <si>
    <t>0.12217834965603225                     0.39014882046034277</t>
  </si>
  <si>
    <t>0.1366158037160041                      0.7231473948972412</t>
  </si>
  <si>
    <t>0.10268645674737646                     0.6166582391423909</t>
  </si>
  <si>
    <t>0.1394868109252379                      0.5065540805385434</t>
  </si>
  <si>
    <t>0.12393063756982572                     0.39722106695484916</t>
  </si>
  <si>
    <t>0.134981049646394                       0.7038789912519055</t>
  </si>
  <si>
    <t>0.10349892951361236                     0.6243686255870791</t>
  </si>
  <si>
    <t>0.13861863862893375                     0.5134954583420999</t>
  </si>
  <si>
    <t>0.12226500218074557                     0.3909745959269517</t>
  </si>
  <si>
    <t>0.13465371755440103                     0.7064933861516249</t>
  </si>
  <si>
    <t>0.1028579573224108                      0.6236386366413736</t>
  </si>
  <si>
    <t>0.1384839063091822                      0.5014446679978019</t>
  </si>
  <si>
    <t>0.12061467158790079                     0.3829230033944505</t>
  </si>
  <si>
    <t>0.13395618828810643                     0.7113330071059439</t>
  </si>
  <si>
    <t>0.10406313117544777                     0.6286067901731298</t>
  </si>
  <si>
    <t>0.14067521141529019                     0.5050450076800166</t>
  </si>
  <si>
    <t>0.12131117382724613                     0.38812343946692207</t>
  </si>
  <si>
    <t>0.13650667576928507                     0.7163876095942416</t>
  </si>
  <si>
    <t>0.10471005149864565                     0.6273138564505955</t>
  </si>
  <si>
    <t>0.14410185857839428                     0.5141646102521225</t>
  </si>
  <si>
    <t>0.12029702925993295                     0.3879740115792156</t>
  </si>
  <si>
    <t>0.1341588267703677                      0.7137249626236066</t>
  </si>
  <si>
    <t>0.10593751250752122                     0.6271055731850842</t>
  </si>
  <si>
    <t>0.13894476720880222                     0.5121846252878345</t>
  </si>
  <si>
    <t>0.12205302192665136                     0.39144153918395014</t>
  </si>
  <si>
    <t>0.1353889008448694                      0.7151203469813052</t>
  </si>
  <si>
    <t>0.1052094369730537                      0.6262611130222384</t>
  </si>
  <si>
    <t>0.13879254609010305                     0.5041044371156134</t>
  </si>
  <si>
    <t>0.1220718141533966                      0.39604894930214124</t>
  </si>
  <si>
    <t>0.13386182740608843                     0.7117408131836716</t>
  </si>
  <si>
    <t>0.10267812015129982                     0.6158818029308122</t>
  </si>
  <si>
    <t>0.13484661489814367                     0.4996647298421248</t>
  </si>
  <si>
    <t>0.11914467782483819                     0.3926280773402497</t>
  </si>
  <si>
    <t>0.13423595242849282                     0.7191573672757108</t>
  </si>
  <si>
    <t>0.10216542149186246                     0.6257710299215871</t>
  </si>
  <si>
    <t>0.14045114320152063                     0.5117305785969537</t>
  </si>
  <si>
    <t>0.12401289496366664                     0.3975984917757452</t>
  </si>
  <si>
    <t>0.13612673898062402                     0.7200352447537323</t>
  </si>
  <si>
    <t>0.10525264247223239                     0.6377543714345971</t>
  </si>
  <si>
    <t>0.14303919838495568                     0.5068815741525815</t>
  </si>
  <si>
    <t>0.12367035723588313                     0.3962991534678521</t>
  </si>
  <si>
    <t>0.13259562219029972                     0.7080964714174393</t>
  </si>
  <si>
    <t>0.1051797397305872                      0.6250194093346803</t>
  </si>
  <si>
    <t>0.13912938252178908                     0.5027108823024922</t>
  </si>
  <si>
    <t>0.12135331737687483                     0.3911810700481219</t>
  </si>
  <si>
    <t>0.13512208989610333                     0.7165823631617796</t>
  </si>
  <si>
    <t>0.10317849968208379                     0.6199772485702922</t>
  </si>
  <si>
    <t>0.1365520147288298                      0.500771223796871</t>
  </si>
  <si>
    <t>0.12226220059670448                     0.38807186589790815</t>
  </si>
  <si>
    <t>0.13450381069065906                     0.7136927470457627</t>
  </si>
  <si>
    <t>0.10421996497192464                     0.6281364586922472</t>
  </si>
  <si>
    <t>0.13870809366100403                     0.509677871303606</t>
  </si>
  <si>
    <t>0.12332404155250543                     0.38724318399515356</t>
  </si>
  <si>
    <t>0.13478661674540598                     0.7038400784869613</t>
  </si>
  <si>
    <t>0.13784139010589289                     0.5061623789834616</t>
  </si>
  <si>
    <t>0.12023128739434324                     0.3882766051736255</t>
  </si>
  <si>
    <t>0.13393793770931545                     0.7204889779064526</t>
  </si>
  <si>
    <t>0.13380839783621573                     0.49755872947640994</t>
  </si>
  <si>
    <t>0.12047212211028308                     0.3926460616825595</t>
  </si>
  <si>
    <t>0.13733293564944718                     0.7024134628661434</t>
  </si>
  <si>
    <t>0.1408512027228256                      0.5075764805940758</t>
  </si>
  <si>
    <t>0.12286398189289276                     0.3942304049324749</t>
  </si>
  <si>
    <t>0.13585959685738683                     0.7258216772281642</t>
  </si>
  <si>
    <t>0.13562116000655153                     0.5016288899275766</t>
  </si>
  <si>
    <t>0.12022781657173551                     0.3887264616009461</t>
  </si>
  <si>
    <t>0.1354140529732678                      0.5069871654610684</t>
  </si>
  <si>
    <t>0.12039655437735523                     0.3924901392399658</t>
  </si>
  <si>
    <t>0.13340559853353715                     0.5073722409276699</t>
  </si>
  <si>
    <t>0.12630961986044237                     0.395656499191962</t>
  </si>
  <si>
    <t>0.13536500607195767                     0.5081162973599921</t>
  </si>
  <si>
    <t>0.1206769244103399                      0.38751639297261964</t>
  </si>
  <si>
    <t>0.13472019322745588                     0.5028398745121472</t>
  </si>
  <si>
    <t>0.12060950173318818                     0.3908521492400312</t>
  </si>
  <si>
    <t>0.133037471819931                       0.49440999994418844</t>
  </si>
  <si>
    <t>0.11612019278012092                     0.38399485408221373</t>
  </si>
  <si>
    <t>0.1345397223578883                      0.5069281132705941</t>
  </si>
  <si>
    <t>0.11680013923905874                     0.38167048355051203</t>
  </si>
  <si>
    <t>0.13162967176488846                     0.5019458071582065</t>
  </si>
  <si>
    <t>0.11652028780086594                     0.379495438309724</t>
  </si>
  <si>
    <t>0.1359529744216997                      0.4949103943097147</t>
  </si>
  <si>
    <t>0.11987844070496113                     0.39248687227373047</t>
  </si>
  <si>
    <t>0.1329991179968891                      0.5080968311165258</t>
  </si>
  <si>
    <t>0.11990500869158914                     0.3887539464612838</t>
  </si>
  <si>
    <t>0.13569771476797582                     0.5059557932715164</t>
  </si>
  <si>
    <t>0.12148988925990928                     0.3885368012642244</t>
  </si>
  <si>
    <t>0.13351438419587464                     0.49784691181153695</t>
  </si>
  <si>
    <t>0.11608964325302783                     0.38478505253264467</t>
  </si>
  <si>
    <t>0.1358848990138693                      0.5038282706587804</t>
  </si>
  <si>
    <t>0.11726588618388123                     0.3868041166195539</t>
  </si>
  <si>
    <t>0.13599509396163842                     0.5096382222135233</t>
  </si>
  <si>
    <t>0.12027836062284178                     0.37894772867259147</t>
  </si>
  <si>
    <t>0.1372453193254407                      0.5050894954261491</t>
  </si>
  <si>
    <t>0.1179189608793823                      0.3822189303496287</t>
  </si>
  <si>
    <t>0.12987836886821705                     0.49759703378856973</t>
  </si>
  <si>
    <t>0.11604152243321501                     0.37477862651953164</t>
  </si>
  <si>
    <t>0.13121764169772596                     0.5030129817845537</t>
  </si>
  <si>
    <t>0.12217816432715088                     0.3884469201967</t>
  </si>
  <si>
    <t>0.13622209516021627                     0.5208139563753506</t>
  </si>
  <si>
    <t>0.11417833612660207                     0.37937283150529044</t>
  </si>
  <si>
    <t>0.13067508090164257                     0.5085984576043252</t>
  </si>
  <si>
    <t>0.11669166638661159                     0.38607739280483505</t>
  </si>
  <si>
    <t>0.13333832801790918                     0.501937467353667</t>
  </si>
  <si>
    <t>0.11634495697998463                     0.3862325434969616</t>
  </si>
  <si>
    <t>0.1329041438267088                      0.5136057291998207</t>
  </si>
  <si>
    <t>0.12307943672853512                     0.3891077495241019</t>
  </si>
  <si>
    <t>0.13079494430357                        0.5070017130112695</t>
  </si>
  <si>
    <t>0.11828920544380825                     0.3851460879314715</t>
  </si>
  <si>
    <t>0.13027698218383535                     0.5040376002038446</t>
  </si>
  <si>
    <t>0.11594463849513728                     0.3860892024816101</t>
  </si>
  <si>
    <t>0.13361361591993304                     0.5097714847048698</t>
  </si>
  <si>
    <t>0.11371497353504359                     0.37819054798353663</t>
  </si>
  <si>
    <t>0.13125771439471448                     0.5090089777644711</t>
  </si>
  <si>
    <t>0.1143125732386958                      0.3825693514011118</t>
  </si>
  <si>
    <t>0.12959410750308667                     0.5019325188867284</t>
  </si>
  <si>
    <t>0.11400181927855006                     0.378842518545628</t>
  </si>
  <si>
    <t>0.13160270669252938                     0.5061895160584021</t>
  </si>
  <si>
    <t>0.11836069523464492                     0.3921660015371893</t>
  </si>
  <si>
    <t>0.12781483544089464                     0.5045552355551769</t>
  </si>
  <si>
    <t>0.11459401634839947                     0.3843316868018688</t>
  </si>
  <si>
    <t>0.13321704238488255                     0.5103385337737983</t>
  </si>
  <si>
    <t>0.11572618620046353                     0.3783742540961022</t>
  </si>
  <si>
    <t>0.1284495460393956                      0.5084006743638275</t>
  </si>
  <si>
    <t>0.11396273526199689                     0.38002194904094944</t>
  </si>
  <si>
    <t>0.1285831241850971                      0.508652327078972</t>
  </si>
  <si>
    <t>0.11605703688011158                     0.3787935041308391</t>
  </si>
  <si>
    <t>0.13131013545695006                     0.5063624656070058</t>
  </si>
  <si>
    <t>0.11287054331021464                     0.386050023487457</t>
  </si>
  <si>
    <t>0.13049921647362023                     0.5046706834733886</t>
  </si>
  <si>
    <t>0.11416046578595457                     0.3770850326711237</t>
  </si>
  <si>
    <t>0.12876190265942009                     0.5080958070886601</t>
  </si>
  <si>
    <t>0.1121391582303638                      0.3840082226968399</t>
  </si>
  <si>
    <t>0.12930181937140625                     0.4987597085664555</t>
  </si>
  <si>
    <t>0.11276394646068374                     0.38110546517878297</t>
  </si>
  <si>
    <t>0.13040991414745323                     0.5031808405458295</t>
  </si>
  <si>
    <t>0.11274270463458416                     0.3834167911495326</t>
  </si>
  <si>
    <t>0.13309936768705224                     0.5011221930899994</t>
  </si>
  <si>
    <t>0.11900812789223554                     0.38930024425025483</t>
  </si>
  <si>
    <t>0.12556053391157493                     0.5021819670682371</t>
  </si>
  <si>
    <t>0.11152204808659247                     0.3814820543914599</t>
  </si>
  <si>
    <t>0.1314143849977253                      0.508112763713519</t>
  </si>
  <si>
    <t>0.11438597711985997                     0.3891216031126597</t>
  </si>
  <si>
    <t>0.13009625547416778                     0.5008708598016368</t>
  </si>
  <si>
    <t>0.11277566212285399                     0.3815625414430758</t>
  </si>
  <si>
    <t>0.12706293315565273                     0.5074684683632169</t>
  </si>
  <si>
    <t>0.11213556480181076                     0.3835181782511208</t>
  </si>
  <si>
    <t>0.12979127697369916                     0.5113707554801704</t>
  </si>
  <si>
    <t>0.11341131948861165                     0.3855650465325897</t>
  </si>
  <si>
    <t>0.13012637759393825                     0.5053892693709091</t>
  </si>
  <si>
    <t>0.11217840588080098                     0.37506052093879944</t>
  </si>
  <si>
    <t>0.12559488511484646                     0.49640955451641855</t>
  </si>
  <si>
    <t>0.11156783040580032                     0.3835343825080279</t>
  </si>
  <si>
    <t>0.12670085893517127                     0.5084821481549976</t>
  </si>
  <si>
    <t>0.11035910824118107                     0.3816911998369208</t>
  </si>
  <si>
    <t>0.12676056634782581                     0.4976518151529325</t>
  </si>
  <si>
    <t>0.11092684090819033                     0.3860260092729036</t>
  </si>
  <si>
    <t>0.12333414470251333                     0.5023399183290035</t>
  </si>
  <si>
    <t>0.11167710592711731                     0.39056030128610464</t>
  </si>
  <si>
    <t>0.13274755414539247                     0.5116137195624342</t>
  </si>
  <si>
    <t>0.11165756245769194                     0.37920836083806564</t>
  </si>
  <si>
    <t>0.12670541161241708                     0.5057396644032754</t>
  </si>
  <si>
    <t>0.11332290471596794                     0.3866662612461178</t>
  </si>
  <si>
    <t>0.1249796904021851                      0.49960241675234857</t>
  </si>
  <si>
    <t>0.11115574794091977                     0.37918537853949236</t>
  </si>
  <si>
    <t>0.12652536263293854                     0.5033088722628777</t>
  </si>
  <si>
    <t>0.11063122580134038                     0.3847148652022282</t>
  </si>
  <si>
    <t>0.1254229222702626                      0.49953150204614993</t>
  </si>
  <si>
    <t>0.11102375683228562                     0.3829989081970038</t>
  </si>
  <si>
    <t>0.12576639311998186                     0.5107253524339177</t>
  </si>
  <si>
    <t>0.11379671224936115                     0.38449264709277514</t>
  </si>
  <si>
    <t>0.12690527474342322                     0.5021222492600798</t>
  </si>
  <si>
    <t>0.11925973922270751                     0.38604630035322407</t>
  </si>
  <si>
    <t>0.12861276040268352                     0.5046855998207768</t>
  </si>
  <si>
    <t>0.11253823049946128                     0.38833430057659013</t>
  </si>
  <si>
    <t>0.12533906240098425                     0.508539856749361</t>
  </si>
  <si>
    <t>0.10963598415371563                     0.38031955753946894</t>
  </si>
  <si>
    <t>0.12619110593215863                     0.503752252642583</t>
  </si>
  <si>
    <t>0.11087099216892983                     0.38233862211134056</t>
  </si>
  <si>
    <t>0.12907230540967188                     0.5097480392557178</t>
  </si>
  <si>
    <t>0.11076336509832996                     0.3741171738400379</t>
  </si>
  <si>
    <t>0.12222033691008999                     0.5070332288135937</t>
  </si>
  <si>
    <t>0.10860846081362609                     0.3811302115270249</t>
  </si>
  <si>
    <t>0.12531979179189043                     0.5108895242728921</t>
  </si>
  <si>
    <t>0.11016286032255264                     0.38633617627587474</t>
  </si>
  <si>
    <t>0.12275536965095928                     0.5054809443829095</t>
  </si>
  <si>
    <t>0.11034486520113526                     0.38370938040350083</t>
  </si>
  <si>
    <t>0.12225683908459545                     0.507006996149782</t>
  </si>
  <si>
    <t>0.11103807862863396                     0.3782500557567958</t>
  </si>
  <si>
    <t>0.12342281187144254                     0.5066123360678179</t>
  </si>
  <si>
    <t>0.10919526253192376                     0.3785010480013254</t>
  </si>
  <si>
    <t>0.12442437680547432                     0.5080340658745636</t>
  </si>
  <si>
    <t>0.1081516726917116                      0.37807410193044755</t>
  </si>
  <si>
    <t>0.12386978569070667                     0.5166147631472847</t>
  </si>
  <si>
    <t>0.1092404539412019                      0.3775418684451661</t>
  </si>
  <si>
    <t>0.12238852517803438                     0.5087236116592845</t>
  </si>
  <si>
    <t>0.10670492352337053                     0.3804462606673055</t>
  </si>
  <si>
    <t>0.1276127417175925                      0.510597793475821</t>
  </si>
  <si>
    <t>0.11166314488180287                     0.3830389607114248</t>
  </si>
  <si>
    <t>0.1244624783261991                      0.5181310522365897</t>
  </si>
  <si>
    <t>0.11173867976646502                     0.3850192278130811</t>
  </si>
  <si>
    <t>0.12387528276690604                     0.5142591014842964</t>
  </si>
  <si>
    <t>0.10549836053231489                     0.37940920901579794</t>
  </si>
  <si>
    <t>0.11942565554191853                     0.49858624708963956</t>
  </si>
  <si>
    <t>0.11362330062041481                     0.3876360977193126</t>
  </si>
  <si>
    <t>0.12163684005743243                     0.4968470985429433</t>
  </si>
  <si>
    <t>0.10647493192556613                     0.37796640107635904</t>
  </si>
  <si>
    <t>0.12064830866201412                     0.500040817796297</t>
  </si>
  <si>
    <t>0.10937557820587286                     0.37672831760946984</t>
  </si>
  <si>
    <t>0.12028718728462265                     0.49644175158515624</t>
  </si>
  <si>
    <t>0.11257721587133149                     0.39087458962562793</t>
  </si>
  <si>
    <t>0.12204743323074925                     0.5026739143298291</t>
  </si>
  <si>
    <t>0.1092004835883185                      0.3829062179554387</t>
  </si>
  <si>
    <t>0.12100787215800973                     0.5043105116989929</t>
  </si>
  <si>
    <t>0.10843761692330375                     0.3804589090203526</t>
  </si>
  <si>
    <t>0.12131994169602518                     0.5085094363009453</t>
  </si>
  <si>
    <t>0.10974647855812955                     0.38257066663757033</t>
  </si>
  <si>
    <t>0.1243815118846195                      0.5188275457575517</t>
  </si>
  <si>
    <t>0.10757586542062023                     0.38099343525039114</t>
  </si>
  <si>
    <t>0.12163171218064411                     0.5094763085437991</t>
  </si>
  <si>
    <t>0.10657927359355394                     0.36868263065236184</t>
  </si>
  <si>
    <t>0.12102841088755682                     0.4997046528003331</t>
  </si>
  <si>
    <t>0.10863305455869321                     0.38164400265005943</t>
  </si>
  <si>
    <t>0.12158085134788116                     0.5007804758258331</t>
  </si>
  <si>
    <t>0.11138359705956177                     0.3842347412949553</t>
  </si>
  <si>
    <t>0.1208304301622901                      0.5045623473108203</t>
  </si>
  <si>
    <t>0.1088202762886763                      0.3838228498740181</t>
  </si>
  <si>
    <t>0.1204757414219693                      0.5002290858005024</t>
  </si>
  <si>
    <t>0.10670631006446238                     0.3727378146676027</t>
  </si>
  <si>
    <t>0.11792624910243502                     0.4946895210559982</t>
  </si>
  <si>
    <t>0.10563949759284545                     0.37405718796801857</t>
  </si>
  <si>
    <t>0.12063335186496262                     0.5050969273893187</t>
  </si>
  <si>
    <t>0.10622477045898086                     0.3814612993942872</t>
  </si>
  <si>
    <t>0.11955695971303813                     0.5032399164766973</t>
  </si>
  <si>
    <t>0.10889574306802872                     0.3721373716999725</t>
  </si>
  <si>
    <t>0.12459127711372933                     0.5053472839766433</t>
  </si>
  <si>
    <t>0.10480422534887485                     0.37510722744147623</t>
  </si>
  <si>
    <t>0.12015020065236931                     0.5073969962036969</t>
  </si>
  <si>
    <t>0.10663067318265126                     0.38300036939902743</t>
  </si>
  <si>
    <t>0.11711085889312983                     0.502730521178177</t>
  </si>
  <si>
    <t>0.10343058447495637                     0.3739230434785338</t>
  </si>
  <si>
    <t>0.11946446608964269                     0.49491810551354465</t>
  </si>
  <si>
    <t>0.10484673215511303                     0.3785473418874218</t>
  </si>
  <si>
    <t>0.11673207341008877                     0.5004623262985607</t>
  </si>
  <si>
    <t>0.1046779461398998                      0.3745171667566654</t>
  </si>
  <si>
    <t>0.11958632575116257                     0.507353657634702</t>
  </si>
  <si>
    <t>0.10440014011690635                     0.3785758031277889</t>
  </si>
  <si>
    <t>0.11741474184937897                     0.5002384745320569</t>
  </si>
  <si>
    <t>0.10532847084548198                     0.3811243982179916</t>
  </si>
  <si>
    <t>0.1192398690265721                      0.5141692067522368</t>
  </si>
  <si>
    <t>0.10779071484767062                     0.37619393610980956</t>
  </si>
  <si>
    <t>0.11624406235608852                     0.5009068908382084</t>
  </si>
  <si>
    <t>0.10935539054199327                     0.38605325861115514</t>
  </si>
  <si>
    <t>0.12154076421467036                     0.5109878499206785</t>
  </si>
  <si>
    <t>0.10457565671806204                     0.37822266519160774</t>
  </si>
  <si>
    <t>0.12082138613245128                     0.5057142440808761</t>
  </si>
  <si>
    <t>0.10491629600531824                     0.38027601391847426</t>
  </si>
  <si>
    <t>0.11950111036997549                     0.5191584042137628</t>
  </si>
  <si>
    <t>0.10686956685543929                     0.3849238198051317</t>
  </si>
  <si>
    <t>0.11641622568848868                     0.50818815749626</t>
  </si>
  <si>
    <t>0.10801013332833376                     0.3864075528732185</t>
  </si>
  <si>
    <t>0.1159194287208378                      0.49810949655476977</t>
  </si>
  <si>
    <t>0.10394387168701236                     0.37399439273882684</t>
  </si>
  <si>
    <t>0.12228912342093541                     0.5185651007796143</t>
  </si>
  <si>
    <t>0.10357007103289237                     0.3756159272526739</t>
  </si>
  <si>
    <t>0.1175397514957987                      0.5017875183662778</t>
  </si>
  <si>
    <t>0.10343705970627239                     0.36982256080705544</t>
  </si>
  <si>
    <t>0.11901079199834519                     0.5058814583564036</t>
  </si>
  <si>
    <t>0.10346268840712561                     0.37848019556356044</t>
  </si>
  <si>
    <t>0.11741321847108019                     0.5030409600803474</t>
  </si>
  <si>
    <t>0.10449873927960797                     0.3761900675117096</t>
  </si>
  <si>
    <t>0.11747290664123533                     0.5010563228286589</t>
  </si>
  <si>
    <t>0.10437900331588479                     0.37199150667198533</t>
  </si>
  <si>
    <t>0.11599098016650156                     0.504138861968596</t>
  </si>
  <si>
    <t>0.10479637852433599                     0.3823640318814307</t>
  </si>
  <si>
    <t>0.11652793392393797                     0.5077845321721137</t>
  </si>
  <si>
    <t>0.10386568613604782                     0.37702741063383455</t>
  </si>
  <si>
    <t>0.11692761522729017                     0.511513236988145</t>
  </si>
  <si>
    <t>0.10626376392626978                     0.37874319670661194</t>
  </si>
  <si>
    <t>0.11781161006597267                     0.5143334177414136</t>
  </si>
  <si>
    <t>0.1034574889169647                      0.3777368754592768</t>
  </si>
  <si>
    <t>0.11612778080003351                     0.5016822788239068</t>
  </si>
  <si>
    <t>0.10506248571448765                     0.37848611029824225</t>
  </si>
  <si>
    <t>0.11558921784410818                     0.5036360698849855</t>
  </si>
  <si>
    <t>0.10133453715651351                     0.37079535562595795</t>
  </si>
  <si>
    <t>0.11591115754679877                     0.5104461465856123</t>
  </si>
  <si>
    <t>0.10105048696141739                     0.3718637081780099</t>
  </si>
  <si>
    <t>0.11439971913949308                     0.5024580892925263</t>
  </si>
  <si>
    <t>0.1036787667096485                      0.38119531765538545</t>
  </si>
  <si>
    <t>0.11648585189266737                     0.50193595193238</t>
  </si>
  <si>
    <t>0.10237100234213661                     0.3815520571234166</t>
  </si>
  <si>
    <t>0.11435651346544537                     0.5037213922719701</t>
  </si>
  <si>
    <t>0.10251745624323658                     0.3807689880305783</t>
  </si>
  <si>
    <t>0.1186467094497348                      0.5090499840091164</t>
  </si>
  <si>
    <t>0.10193731616539226                     0.3767262006994706</t>
  </si>
  <si>
    <t>0.11264365219442901                     0.4995277971013942</t>
  </si>
  <si>
    <t>0.10147473332709293                     0.36946366895603433</t>
  </si>
  <si>
    <t>0.11350414378710336                     0.5027786344281275</t>
  </si>
  <si>
    <t>0.10102863725446487                     0.3750243635899534</t>
  </si>
  <si>
    <t>0.11188800352916452                     0.5026405603393909</t>
  </si>
  <si>
    <t>0.10200002268275776                     0.3776806228452039</t>
  </si>
  <si>
    <t>0.11552720674134373                     0.5090903461031184</t>
  </si>
  <si>
    <t>0.10224178124295594                     0.372630193254274</t>
  </si>
  <si>
    <t>0.11346532747178101                     0.5031831254730882</t>
  </si>
  <si>
    <t>0.10011614715395649                     0.36573061794146006</t>
  </si>
  <si>
    <t>0.11410884896860934                     0.5133107856345743</t>
  </si>
  <si>
    <t>0.09982115074516365                     0.3727414964807265</t>
  </si>
  <si>
    <t>0.11872659018236428                     0.5036955233644984</t>
  </si>
  <si>
    <t>0.10040748323192235                     0.37030807634861423</t>
  </si>
  <si>
    <t>0.11855149249873931                     0.5046028327306721</t>
  </si>
  <si>
    <t>0.10499259381188494                     0.3704209604339635</t>
  </si>
  <si>
    <t>0.11290672743022613                     0.5147740613411012</t>
  </si>
  <si>
    <t>0.09896241603036111                     0.37037626095295345</t>
  </si>
  <si>
    <t>0.1125612268442132                      0.5053984200942065</t>
  </si>
  <si>
    <t>0.10049199279340831                     0.3705847671409847</t>
  </si>
  <si>
    <t>0.11259112169786263                     0.5015410394760548</t>
  </si>
  <si>
    <t>0.10330326190311719                     0.3751873048547639</t>
  </si>
  <si>
    <t>0.11115284491282779                     0.49227617577898525</t>
  </si>
  <si>
    <t>0.09887813253866949                     0.37349817962180354</t>
  </si>
  <si>
    <t>0.115773556547619                       0.5065090992564107</t>
  </si>
  <si>
    <t>0.10297887926832125                     0.3755345959767745</t>
  </si>
  <si>
    <t>0.11241803645695637                     0.5092309746358293</t>
  </si>
  <si>
    <t>0.10091180499990221                     0.3823661344478923</t>
  </si>
  <si>
    <t>0.11558386465483811                     0.5066943829707125</t>
  </si>
  <si>
    <t>0.10302334088128597                     0.37742866389500157</t>
  </si>
  <si>
    <t>0.11676668547119531                     0.5026322893199784</t>
  </si>
  <si>
    <t>0.1027269403034296                      0.3793723294034884</t>
  </si>
  <si>
    <t>0.11449704153046124                     0.5078957790896018</t>
  </si>
  <si>
    <t>0.10142750502794633                     0.376820288839263</t>
  </si>
  <si>
    <t>0.11535904359563542                     0.5147011050503594</t>
  </si>
  <si>
    <t>0.10409549945912018                     0.3762656342585629</t>
  </si>
  <si>
    <t>0.11103456802067334                     0.5008574984820648</t>
  </si>
  <si>
    <t>0.0986493190300758                      0.37907877049034094</t>
  </si>
  <si>
    <t>0.11132444279283614                     0.4939176612452775</t>
  </si>
  <si>
    <t>0.10084852622327595                     0.37674753839837194</t>
  </si>
  <si>
    <t>0.11012104266237545                     0.5004252472091195</t>
  </si>
  <si>
    <t>0.10083459336805298                     0.3783261472654894</t>
  </si>
  <si>
    <t>0.11215249563620172                     0.5010882311614383</t>
  </si>
  <si>
    <t>0.09833306695335077                     0.3748973190629696</t>
  </si>
  <si>
    <t>0.11217672767331326                     0.5090168994680598</t>
  </si>
  <si>
    <t>0.09785977022735133                     0.36619418785719443</t>
  </si>
  <si>
    <t>0.11421434114523493                     0.5116397502443087</t>
  </si>
  <si>
    <t>0.10254056042204682                     0.38138531229240813</t>
  </si>
  <si>
    <t>0.1105147001424145                      0.5014016033907464</t>
  </si>
  <si>
    <t>0.09963388947300061                     0.3747981012901467</t>
  </si>
  <si>
    <t>0.1109745699237491                      0.505159138202077</t>
  </si>
  <si>
    <t>0.10166041132051339                     0.38693051488819397</t>
  </si>
  <si>
    <t>0.11148372000529645                     0.5071081128013548</t>
  </si>
  <si>
    <t>0.09871858252179443                     0.3703905156549696</t>
  </si>
  <si>
    <t>0.1122131779101291                      0.5003189649396544</t>
  </si>
  <si>
    <t>0.09819437455315812                     0.3713470727287027</t>
  </si>
  <si>
    <t>0.11107301919064165                     0.4948237042446195</t>
  </si>
  <si>
    <t>0.09888658991121553                     0.3704464936299504</t>
  </si>
  <si>
    <t>0.11219953846032553                     0.4999224178497999</t>
  </si>
  <si>
    <t>0.09761231122745859                     0.36741766184508</t>
  </si>
  <si>
    <t>0.11894737635398152                     0.5017922204469653</t>
  </si>
  <si>
    <t>0.0983273657621004                      0.37989152123405323</t>
  </si>
  <si>
    <t>0.10865644868239502                     0.49471228219209235</t>
  </si>
  <si>
    <t>0.09875468225925933                     0.38080091471441696</t>
  </si>
  <si>
    <t>0.11351018451987173                     0.5144169443479234</t>
  </si>
  <si>
    <t>0.09819046713582301                     0.36821565765682307</t>
  </si>
  <si>
    <t>0.11120760817704288                     0.5115231665797627</t>
  </si>
  <si>
    <t>0.0977746562071844                      0.376024348477062</t>
  </si>
  <si>
    <t>0.11122195235366031                     0.5116999773456725</t>
  </si>
  <si>
    <t>0.10221203494582559                     0.3844998862635002</t>
  </si>
  <si>
    <t>0.1112704795274874                      0.4985941017114015</t>
  </si>
  <si>
    <t>0.09757546375847563                     0.37338536625851243</t>
  </si>
  <si>
    <t>0.11151547012928094                     0.5142992928355524</t>
  </si>
  <si>
    <t>0.09705590504245684                     0.3699538565258845</t>
  </si>
  <si>
    <t>0.11104523447434947                     0.5183148695138388</t>
  </si>
  <si>
    <t>0.09671975148385147                     0.36536397580801355</t>
  </si>
  <si>
    <t>0.11205912398961555                     0.5022883839760528</t>
  </si>
  <si>
    <t>0.09877784892562995                     0.37144213242127533</t>
  </si>
  <si>
    <t>0.1124984663018288                      0.5072406375965401</t>
  </si>
  <si>
    <t>0.09678677263823252                     0.3695013309845239</t>
  </si>
  <si>
    <t>0.10858582682499947                     0.498107203503825</t>
  </si>
  <si>
    <t>0.09667253076074214                     0.36684340076321964</t>
  </si>
  <si>
    <t>0.11051368159299309                     0.5058329478036862</t>
  </si>
  <si>
    <t>0.09943868603569377                     0.3728957379265429</t>
  </si>
  <si>
    <t>0.10811451220088078                     0.5049292291793488</t>
  </si>
  <si>
    <t>0.0964920735708255                      0.3761132111519794</t>
  </si>
  <si>
    <t>0.10970890965068018                     0.4974305852644241</t>
  </si>
  <si>
    <t>0.09531080291467853                     0.37128248387862994</t>
  </si>
  <si>
    <t>0.10887757124789857                     0.5061536998316257</t>
  </si>
  <si>
    <t>0.09997447106239497                     0.3734139654087112</t>
  </si>
  <si>
    <t>0.11065539857148246                     0.4997087371535817</t>
  </si>
  <si>
    <t>0.09665604613914155                     0.37001889279147887</t>
  </si>
  <si>
    <t>0.10927204777885176                     0.4974204973616516</t>
  </si>
  <si>
    <t>0.09634477671315518                     0.3771214240740059</t>
  </si>
  <si>
    <t>0.10595510924339675                     0.4971035135908793</t>
  </si>
  <si>
    <t>0.09609332983688486                     0.3673068590382374</t>
  </si>
  <si>
    <t>0.10955833818217195                     0.5038560634884469</t>
  </si>
  <si>
    <t>0.09797434922056406                     0.36837127399347214</t>
  </si>
  <si>
    <t>0.106860475877215                       0.5063627496222198</t>
  </si>
  <si>
    <t>0.09607831375587549                     0.3667756461240826</t>
  </si>
  <si>
    <t>0.11115086295451694                     0.5043943118457258</t>
  </si>
  <si>
    <t>0.09575548360622048                     0.37340736959589393</t>
  </si>
  <si>
    <t>0.10759576229721932                     0.4987029659111337</t>
  </si>
  <si>
    <t>0.09658877271251111                     0.37922624194532667</t>
  </si>
  <si>
    <t>0.10504385255850003                     0.4978873075322273</t>
  </si>
  <si>
    <t>0.0968746947252627                      0.3755190793187398</t>
  </si>
  <si>
    <t>0.10720845275210135                     0.5051979990344417</t>
  </si>
  <si>
    <t>0.09320520080827867                     0.37133903948346536</t>
  </si>
  <si>
    <t>0.10752503799473959                     0.5034166167231205</t>
  </si>
  <si>
    <t>0.09779556322220552                     0.3825777234478357</t>
  </si>
  <si>
    <t>0.1067906668936966                      0.5024693317697201</t>
  </si>
  <si>
    <t>0.09624709059430064                     0.3759101020988066</t>
  </si>
  <si>
    <t>0.10662947153484427                     0.498493926608826</t>
  </si>
  <si>
    <t>0.09380284088933714                     0.37341570109079114</t>
  </si>
  <si>
    <t>0.1062990971230828                      0.50265140099532</t>
  </si>
  <si>
    <t>0.0957434043487805                      0.373586273362749</t>
  </si>
  <si>
    <t>0.10646605365258062                     0.4943850354583724</t>
  </si>
  <si>
    <t>0.0944348370627688                      0.3709892746890774</t>
  </si>
  <si>
    <t>0.10642070570925914                     0.5048678279927269</t>
  </si>
  <si>
    <t>0.0955614118097926                      0.3732623948414631</t>
  </si>
  <si>
    <t>0.10623627901606028                     0.5002629487848365</t>
  </si>
  <si>
    <t>0.09479005373194391                     0.36941095865436124</t>
  </si>
  <si>
    <t>0.10633471458526002                     0.49652243431933346</t>
  </si>
  <si>
    <t>0.09289543005531947                     0.37253686957316867</t>
  </si>
  <si>
    <t>0.10472927610692874                     0.49577337964339346</t>
  </si>
  <si>
    <t>0.09939156625455249                     0.3757492275087199</t>
  </si>
  <si>
    <t>0.10566034560625416                     0.49445609854819417</t>
  </si>
  <si>
    <t>0.09588780566582762                     0.3782946933910165</t>
  </si>
  <si>
    <t>0.10605748288260869                     0.5040705010622339</t>
  </si>
  <si>
    <t>0.09641693984720894                     0.3719818762883152</t>
  </si>
  <si>
    <t>0.10873767854475529                     0.5096683745672095</t>
  </si>
  <si>
    <t>0.09444657257492256                     0.37140590917181904</t>
  </si>
  <si>
    <t>0.10648056466297409                     0.5096154749703078</t>
  </si>
  <si>
    <t>0.09250199210625386                     0.3706487090821778</t>
  </si>
  <si>
    <t>0.10626769357020686                     0.498971934237344</t>
  </si>
  <si>
    <t>0.0958351469949227                      0.3716856099748942</t>
  </si>
  <si>
    <t>0.11028652535271609                     0.5073465876607058</t>
  </si>
  <si>
    <t>0.0931523957723973                      0.36793454325792935</t>
  </si>
  <si>
    <t>0.106403204141973                       0.4937587415354951</t>
  </si>
  <si>
    <t>0.0928391099600201                      0.3662030359331354</t>
  </si>
  <si>
    <t>0.10929602037781816                     0.5115042480253246</t>
  </si>
  <si>
    <t>0.09341230021756196                     0.3652378857181127</t>
  </si>
  <si>
    <t>0.10749500165394103                     0.5068392818107639</t>
  </si>
  <si>
    <t>0.09260794558728982                     0.3678662159641977</t>
  </si>
  <si>
    <t>0.1058502130959899                      0.5034993937836453</t>
  </si>
  <si>
    <t>0.0918991075952565                      0.3715764105775715</t>
  </si>
  <si>
    <t>0.10324639268087249                     0.4943904341614296</t>
  </si>
  <si>
    <t>0.09346902928000787                     0.37332968950618606</t>
  </si>
  <si>
    <t>0.1081934546743948                      0.5059881568667682</t>
  </si>
  <si>
    <t>0.09970329114625834                     0.3816061010330091</t>
  </si>
  <si>
    <t>0.1069069296375598                      0.4964274908719441</t>
  </si>
  <si>
    <t>0.09153929178248625                     0.37121342476779556</t>
  </si>
  <si>
    <t>0.1057602195528322                      0.5021497862696074</t>
  </si>
  <si>
    <t>0.0920924382577256                      0.3681593902572563</t>
  </si>
  <si>
    <t>0.10252405202388293                     0.49981457983607913</t>
  </si>
  <si>
    <t>0.09316117515630983                     0.37483468954218147</t>
  </si>
  <si>
    <t>0.104462521244915                       0.5035869020287613</t>
  </si>
  <si>
    <t>0.09300101280973981                     0.37100004265597303</t>
  </si>
  <si>
    <t>0.1069902817887052                      0.49626177243531877</t>
  </si>
  <si>
    <t>0.09698293268960448                     0.37251217835344463</t>
  </si>
  <si>
    <t>0.10432676940511276                     0.49704409723341847</t>
  </si>
  <si>
    <t>0.09448480953496992                     0.37859178977670055</t>
  </si>
  <si>
    <t>0.10268909478220652                     0.5001051558999788</t>
  </si>
  <si>
    <t>0.09372564924251699                     0.36972820040191645</t>
  </si>
  <si>
    <t>0.10285949288354664                     0.5092952219077106</t>
  </si>
  <si>
    <t>0.09289119779133208                     0.3688918534101343</t>
  </si>
  <si>
    <t>0.10126056645131645                     0.49643802722270425</t>
  </si>
  <si>
    <t>0.09439798042139186                     0.3725410125233221</t>
  </si>
  <si>
    <t>0.10797465178485052                     0.5051210963941434</t>
  </si>
  <si>
    <t>0.09093489727812556                     0.37311871648440975</t>
  </si>
  <si>
    <t>0.10226088659910362                     0.4959251035327614</t>
  </si>
  <si>
    <t>0.09418104683550144                     0.3720824027975592</t>
  </si>
  <si>
    <t>0.09982169860485764                     0.49883815771972906</t>
  </si>
  <si>
    <t>0.09375861958744112                     0.3727993221201241</t>
  </si>
  <si>
    <t>0.10446003378671513                     0.5089695051382285</t>
  </si>
  <si>
    <t>0.09392234832182535                     0.3758417922702145</t>
  </si>
  <si>
    <t>0.10178015258913437                     0.49448421525376424</t>
  </si>
  <si>
    <t>0.09258587380731961                     0.36645004420895727</t>
  </si>
  <si>
    <t>0.10058158278194591                     0.4969373392241759</t>
  </si>
  <si>
    <t>0.09333959535441846                     0.3682816769744</t>
  </si>
  <si>
    <t>0.10537891612222383                     0.5059726451867393</t>
  </si>
  <si>
    <t>0.09627566704879502                     0.3718276115187932</t>
  </si>
  <si>
    <t>0.10445745410253002                     0.5052359298377673</t>
  </si>
  <si>
    <t>0.09445438714918264                     0.37888498234787515</t>
  </si>
  <si>
    <t>0.10185020327742672                     0.4993007150486551</t>
  </si>
  <si>
    <t>0.0920318355750414                      0.36987992905649963</t>
  </si>
  <si>
    <t>0.10535645611612525                     0.5097987390232759</t>
  </si>
  <si>
    <t>0.09486596090073353                     0.38436241296257234</t>
  </si>
  <si>
    <t>0.10637024918336233                     0.5041788477580461</t>
  </si>
  <si>
    <t>0.09507171356736518                     0.37066139372985896</t>
  </si>
  <si>
    <t>0.10227002006328252                     0.5000141926693424</t>
  </si>
  <si>
    <t>0.0897581484206426                      0.36509207965144375</t>
  </si>
  <si>
    <t>0.10249978816248652                     0.5010602894957661</t>
  </si>
  <si>
    <t>0.08964346136064655                     0.36304332676148715</t>
  </si>
  <si>
    <t>0.10109457697900262                     0.49546267483090617</t>
  </si>
  <si>
    <t>0.09375740828907424                     0.364578712126314</t>
  </si>
  <si>
    <t>0.10631241097400873                     0.5163120127222575</t>
  </si>
  <si>
    <t>0.09053134067161692                     0.36590228780161105</t>
  </si>
  <si>
    <t>0.10197686844116816                     0.5054231197316933</t>
  </si>
  <si>
    <t>0.09117163174092247                     0.3687738003870904</t>
  </si>
  <si>
    <t>0.10234146457670855                     0.49841908089811454</t>
  </si>
  <si>
    <t>0.09154611048667181                     0.37154151733021024</t>
  </si>
  <si>
    <t>0.1011681735060171                      0.49204353213957513</t>
  </si>
  <si>
    <t>0.09066113461396359                     0.36589512734852203</t>
  </si>
  <si>
    <t>0.1045714681150057                      0.5104950637044832</t>
  </si>
  <si>
    <t>0.09199267523520786                     0.36711736733512584</t>
  </si>
  <si>
    <t>0.103120568591358                       0.5031215093600334</t>
  </si>
  <si>
    <t>0.09788442600865956                     0.37221755253718136</t>
  </si>
  <si>
    <t>0.10185942526134582                     0.5030718176038728</t>
  </si>
  <si>
    <t>0.0913653346451522                      0.3647320836307755</t>
  </si>
  <si>
    <t>0.10273145650194324                     0.5092220101577537</t>
  </si>
  <si>
    <t>0.09038617416282364                     0.36708617665967225</t>
  </si>
  <si>
    <t>0.10230131021094266                     0.5009114644669849</t>
  </si>
  <si>
    <t>0.09048575999626224                     0.36885372444562825</t>
  </si>
  <si>
    <t>0.10107908498581503                     0.4971996310986691</t>
  </si>
  <si>
    <t>0.08871502009783037                     0.36824195908478186</t>
  </si>
  <si>
    <t>0.10067241950577735                     0.49935033288913233</t>
  </si>
  <si>
    <t>0.09047429176718084                     0.3751351557895512</t>
  </si>
  <si>
    <t>0.09821804703305807                     0.4984987920335222</t>
  </si>
  <si>
    <t>0.08866953366256923                     0.3664918999001763</t>
  </si>
  <si>
    <t>0.09862644441819939                     0.5020648288519386</t>
  </si>
  <si>
    <t>0.09400494959327776                     0.3815968772292908</t>
  </si>
  <si>
    <t>0.10167187086310431                     0.5044008751114033</t>
  </si>
  <si>
    <t>0.09005466090186422                     0.3726356575661201</t>
  </si>
  <si>
    <t>0.09968475675818932                     0.503207709542295</t>
  </si>
  <si>
    <t>0.0874519445324524                      0.36218286544310124</t>
  </si>
  <si>
    <t>0.10246211096203289                     0.5018220885939905</t>
  </si>
  <si>
    <t>0.0884101677008305                      0.3670051577207156</t>
  </si>
  <si>
    <t>0.10010382348278164                     0.5063766374925636</t>
  </si>
  <si>
    <t>0.08939462084516676                     0.3596418218234316</t>
  </si>
  <si>
    <t>0.10203473102972899                     0.5053412388080193</t>
  </si>
  <si>
    <t>0.08759947388079335                     0.36043643769401185</t>
  </si>
  <si>
    <t>0.09914731116338135                     0.5015418771219854</t>
  </si>
  <si>
    <t>0.08999748324388555                     0.37428275547066897</t>
  </si>
  <si>
    <t>0.09944058030074358                     0.5028825117627002</t>
  </si>
  <si>
    <t>0.0887497657299777                      0.37280571607713153</t>
  </si>
  <si>
    <t>0.099509106128356                       0.5027541513234417</t>
  </si>
  <si>
    <t>0.08772232537190792                     0.36657090664890424</t>
  </si>
  <si>
    <t>0.09880762326809664                     0.5040533979225922</t>
  </si>
  <si>
    <t>0.0899696300190382                      0.37052823260211853</t>
  </si>
  <si>
    <t>0.1025100201026409                      0.5149770160669879</t>
  </si>
  <si>
    <t>0.09060379387545091                     0.3759492824631009</t>
  </si>
  <si>
    <t>0.0992866201288599                      0.49990068264566145</t>
  </si>
  <si>
    <t>0.08864059948945298                     0.3720293166632848</t>
  </si>
  <si>
    <t>0.09961340653202842                     0.49574770755973435</t>
  </si>
  <si>
    <t>0.0899260443673977                      0.36726550828250487</t>
  </si>
  <si>
    <t>0.10177000244879406                     0.4958358323036303</t>
  </si>
  <si>
    <t>0.08867777212636398                     0.37017836193016634</t>
  </si>
  <si>
    <t>0.10048692863293593                     0.5064793566601813</t>
  </si>
  <si>
    <t>0.08978111488965028                     0.3680681735337832</t>
  </si>
  <si>
    <t>0.09747294312545833                     0.5055261524833216</t>
  </si>
  <si>
    <t>0.09066348795750438                     0.3747938923190723</t>
  </si>
  <si>
    <t>0.0991018967833083                      0.510093220220239</t>
  </si>
  <si>
    <t>0.08988629794090992                     0.3734820831821985</t>
  </si>
  <si>
    <t>0.09994184746453766                     0.5063408969095746</t>
  </si>
  <si>
    <t>0.08836453057511846                     0.3675350257864306</t>
  </si>
  <si>
    <t>0.09820038860484616                     0.5014360806754476</t>
  </si>
  <si>
    <t>0.08650992841387722                     0.3707654874762625</t>
  </si>
  <si>
    <t>0.10090577183239655                     0.5087846306008529</t>
  </si>
  <si>
    <t>0.08945279630645155                     0.3683527113008635</t>
  </si>
  <si>
    <t>0.10140017322100507                     0.5027484921889622</t>
  </si>
  <si>
    <t>0.0873314798065361                      0.3635609320211462</t>
  </si>
  <si>
    <t>0.09739575400180961                     0.5005736350853984</t>
  </si>
  <si>
    <t>0.08650115034520385                     0.3635262995401499</t>
  </si>
  <si>
    <t>0.09866195153834453                     0.4997287256444961</t>
  </si>
  <si>
    <t>0.08861799031889982                     0.3774918897204027</t>
  </si>
  <si>
    <t>0.09810753090061894                     0.4969988818345024</t>
  </si>
  <si>
    <t>0.08797836913693863                     0.36812988631876703</t>
  </si>
  <si>
    <t>0.0964613281680124                      0.49548353199520845</t>
  </si>
  <si>
    <t>0.09013784025066364                     0.371374240607447</t>
  </si>
  <si>
    <t>0.09800768850665868                     0.5063385274985456</t>
  </si>
  <si>
    <t>0.08971379205344972                     0.3747987767657117</t>
  </si>
  <si>
    <t>0.09855983461140702                     0.49784642475381463</t>
  </si>
  <si>
    <t>0.0874791345696313                      0.3704751056594075</t>
  </si>
  <si>
    <t>0.10454188828617302                     0.5116356066047599</t>
  </si>
  <si>
    <t>0.08871138612101108                     0.3721385725429814</t>
  </si>
  <si>
    <t>0.09963112846603069                     0.5035181527502798</t>
  </si>
  <si>
    <t>0.08631897779993218                     0.3619310898771889</t>
  </si>
  <si>
    <t>0.0991741787045436                      0.5014633101065132</t>
  </si>
  <si>
    <t>0.08675828362796179                     0.3683368722602058</t>
  </si>
  <si>
    <t>0.09672754821369761                     0.49421308684983606</t>
  </si>
  <si>
    <t>0.0889544332685103                      0.3719935429168052</t>
  </si>
  <si>
    <t>0.09658683836175924                     0.49067043960546397</t>
  </si>
  <si>
    <t>0.08864691452632215                     0.3702914775166851</t>
  </si>
  <si>
    <t>0.10407536890351221                     0.5105267506165786</t>
  </si>
  <si>
    <t>0.08645996280167584                     0.36795698280069233</t>
  </si>
  <si>
    <t>0.09618202731010965                     0.4953338871834706</t>
  </si>
  <si>
    <t>0.08701355185004832                     0.36258370441105425</t>
  </si>
  <si>
    <t>0.09575713073147611                     0.5033019037907926</t>
  </si>
  <si>
    <t>0.09802399412640625                     0.37794114804888446</t>
  </si>
  <si>
    <t>0.09603238709967182                     0.50114504178703</t>
  </si>
  <si>
    <t>0.08882059785459871                     0.3600644109869958</t>
  </si>
  <si>
    <t>0.09744679014432907                     0.5001696975135754</t>
  </si>
  <si>
    <t>0.08820956013433594                     0.36753550860153666</t>
  </si>
  <si>
    <t>0.09860869090700773                     0.5003536735196827</t>
  </si>
  <si>
    <t>0.08806074343028795                     0.3693589947210317</t>
  </si>
  <si>
    <t>0.09669288873730829                     0.4964078937280329</t>
  </si>
  <si>
    <t>0.08575061751512233                     0.3682156606780485</t>
  </si>
  <si>
    <t>0.09675569532097028                     0.5066542270606126</t>
  </si>
  <si>
    <t>0.08597197620137421                     0.3674620800135439</t>
  </si>
  <si>
    <t>0.09807925815360216                     0.5110278170441173</t>
  </si>
  <si>
    <t>0.08610178103502229                     0.36819852445706697</t>
  </si>
  <si>
    <t>0.09574013868347747                     0.5069800146590221</t>
  </si>
  <si>
    <t>0.0868549836619834                      0.3677786441320297</t>
  </si>
  <si>
    <t>0.09794442815347483                     0.5043078792321797</t>
  </si>
  <si>
    <t>0.08630680475834747                     0.36831839496986335</t>
  </si>
  <si>
    <t>0.09756440597295875                     0.5031538409199516</t>
  </si>
  <si>
    <t>0.08946657533323388                     0.376667405099354</t>
  </si>
  <si>
    <t>0.09380155230135183                     0.49863696442895605</t>
  </si>
  <si>
    <t>0.08544802760263183                     0.36773844284621254</t>
  </si>
  <si>
    <t>0.09696114425674662                     0.4975031062668205</t>
  </si>
  <si>
    <t>0.08583127254836274                     0.3655721224692519</t>
  </si>
  <si>
    <t>0.09587425916843638                     0.5036550670929165</t>
  </si>
  <si>
    <t>0.08674856415306327                     0.37151169193242606</t>
  </si>
  <si>
    <t>0.09864939736785859                     0.511258700606975</t>
  </si>
  <si>
    <t>0.08588665013412423                     0.3703792419823381</t>
  </si>
  <si>
    <t>0.09563331659510084                     0.5044925940883248</t>
  </si>
  <si>
    <t>0.08684677940130481                     0.3708085829173526</t>
  </si>
  <si>
    <t>0.09871103794781931                     0.5054469534122263</t>
  </si>
  <si>
    <t>0.09100434910643308                     0.36601507692287477</t>
  </si>
  <si>
    <t>0.09506716686212605                     0.5012805176825649</t>
  </si>
  <si>
    <t>0.08678436489143719                     0.3688631104159628</t>
  </si>
  <si>
    <t>0.10308006781647432                     0.5263994444181193</t>
  </si>
  <si>
    <t>0.0859900946349912                      0.36459607451794374</t>
  </si>
  <si>
    <t>0.09957054780497629                     0.5080883598519315</t>
  </si>
  <si>
    <t>0.08509634453261594                     0.36643410721111813</t>
  </si>
  <si>
    <t>0.09656108285900841                     0.5024136935439517</t>
  </si>
  <si>
    <t>0.08632728697472686                     0.36727993360154737</t>
  </si>
  <si>
    <t>0.09568044454540989                     0.5050435454212179</t>
  </si>
  <si>
    <t>0.08455888539853817                     0.3619538368064656</t>
  </si>
  <si>
    <t>0.09823906623342975                     0.5051447344501552</t>
  </si>
  <si>
    <t>0.08598062860834674                     0.36508166143187276</t>
  </si>
  <si>
    <t>0.09590397962487128                     0.5040819929520604</t>
  </si>
  <si>
    <t>0.08741518709853494                     0.3642627656211165</t>
  </si>
  <si>
    <t>0.09352302430176332                     0.502500719596525</t>
  </si>
  <si>
    <t>0.08505873774731158                     0.36810408897342806</t>
  </si>
  <si>
    <t>0.09402108824972663                     0.49871342740601016</t>
  </si>
  <si>
    <t>0.0858951851181791                      0.3709260200257564</t>
  </si>
  <si>
    <t>0.09495101526723224                     0.49848552651707456</t>
  </si>
  <si>
    <t>0.08443082505368013                     0.36365171533712204</t>
  </si>
  <si>
    <t>0.09378239520936893                     0.5018327121800131</t>
  </si>
  <si>
    <t>0.08353538916280889                     0.36263079506976575</t>
  </si>
  <si>
    <t>0.09454293985713397                     0.5027358107103486</t>
  </si>
  <si>
    <t>0.08473127401070579                     0.36729092401527097</t>
  </si>
  <si>
    <t>0.0945492884873702                      0.5098147213569958</t>
  </si>
  <si>
    <t>0.08489794105288205                     0.3662422075187815</t>
  </si>
  <si>
    <t>0.09456252531416194                     0.5044742447497135</t>
  </si>
  <si>
    <t>0.0833696211294139                      0.3642391680438442</t>
  </si>
  <si>
    <t>0.09435743690129825                     0.5038812812936876</t>
  </si>
  <si>
    <t>0.08407152184965071                     0.3673954073927507</t>
  </si>
  <si>
    <t>0.09365781142211498                     0.5006743387479918</t>
  </si>
  <si>
    <t>0.08476660610502723                     0.36548666891545695</t>
  </si>
  <si>
    <t>0.09486787184219178                     0.5033247603321791</t>
  </si>
  <si>
    <t>0.08790114487639776                     0.3748769340337567</t>
  </si>
  <si>
    <t>0.09599493645754666                     0.5048275826067503</t>
  </si>
  <si>
    <t>0.08441428425288017                     0.3662088197002901</t>
  </si>
  <si>
    <t>0.09355926508535334                     0.4968338922813372</t>
  </si>
  <si>
    <t>0.08498481396577952                     0.36790722725427416</t>
  </si>
  <si>
    <t>0.09634568725424249                     0.5026474420690449</t>
  </si>
  <si>
    <t>0.08275010064469766                     0.35689636926094653</t>
  </si>
  <si>
    <t>0.09418976450150396                     0.5043709841939789</t>
  </si>
  <si>
    <t>0.08403622610744597                     0.36425596823178236</t>
  </si>
  <si>
    <t>0.09400545022552358                     0.5048817172649407</t>
  </si>
  <si>
    <t>0.08368961242666967                     0.3691519220229138</t>
  </si>
  <si>
    <t>0.0930535328624463                      0.503325061829837</t>
  </si>
  <si>
    <t>0.08448617172910308                     0.36204220319395036</t>
  </si>
  <si>
    <t>0.09486109867574585                     0.5108702034936785</t>
  </si>
  <si>
    <t>0.08368066012585174                     0.3636064620189803</t>
  </si>
  <si>
    <t>0.0964478898851027                      0.5002333321852009</t>
  </si>
  <si>
    <t>0.08250924785198996                     0.3593371166088474</t>
  </si>
  <si>
    <t>0.09481539998341335                     0.5009347427474696</t>
  </si>
  <si>
    <t>0.08237616120344923                     0.36331948918193907</t>
  </si>
  <si>
    <t>0.09271134775721952                     0.5026221108224708</t>
  </si>
  <si>
    <t>0.08627556200826887                     0.3701569403575879</t>
  </si>
  <si>
    <t>0.09915567812588498                     0.5088981900987805</t>
  </si>
  <si>
    <t>0.08287879822823149                     0.3595175914838139</t>
  </si>
  <si>
    <t>0.09490935786441926                     0.5031170770876395</t>
  </si>
  <si>
    <t>0.08949202293304297                     0.363783428635497</t>
  </si>
  <si>
    <t>0.09349395057168977                     0.49936300387080196</t>
  </si>
  <si>
    <t>0.08559510224701486                     0.3683122288165978</t>
  </si>
  <si>
    <t>0.09483968877114614                     0.5033778014264783</t>
  </si>
  <si>
    <t>0.08383626294862395                     0.362426463911537</t>
  </si>
  <si>
    <t>0.09528477702748017                     0.5091816119210345</t>
  </si>
  <si>
    <t>0.08301888802260333                     0.36089070026987896</t>
  </si>
  <si>
    <t>0.09324129751899463                     0.50825030949141</t>
  </si>
  <si>
    <t>0.08345194877322268                     0.3606067076973766</t>
  </si>
  <si>
    <t>0.09301145280821119                     0.5135215482262578</t>
  </si>
  <si>
    <t>0.08350998027052778                     0.36097931959512214</t>
  </si>
  <si>
    <t>0.09215651482020248                     0.497616689989445</t>
  </si>
  <si>
    <t>0.0823856566694137                      0.36322916539558525</t>
  </si>
  <si>
    <t>0.09149933810952902                     0.5055721469895266</t>
  </si>
  <si>
    <t>0.08309834349404255                     0.36605938978657104</t>
  </si>
  <si>
    <t>0.09206153193127802                     0.4972992910103557</t>
  </si>
  <si>
    <t>0.08292478208976578                     0.3603722558258462</t>
  </si>
  <si>
    <t>0.09343977040321928                     0.5083664002660065</t>
  </si>
  <si>
    <t>0.0825234144604441                      0.3610655050652425</t>
  </si>
  <si>
    <t>0.09072493177686365                     0.5033755273599441</t>
  </si>
  <si>
    <t>0.08164198020416595                     0.3601979695677987</t>
  </si>
  <si>
    <t>0.09130216425244013                     0.507900828792465</t>
  </si>
  <si>
    <t>0.08370981464284442                     0.3628994345783647</t>
  </si>
  <si>
    <t>0.0919276076558362                      0.49891147914802564</t>
  </si>
  <si>
    <t>0.08342113518288502                     0.3699955252577196</t>
  </si>
  <si>
    <t>0.09385544409191883                     0.5109605926474059</t>
  </si>
  <si>
    <t>0.08238891360368769                     0.36373959878956036</t>
  </si>
  <si>
    <t>0.09092114618233682                     0.5034062763149869</t>
  </si>
  <si>
    <t>0.08216517632065899                     0.358313191217813</t>
  </si>
  <si>
    <t>0.09281195239035993                     0.5027263376080593</t>
  </si>
  <si>
    <t>0.08432483938643899                     0.36336399005139947</t>
  </si>
  <si>
    <t>0.09227525813776107                     0.5048726697471467</t>
  </si>
  <si>
    <t>0.08456964041061985                     0.36438674193607257</t>
  </si>
  <si>
    <t>0.09049189729637015                     0.5027453627614326</t>
  </si>
  <si>
    <t>0.08331264279096781                     0.37112810736760127</t>
  </si>
  <si>
    <t>0.09135829383953162                     0.500659286304419</t>
  </si>
  <si>
    <t>0.0836399045102664                      0.36813367892380866</t>
  </si>
  <si>
    <t>0.0903704152981566                      0.5058249772134024</t>
  </si>
  <si>
    <t>0.08215190749077961                     0.3673780156459448</t>
  </si>
  <si>
    <t>0.09136018215452879                     0.500131303394079</t>
  </si>
  <si>
    <t>0.08204017261056813                     0.362705148077177</t>
  </si>
  <si>
    <t>0.09076379741333562                     0.506843181551021</t>
  </si>
  <si>
    <t>0.08203633310346915                     0.35824672013035097</t>
  </si>
  <si>
    <t>0.09231210349773031                     0.5081473682000474</t>
  </si>
  <si>
    <t>0.08053352988475257                     0.3583754135246448</t>
  </si>
  <si>
    <t>0.0893929536793963                      0.5034446898316013</t>
  </si>
  <si>
    <t>0.08086489430954967                     0.3664183566454015</t>
  </si>
  <si>
    <t>0.09150344391105045                     0.4978455632443351</t>
  </si>
  <si>
    <t>0.08335878521422621                     0.3680919624153164</t>
  </si>
  <si>
    <t>0.09436584708927541                     0.5063117803566903</t>
  </si>
  <si>
    <t>0.08394467464016188                     0.37099675700105567</t>
  </si>
  <si>
    <t>0.09275653167875232                     0.5079432777027065</t>
  </si>
  <si>
    <t>0.08116422371162164                     0.3580475230227631</t>
  </si>
  <si>
    <t>0.09104538305421915                     0.5024641959785017</t>
  </si>
  <si>
    <t>0.08072314706855968                     0.3628078379651837</t>
  </si>
  <si>
    <t>0.09056707942735909                     0.5063388034758706</t>
  </si>
  <si>
    <t>0.08092618455142665                     0.3638448251611429</t>
  </si>
  <si>
    <t>0.08957943885433568                     0.5020983509675965</t>
  </si>
  <si>
    <t>0.08136264147938084                     0.3630913517890051</t>
  </si>
  <si>
    <t>0.08861031971016309                     0.5004268107068228</t>
  </si>
  <si>
    <t>0.08041588436686138                     0.3613760864305335</t>
  </si>
  <si>
    <t>0.09333394122467205                     0.5031993025148026</t>
  </si>
  <si>
    <t>0.08118218175886842                     0.3590593166608391</t>
  </si>
  <si>
    <t>0.08866751027904078                     0.5050797774081723</t>
  </si>
  <si>
    <t>0.08052952627667534                     0.3602693285291157</t>
  </si>
  <si>
    <t>0.09007127216096007                     0.506096076136473</t>
  </si>
  <si>
    <t>0.08035112040108049                     0.3589808669644143</t>
  </si>
  <si>
    <t>0.08826959307498572                     0.5081144052063576</t>
  </si>
  <si>
    <t>0.07989188043581555                     0.36011358854941844</t>
  </si>
  <si>
    <t>0.08830445417807178                     0.4995019076894716</t>
  </si>
  <si>
    <t>0.07907039399687808                     0.3608550307876631</t>
  </si>
  <si>
    <t>0.09004439413414614                     0.5005882259147773</t>
  </si>
  <si>
    <t>0.08439722231881179                     0.3663366692770758</t>
  </si>
  <si>
    <t>0.08870109074758901                     0.49852139703227677</t>
  </si>
  <si>
    <t>0.08070113201309104                     0.35896556579865674</t>
  </si>
  <si>
    <t>0.09246815071964325                     0.5107169776094976</t>
  </si>
  <si>
    <t>0.08061418868501646                     0.3594281838874063</t>
  </si>
  <si>
    <t>0.09135039493531374                     0.502772710509366</t>
  </si>
  <si>
    <t>0.07976286956744232                     0.3614087481297728</t>
  </si>
  <si>
    <t>0.08889338678799269                     0.4944194619277238</t>
  </si>
  <si>
    <t>0.08021209186945709                     0.3630826368446974</t>
  </si>
  <si>
    <t>0.08872723965597616                     0.5029716410222584</t>
  </si>
  <si>
    <t>0.08049469747642898                     0.36469380344139285</t>
  </si>
  <si>
    <t>0.08911857733888578                     0.5024402316999153</t>
  </si>
  <si>
    <t>0.07978421858793044                     0.3617413211680541</t>
  </si>
  <si>
    <t>0.08948211962017652                     0.5036359065099013</t>
  </si>
  <si>
    <t>0.07982621096274617                     0.3602448570075175</t>
  </si>
  <si>
    <t>0.09040141355899245                     0.5065926868891903</t>
  </si>
  <si>
    <t>0.08058937736758477                     0.3586062579507356</t>
  </si>
  <si>
    <t>0.08758958523910926                     0.5045278395829287</t>
  </si>
  <si>
    <t>0.08309668937817657                     0.37161559529299115</t>
  </si>
  <si>
    <t>0.08705255329294932                     0.5053068761584886</t>
  </si>
  <si>
    <t>0.07975962336229911                     0.36012073590115395</t>
  </si>
  <si>
    <t>0.08896195052780619                     0.5051700538720837</t>
  </si>
  <si>
    <t>0.08037808552249082                     0.36111478047856355</t>
  </si>
  <si>
    <t>0.09043677352945914                     0.5112113175584808</t>
  </si>
  <si>
    <t>0.08063731246159139                     0.3583335300351587</t>
  </si>
  <si>
    <t>0.08934566092860975                     0.513086619881058</t>
  </si>
  <si>
    <t>0.08037420816274969                     0.3671953264815697</t>
  </si>
  <si>
    <t>0.08900485123550554                     0.5078909560517966</t>
  </si>
  <si>
    <t>0.0798986175511865                      0.3684768321467923</t>
  </si>
  <si>
    <t>0.08797775736317309                     0.5025017310337251</t>
  </si>
  <si>
    <t>0.0802149969222204                      0.360317055644469</t>
  </si>
  <si>
    <t>0.08912142148332773                     0.5077593397982094</t>
  </si>
  <si>
    <t>0.07950876187949384                     0.3612003404540699</t>
  </si>
  <si>
    <t>0.08864474476825775                     0.4956973191403191</t>
  </si>
  <si>
    <t>0.0818859213952                 0.3700396629230725</t>
  </si>
  <si>
    <t>0.08942143249648724                     0.5046839916042277</t>
  </si>
  <si>
    <t>0.07873693925124375                     0.3615272026198504</t>
  </si>
  <si>
    <t>0.08760444527774049                     0.50083987804094</t>
  </si>
  <si>
    <t>0.07901210916023195                     0.36366758877440153</t>
  </si>
  <si>
    <t>0.0891831223392682                      0.5114898847192006</t>
  </si>
  <si>
    <t>0.08139873195056188                     0.36639853399108874</t>
  </si>
  <si>
    <t>0.08772965542402873                     0.509662014945957</t>
  </si>
  <si>
    <t>0.08012715044675649                     0.3651741374629982</t>
  </si>
  <si>
    <t>0.08607854224648                        0.503068585862915</t>
  </si>
  <si>
    <t>0.082461464177366                       0.3643837641669915</t>
  </si>
  <si>
    <t>0.08961524073336892                     0.5048910411569131</t>
  </si>
  <si>
    <t>0.07957446074184216                     0.3614882217985802</t>
  </si>
  <si>
    <t>0.08656549944775577                     0.5010494057858492</t>
  </si>
  <si>
    <t>0.08046264522203823                     0.36427967187168675</t>
  </si>
  <si>
    <t>0.0861309265845528                      0.5018199735387612</t>
  </si>
  <si>
    <t>0.08079563340154355                     0.36858398064138936</t>
  </si>
  <si>
    <t>0.08885229493090264                     0.5026084785471512</t>
  </si>
  <si>
    <t>0.07948109398639555                     0.3688924720390046</t>
  </si>
  <si>
    <t>0.09393343768768542                     0.5124910146514681</t>
  </si>
  <si>
    <t>0.07920414661089145                     0.3686275458524678</t>
  </si>
  <si>
    <t>0.08624422506495741                     0.49881660335400585</t>
  </si>
  <si>
    <t>0.08089574769962862                     0.3658867475269291</t>
  </si>
  <si>
    <t>0.08759565310640002                     0.5030082063334881</t>
  </si>
  <si>
    <t>0.0795322839681509                      0.36532080150694196</t>
  </si>
  <si>
    <t>0.08813629251632063                     0.5120038131249665</t>
  </si>
  <si>
    <t>0.0783647128563527                      0.3638255391669632</t>
  </si>
  <si>
    <t>0.08683239703171036                     0.5086332934123277</t>
  </si>
  <si>
    <t>0.08159740268255015                     0.3681460083940002</t>
  </si>
  <si>
    <t>0.08616136109267847                     0.4995424967539317</t>
  </si>
  <si>
    <t>0.07849074256974936                     0.3578872810407846</t>
  </si>
  <si>
    <t>0.08915062255401328                     0.5106573641038873</t>
  </si>
  <si>
    <t>0.08011145583255125                     0.36570619722021386</t>
  </si>
  <si>
    <t>0.09154696112188244                     0.5068630077318881</t>
  </si>
  <si>
    <t>0.07820652868717796                     0.3646917681123646</t>
  </si>
  <si>
    <t>0.08583404237542455                     0.5043736402616541</t>
  </si>
  <si>
    <t>0.0781478401347487                      0.3620169218402771</t>
  </si>
  <si>
    <t>0.08559286225842823                     0.5103356687925533</t>
  </si>
  <si>
    <t>0.07897235002697098                     0.36458592710212123</t>
  </si>
  <si>
    <t>0.08670785529313418                     0.5051502042346311</t>
  </si>
  <si>
    <t>0.07988899430954605                     0.36522754239761485</t>
  </si>
  <si>
    <t>0.08961191591219633                     0.5217042619818807</t>
  </si>
  <si>
    <t>0.07999893854525504                     0.3604422820294466</t>
  </si>
  <si>
    <t>0.09488870683321401                     0.5199992644260484</t>
  </si>
  <si>
    <t>0.07869255291977932                     0.3602837598534281</t>
  </si>
  <si>
    <t>0.08849040897110456                     0.5097864283044959</t>
  </si>
  <si>
    <t>0.08363722682112616                     0.3701377112268327</t>
  </si>
  <si>
    <t>0.08429404299044232                     0.5066287323785781</t>
  </si>
  <si>
    <t>0.07812104493667477                     0.36586326397597196</t>
  </si>
  <si>
    <t>0.08695781348976271                     0.5081254916133737</t>
  </si>
  <si>
    <t>0.07896467510521488                     0.36204960913342926</t>
  </si>
  <si>
    <t>0.08697478064896802                     0.5143154620214835</t>
  </si>
  <si>
    <t>0.07939625569481404                     0.3586680508761647</t>
  </si>
  <si>
    <t>0.08661283404011379                     0.5084884387115973</t>
  </si>
  <si>
    <t>0.07773129023933675                     0.3584956232261211</t>
  </si>
  <si>
    <t>0.08700012988053615                     0.5012613579396564</t>
  </si>
  <si>
    <t>0.07982713580869576                     0.3667162557250744</t>
  </si>
  <si>
    <t>0.08602656533068445                     0.5080078895529172</t>
  </si>
  <si>
    <t>0.07743803641125972                     0.3626714197912049</t>
  </si>
  <si>
    <t>0.08498922664656319                     0.5056096839353764</t>
  </si>
  <si>
    <t>0.07868913373677108                     0.35743598240108987</t>
  </si>
  <si>
    <t>0.08512585648719952                     0.501003786824142</t>
  </si>
  <si>
    <t>0.08062241654117133                     0.3668246796630605</t>
  </si>
  <si>
    <t>0.08619287145563821                     0.5021428226895928</t>
  </si>
  <si>
    <t>0.07682765948327089                     0.359769243437532</t>
  </si>
  <si>
    <t>0.08481135976266782                     0.5107131311727927</t>
  </si>
  <si>
    <t>0.07765005183282159                     0.3587162632160983</t>
  </si>
  <si>
    <t>0.08746548751852436                     0.5094858215446811</t>
  </si>
  <si>
    <t>0.0783066047217827                      0.36116511418037917</t>
  </si>
  <si>
    <t>0.08591799881638625                     0.504873776227658</t>
  </si>
  <si>
    <t>0.07840118526665243                     0.36560874169161833</t>
  </si>
  <si>
    <t>0.08404975251725749                     0.5054301454821427</t>
  </si>
  <si>
    <t>0.07693985525564906                     0.3622054004001012</t>
  </si>
  <si>
    <t>0.08421793780828475                     0.5055404831623406</t>
  </si>
  <si>
    <t>0.07962376676421686                     0.3615223862178903</t>
  </si>
  <si>
    <t>0.08312879526697942                     0.5074372462917232</t>
  </si>
  <si>
    <t>0.07611123911856081                     0.35926033893851134</t>
  </si>
  <si>
    <t>0.08656454722251704                     0.5017650796950222</t>
  </si>
  <si>
    <t>0.07989510719876822                     0.359212181917245</t>
  </si>
  <si>
    <t>0.08504669325810464                     0.5031266157154801</t>
  </si>
  <si>
    <t>0.07924212250617595                     0.36706090029577054</t>
  </si>
  <si>
    <t>0.08525643707263332                     0.5096537722798022</t>
  </si>
  <si>
    <t>0.07744145296076071                     0.3643107449922618</t>
  </si>
  <si>
    <t>0.08548107284492515                     0.5143291064215447</t>
  </si>
  <si>
    <t>0.07868573355795593                     0.3651326901661004</t>
  </si>
  <si>
    <t>0.08451158224239977                     0.5141371761827217</t>
  </si>
  <si>
    <t>0.07768986990473728                     0.36178162584227225</t>
  </si>
  <si>
    <t>0.08348703628751702                     0.5125319955284473</t>
  </si>
  <si>
    <t>0.07718054494448019                     0.36652847791535387</t>
  </si>
  <si>
    <t>0.08384490028241207                     0.502005607513161</t>
  </si>
  <si>
    <t>0.07711402551407938                     0.35960188871079746</t>
  </si>
  <si>
    <t>0.08376272317961926                     0.5004549830037766</t>
  </si>
  <si>
    <t>0.07786519731136439                     0.3614611590677797</t>
  </si>
  <si>
    <t>0.08339357310352533                     0.4954118620505222</t>
  </si>
  <si>
    <t>0.07740234838161435                     0.3595251691435505</t>
  </si>
  <si>
    <t>0.08366585919596042                     0.5033847708364227</t>
  </si>
  <si>
    <t>0.08106278975986973                     0.3695941046102017</t>
  </si>
  <si>
    <t>0.0837852200902024                      0.5031585383822782</t>
  </si>
  <si>
    <t>0.07602923372253689                     0.36100631570877856</t>
  </si>
  <si>
    <t>0.08403018057996546                     0.5100821302675504</t>
  </si>
  <si>
    <t>0.07783753754492911                     0.35901636676014637</t>
  </si>
  <si>
    <t>0.08616970444606335                     0.5050328721086227</t>
  </si>
  <si>
    <t>0.07603951542312035                     0.36261930661723063</t>
  </si>
  <si>
    <t>0.08472757093064046                     0.507101262635461</t>
  </si>
  <si>
    <t>0.07668102892190634                     0.36909089186910693</t>
  </si>
  <si>
    <t>0.08437108083052058                     0.5122703455117477</t>
  </si>
  <si>
    <t>0.07821123704452256                     0.36281657557233293</t>
  </si>
  <si>
    <t>0.0844884943546933                      0.5200980417061624</t>
  </si>
  <si>
    <t>0.07945839157254977                     0.36635378897543014</t>
  </si>
  <si>
    <t>0.08386879683966537                     0.5124411351470107</t>
  </si>
  <si>
    <t>0.07718495912961952                     0.35825499490834495</t>
  </si>
  <si>
    <t>0.08275042907594762                     0.50912884383252</t>
  </si>
  <si>
    <t>0.07845595055561233                     0.35988679813010355</t>
  </si>
  <si>
    <t>0.08658874280651939                     0.5156013024637802</t>
  </si>
  <si>
    <t>0.07885583602253582                     0.36523128166266966</t>
  </si>
  <si>
    <t>0.08313705281650731                     0.5123808615683401</t>
  </si>
  <si>
    <t>0.07893288807041682                     0.36169445537193456</t>
  </si>
  <si>
    <t>0.08658294175123807                     0.5140689572478616</t>
  </si>
  <si>
    <t>0.07790415087686242                     0.3625805190831279</t>
  </si>
  <si>
    <t>0.08325436932801228                     0.5051002054096385</t>
  </si>
  <si>
    <t>0.07666562598142465                     0.3590495784387621</t>
  </si>
  <si>
    <t>0.08447144662078498                     0.510016229192565</t>
  </si>
  <si>
    <t>0.07502799196836694                     0.35937781526837087</t>
  </si>
  <si>
    <t>0.08241109852954796                     0.5077802433285779</t>
  </si>
  <si>
    <t>0.07727936883055078                     0.36356470387180884</t>
  </si>
  <si>
    <t>0.08342701680553695                     0.5080564453281462</t>
  </si>
  <si>
    <t>0.07607656823859715                     0.3541150250861451</t>
  </si>
  <si>
    <t>0.08269488036192507                     0.5076675235899337</t>
  </si>
  <si>
    <t>0.07727491888059693                     0.36560580954901645</t>
  </si>
  <si>
    <t>0.08491869290957992                     0.5079220756224362</t>
  </si>
  <si>
    <t>0.07555731919185159                     0.3602040232530661</t>
  </si>
  <si>
    <t>0.08268276156383124                     0.5086136591152456</t>
  </si>
  <si>
    <t>0.0751991731358025                      0.36230389477419545</t>
  </si>
  <si>
    <t>0.08271326212311698                     0.5028283988962038</t>
  </si>
  <si>
    <t>0.07532426380534148                     0.3623462789877525</t>
  </si>
  <si>
    <t>0.08224130012165502                     0.5026103890493319</t>
  </si>
  <si>
    <t>0.07890321101040054                     0.3688447280299495</t>
  </si>
  <si>
    <t>0.0839329937042578                      0.5007988485887757</t>
  </si>
  <si>
    <t>0.0758431080103537                      0.36425578262733804</t>
  </si>
  <si>
    <t>0.08266208378231708                     0.5059305871372006</t>
  </si>
  <si>
    <t>0.07597897079437428                     0.3634291537649543</t>
  </si>
  <si>
    <t>0.08004776038833887                     0.5021313752362128</t>
  </si>
  <si>
    <t>0.07672628486727126                     0.3718706473398221</t>
  </si>
  <si>
    <t>0.08495612908409217                     0.5061787191194476</t>
  </si>
  <si>
    <t>0.07509927374913676                     0.3581155558257734</t>
  </si>
  <si>
    <t>0.08313437534447185                     0.5035406347096223</t>
  </si>
  <si>
    <t>0.07431898716572498                     0.36238326795057396</t>
  </si>
  <si>
    <t>0.08251313400439274                     0.5088734266514658</t>
  </si>
  <si>
    <t>0.0758493007286593                      0.36401159824330104</t>
  </si>
  <si>
    <t>0.08222814463223524                     0.5047821177408922</t>
  </si>
  <si>
    <t>0.0772187836019722                      0.3625013890317937</t>
  </si>
  <si>
    <t>0.08261877818874369                     0.5059954898247546</t>
  </si>
  <si>
    <t>0.07490575283489902                     0.3605686800256859</t>
  </si>
  <si>
    <t>0.08196789905130857                     0.5070719133630069</t>
  </si>
  <si>
    <t>0.07493305340484435                     0.36251007492575676</t>
  </si>
  <si>
    <t>0.08241285613263431                     0.5037778249867524</t>
  </si>
  <si>
    <t>0.08000695792703942                     0.3700284502387938</t>
  </si>
  <si>
    <t>0.08203740434813132                     0.5106250907073406</t>
  </si>
  <si>
    <t>0.07716350770230951                     0.36214114441017964</t>
  </si>
  <si>
    <t>0.08193795651436639                     0.5027596153480766</t>
  </si>
  <si>
    <t>0.07538541626505484                     0.365273604456143</t>
  </si>
  <si>
    <t>0.08114356019722059                     0.5031886237002899</t>
  </si>
  <si>
    <t>0.07639977137509088                     0.3625814037345477</t>
  </si>
  <si>
    <t>0.0824255869758931                      0.5003560640971176</t>
  </si>
  <si>
    <t>0.07778647282149986                     0.3720601282256819</t>
  </si>
  <si>
    <t>0.0816217594224099                      0.5070719442975191</t>
  </si>
  <si>
    <t>0.07451682098946324                     0.3635045357774459</t>
  </si>
  <si>
    <t>0.08322473529636312                     0.5121636475698762</t>
  </si>
  <si>
    <t>0.07538655926227954                     0.3570069988340761</t>
  </si>
  <si>
    <t>0.08179063611715016                     0.5050321818677822</t>
  </si>
  <si>
    <t>0.07465242953534745                     0.35560391497141536</t>
  </si>
  <si>
    <t>0.08223409086234053                     0.5123859487851754</t>
  </si>
  <si>
    <t>0.07472864238931749                     0.3640354300352796</t>
  </si>
  <si>
    <t>0.08164717537820645                     0.5023204737137297</t>
  </si>
  <si>
    <t>0.0737736579261555                      0.36020832828408006</t>
  </si>
  <si>
    <t>0.08346398979018267                     0.5094489357268257</t>
  </si>
  <si>
    <t>0.07880826094441447                     0.3643170432874659</t>
  </si>
  <si>
    <t>0.08117969906374455                     0.5135395111284079</t>
  </si>
  <si>
    <t>0.07604642587743461                     0.3576427878141939</t>
  </si>
  <si>
    <t>0.08276043545083538                     0.5132370075555593</t>
  </si>
  <si>
    <t>0.07596814525490383                     0.35982713285345125</t>
  </si>
  <si>
    <t>0.0826297379625311                      0.5115284908554717</t>
  </si>
  <si>
    <t>0.07372111047273182                     0.3595045833220354</t>
  </si>
  <si>
    <t>0.08081692679576861                     0.512762980514503</t>
  </si>
  <si>
    <t>0.07470042586090378                     0.3553701088406118</t>
  </si>
  <si>
    <t>0.08489381805967802                     0.5068801481806708</t>
  </si>
  <si>
    <t>0.07375123155608516                     0.3592554113529336</t>
  </si>
  <si>
    <t>0.07311621229712989                     0.3564870001703757</t>
  </si>
  <si>
    <t>0.07376896821904246                     0.36021824585627954</t>
  </si>
  <si>
    <t>0.07473719819843616                     0.36742143704522656</t>
  </si>
  <si>
    <t>0.0745812127169596                      0.3697510626586524</t>
  </si>
  <si>
    <t>0.07357727274770924                     0.3626718669803265</t>
  </si>
  <si>
    <t>0.07665832104882578                     0.3680427241938655</t>
  </si>
  <si>
    <t>0.07290308520048824                     0.35791877555571144</t>
  </si>
  <si>
    <t>0.0730534724523406                      0.3577246632542982</t>
  </si>
  <si>
    <t>0.0746166468253725                      0.3558624036753924</t>
  </si>
  <si>
    <t>0.07262433415274935                     0.35912995695582045</t>
  </si>
  <si>
    <t>0.07565799118629642                     0.3647617802492781</t>
  </si>
  <si>
    <t>0.07336919019588091                     0.3619780660093879</t>
  </si>
  <si>
    <t>0.0736307769441511                      0.36111935595543515</t>
  </si>
  <si>
    <t>0.07340574304620304                     0.35898880405608086</t>
  </si>
  <si>
    <t>0.0738309418894234                      0.3602506442867186</t>
  </si>
  <si>
    <t>0.07267470616491264                     0.3553342263512861</t>
  </si>
  <si>
    <t>0.07336805099933623                     0.3628316686642948</t>
  </si>
  <si>
    <t>0.07496527653250343                     0.3657951493278844</t>
  </si>
  <si>
    <t>0.07369063286362394                     0.3638841604531</t>
  </si>
  <si>
    <t>0.07340248339900309                     0.35564777085122823</t>
  </si>
  <si>
    <t>0.07532468648858594                     0.36634771089392654</t>
  </si>
  <si>
    <t>0.0718250192853254                      0.35948968592670844</t>
  </si>
  <si>
    <t>0.07346422974501607                     0.3644919003881802</t>
  </si>
  <si>
    <t>0.07722003934165973                     0.36661795122476476</t>
  </si>
  <si>
    <t>0.07315423443754014                     0.36148811762751903</t>
  </si>
  <si>
    <t>0.07395956199875749                     0.36107928109693943</t>
  </si>
  <si>
    <t>0.07278991597906852                     0.3535637896020369</t>
  </si>
  <si>
    <t>0.07301259873303383                     0.36253752910646286</t>
  </si>
  <si>
    <t>0.07334691727690552                     0.3602917114660665</t>
  </si>
  <si>
    <t>0.07763710343429289                     0.37185837943840555</t>
  </si>
  <si>
    <t>0.07431641984848228                     0.3664125328537644</t>
  </si>
  <si>
    <t>0.07372995938150956                     0.3567321265495114</t>
  </si>
  <si>
    <t>0.07247041017435016                     0.3621885208899245</t>
  </si>
  <si>
    <t>0.07337134401415261                     0.3551857519050117</t>
  </si>
  <si>
    <t>0.07292786601920614                     0.36293023592370366</t>
  </si>
  <si>
    <t>0.07365827419232342                     0.3601864757115661</t>
  </si>
  <si>
    <t>0.07312070790382665                     0.3608739470331941</t>
  </si>
  <si>
    <t>0.07300017808220616                     0.3619431811735703</t>
  </si>
  <si>
    <t>0.0715148418400746                      0.3555014339265759</t>
  </si>
  <si>
    <t>0.07318221478423688                     0.3565563526891504</t>
  </si>
  <si>
    <t>0.07385780814832672                     0.3622501562489052</t>
  </si>
  <si>
    <t>0.0742059380914894                      0.3621277497188086</t>
  </si>
  <si>
    <t>0.07393883963317727                     0.35831098996285904</t>
  </si>
  <si>
    <t>0.07238349056684844                     0.3629047404333076</t>
  </si>
  <si>
    <t>0.0720250405332105                      0.3655358124098596</t>
  </si>
  <si>
    <t>0.0716873136918086                      0.3625936920904182</t>
  </si>
  <si>
    <t>0.07267924112185133                     0.36481010370582095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</si>
</sst>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434343"/>
      <name val="Roboto"/>
    </font>
    <font/>
    <font>
      <sz val="11.0"/>
      <color rgb="FF434343"/>
      <name val="Roboto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theme="1"/>
      <name val="Roboto"/>
    </font>
    <font>
      <sz val="12.0"/>
      <color rgb="FF1F1F1F"/>
      <name val="&quot;Google Sans&quot;"/>
    </font>
    <font>
      <sz val="9.0"/>
      <color rgb="FF1F1F1F"/>
      <name val="&quot;Google Sans&quot;"/>
    </font>
    <font>
      <sz val="12.0"/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4" numFmtId="0" xfId="0" applyFont="1"/>
    <xf borderId="0" fillId="2" fontId="5" numFmtId="0" xfId="0" applyFill="1" applyFont="1"/>
    <xf borderId="4" fillId="0" fontId="6" numFmtId="0" xfId="0" applyAlignment="1" applyBorder="1" applyFont="1">
      <alignment readingOrder="0"/>
    </xf>
    <xf borderId="0" fillId="2" fontId="5" numFmtId="0" xfId="0" applyFont="1"/>
    <xf borderId="0" fillId="0" fontId="7" numFmtId="0" xfId="0" applyAlignment="1" applyFont="1">
      <alignment readingOrder="0"/>
    </xf>
    <xf borderId="4" fillId="0" fontId="8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7" fillId="2" fontId="5" numFmtId="0" xfId="0" applyBorder="1" applyFont="1"/>
    <xf borderId="7" fillId="0" fontId="3" numFmtId="0" xfId="0" applyBorder="1" applyFont="1"/>
    <xf borderId="8" fillId="0" fontId="3" numFmtId="0" xfId="0" applyAlignment="1" applyBorder="1" applyFont="1">
      <alignment readingOrder="0"/>
    </xf>
    <xf borderId="5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Testing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Line!$D$3:$D$202</c:f>
            </c:strRef>
          </c:cat>
          <c:val>
            <c:numRef>
              <c:f>Line!$B$3:$B$202</c:f>
              <c:numCache/>
            </c:numRef>
          </c:val>
          <c:smooth val="1"/>
        </c:ser>
        <c:ser>
          <c:idx val="1"/>
          <c:order val="1"/>
          <c:tx>
            <c:v>Training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Line!$D$3:$D$202</c:f>
            </c:strRef>
          </c:cat>
          <c:val>
            <c:numRef>
              <c:f>Line!$C$3:$C$202</c:f>
              <c:numCache/>
            </c:numRef>
          </c:val>
          <c:smooth val="1"/>
        </c:ser>
        <c:axId val="1074564411"/>
        <c:axId val="835005702"/>
      </c:lineChart>
      <c:catAx>
        <c:axId val="1074564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005702"/>
      </c:catAx>
      <c:valAx>
        <c:axId val="835005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564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Line!$I$3:$I$154</c:f>
            </c:strRef>
          </c:cat>
          <c:val>
            <c:numRef>
              <c:f>Line!$G$3:$G$154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Line!$I$3:$I$154</c:f>
            </c:strRef>
          </c:cat>
          <c:val>
            <c:numRef>
              <c:f>Line!$H$3:$H$154</c:f>
              <c:numCache/>
            </c:numRef>
          </c:val>
          <c:smooth val="1"/>
        </c:ser>
        <c:axId val="1129583456"/>
        <c:axId val="758293793"/>
      </c:lineChart>
      <c:catAx>
        <c:axId val="11295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293793"/>
      </c:catAx>
      <c:valAx>
        <c:axId val="758293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583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Line!$N$3:$N$237</c:f>
            </c:strRef>
          </c:cat>
          <c:val>
            <c:numRef>
              <c:f>Line!$L$3:$L$237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Line!$N$3:$N$237</c:f>
            </c:strRef>
          </c:cat>
          <c:val>
            <c:numRef>
              <c:f>Line!$M$3:$M$237</c:f>
              <c:numCache/>
            </c:numRef>
          </c:val>
          <c:smooth val="1"/>
        </c:ser>
        <c:axId val="1432660214"/>
        <c:axId val="1959913278"/>
      </c:lineChart>
      <c:catAx>
        <c:axId val="143266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913278"/>
      </c:catAx>
      <c:valAx>
        <c:axId val="195991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660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Line!$S$3:$S$281</c:f>
            </c:strRef>
          </c:cat>
          <c:val>
            <c:numRef>
              <c:f>Line!$Q$3:$Q$281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Line!$S$3:$S$281</c:f>
            </c:strRef>
          </c:cat>
          <c:val>
            <c:numRef>
              <c:f>Line!$R$3:$R$281</c:f>
              <c:numCache/>
            </c:numRef>
          </c:val>
          <c:smooth val="1"/>
        </c:ser>
        <c:axId val="582986737"/>
        <c:axId val="396167395"/>
      </c:lineChart>
      <c:catAx>
        <c:axId val="582986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167395"/>
      </c:catAx>
      <c:valAx>
        <c:axId val="396167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986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Line!$D$223:$D$680</c:f>
            </c:strRef>
          </c:cat>
          <c:val>
            <c:numRef>
              <c:f>Line!$B$223:$B$680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Line!$D$223:$D$680</c:f>
            </c:strRef>
          </c:cat>
          <c:val>
            <c:numRef>
              <c:f>Line!$C$223:$C$680</c:f>
              <c:numCache/>
            </c:numRef>
          </c:val>
          <c:smooth val="1"/>
        </c:ser>
        <c:axId val="842379194"/>
        <c:axId val="674051922"/>
      </c:lineChart>
      <c:catAx>
        <c:axId val="842379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051922"/>
      </c:catAx>
      <c:valAx>
        <c:axId val="674051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379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Line!$I$223:$I$676</c:f>
            </c:strRef>
          </c:cat>
          <c:val>
            <c:numRef>
              <c:f>Line!$G$223:$G$676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Line!$I$223:$I$676</c:f>
            </c:strRef>
          </c:cat>
          <c:val>
            <c:numRef>
              <c:f>Line!$H$223:$H$676</c:f>
              <c:numCache/>
            </c:numRef>
          </c:val>
          <c:smooth val="1"/>
        </c:ser>
        <c:axId val="1688471306"/>
        <c:axId val="1686667439"/>
      </c:lineChart>
      <c:catAx>
        <c:axId val="168847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667439"/>
      </c:catAx>
      <c:valAx>
        <c:axId val="1686667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7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Line!$N$302:$N$1129</c:f>
            </c:strRef>
          </c:cat>
          <c:val>
            <c:numRef>
              <c:f>Line!$L$302:$L$1129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Line!$N$302:$N$1129</c:f>
            </c:strRef>
          </c:cat>
          <c:val>
            <c:numRef>
              <c:f>Line!$M$302:$M$1129</c:f>
              <c:numCache/>
            </c:numRef>
          </c:val>
          <c:smooth val="1"/>
        </c:ser>
        <c:axId val="1826974490"/>
        <c:axId val="1907947744"/>
      </c:lineChart>
      <c:catAx>
        <c:axId val="182697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947744"/>
      </c:catAx>
      <c:valAx>
        <c:axId val="1907947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974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Testing and Training Loss v.s. Number of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Line!$S$302:$S$1176</c:f>
            </c:strRef>
          </c:cat>
          <c:val>
            <c:numRef>
              <c:f>Line!$Q$302:$Q$1176</c:f>
              <c:numCache/>
            </c:numRef>
          </c:val>
          <c:smooth val="1"/>
        </c:ser>
        <c:ser>
          <c:idx val="1"/>
          <c:order val="1"/>
          <c:tx>
            <c:v>Testing Loss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Line!$S$302:$S$1176</c:f>
            </c:strRef>
          </c:cat>
          <c:val>
            <c:numRef>
              <c:f>Line!$R$302:$R$1176</c:f>
              <c:numCache/>
            </c:numRef>
          </c:val>
          <c:smooth val="1"/>
        </c:ser>
        <c:axId val="181898080"/>
        <c:axId val="1869217408"/>
      </c:lineChart>
      <c:catAx>
        <c:axId val="1818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217408"/>
      </c:catAx>
      <c:valAx>
        <c:axId val="186921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Rates of Different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98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1085850</xdr:colOff>
      <xdr:row>202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1162050</xdr:colOff>
      <xdr:row>154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942975</xdr:colOff>
      <xdr:row>237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1028700</xdr:colOff>
      <xdr:row>281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1238250</xdr:colOff>
      <xdr:row>680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990600</xdr:colOff>
      <xdr:row>676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942975</xdr:colOff>
      <xdr:row>1129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1028700</xdr:colOff>
      <xdr:row>1176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4" max="4" width="27.63"/>
    <col customWidth="1" min="5" max="5" width="34.63"/>
    <col customWidth="1" min="6" max="6" width="48.5"/>
    <col customWidth="1" min="9" max="9" width="27.63"/>
    <col customWidth="1" min="10" max="10" width="29.0"/>
    <col customWidth="1" min="11" max="11" width="48.5"/>
    <col customWidth="1" min="14" max="14" width="28.13"/>
    <col customWidth="1" min="15" max="15" width="28.88"/>
    <col customWidth="1" min="16" max="16" width="48.5"/>
    <col customWidth="1" min="19" max="19" width="27.63"/>
  </cols>
  <sheetData>
    <row r="1">
      <c r="A1" s="1" t="s">
        <v>0</v>
      </c>
      <c r="B1" s="2"/>
      <c r="C1" s="2"/>
      <c r="D1" s="3"/>
      <c r="E1" s="4"/>
      <c r="F1" s="5" t="s">
        <v>1</v>
      </c>
      <c r="G1" s="2"/>
      <c r="H1" s="2"/>
      <c r="I1" s="3"/>
      <c r="J1" s="6"/>
      <c r="K1" s="5" t="s">
        <v>2</v>
      </c>
      <c r="L1" s="2"/>
      <c r="M1" s="2"/>
      <c r="N1" s="3"/>
      <c r="O1" s="4"/>
      <c r="P1" s="1" t="s">
        <v>3</v>
      </c>
      <c r="Q1" s="2"/>
      <c r="R1" s="2"/>
      <c r="S1" s="3"/>
      <c r="T1" s="4"/>
      <c r="U1" s="4"/>
    </row>
    <row r="2">
      <c r="A2" s="7" t="s">
        <v>4</v>
      </c>
      <c r="B2" s="8" t="s">
        <v>5</v>
      </c>
      <c r="C2" s="8" t="s">
        <v>6</v>
      </c>
      <c r="D2" s="9" t="s">
        <v>7</v>
      </c>
      <c r="E2" s="4"/>
      <c r="F2" s="10" t="s">
        <v>4</v>
      </c>
      <c r="G2" s="11" t="s">
        <v>5</v>
      </c>
      <c r="H2" s="12" t="s">
        <v>6</v>
      </c>
      <c r="I2" s="13" t="s">
        <v>7</v>
      </c>
      <c r="J2" s="6"/>
      <c r="K2" s="10" t="s">
        <v>4</v>
      </c>
      <c r="L2" s="11" t="s">
        <v>5</v>
      </c>
      <c r="M2" s="12" t="s">
        <v>6</v>
      </c>
      <c r="N2" s="13" t="s">
        <v>7</v>
      </c>
      <c r="O2" s="4"/>
      <c r="P2" s="7" t="s">
        <v>4</v>
      </c>
      <c r="Q2" s="8" t="s">
        <v>5</v>
      </c>
      <c r="R2" s="8" t="s">
        <v>6</v>
      </c>
      <c r="S2" s="9" t="s">
        <v>7</v>
      </c>
      <c r="T2" s="4"/>
      <c r="U2" s="4"/>
    </row>
    <row r="3">
      <c r="A3" s="14" t="s">
        <v>8</v>
      </c>
      <c r="B3" s="6">
        <f>IFERROR(__xludf.DUMMYFUNCTION("SPLIT(E, "" "")"),0.528281866529524)</f>
        <v>0.5282818665</v>
      </c>
      <c r="C3" s="6">
        <f>IFERROR(__xludf.DUMMYFUNCTION("""COMPUTED_VALUE"""),0.626156510034677)</f>
        <v>0.62615651</v>
      </c>
      <c r="D3" s="15">
        <v>2.0</v>
      </c>
      <c r="E3" s="4"/>
      <c r="F3" s="14" t="s">
        <v>9</v>
      </c>
      <c r="G3" s="6">
        <f>IFERROR(__xludf.DUMMYFUNCTION("SPLIT(F:F, "" "")"),0.516548514445613)</f>
        <v>0.5165485144</v>
      </c>
      <c r="H3" s="16">
        <f>IFERROR(__xludf.DUMMYFUNCTION("""COMPUTED_VALUE"""),0.605763833340318)</f>
        <v>0.6057638333</v>
      </c>
      <c r="I3" s="15">
        <v>4.0</v>
      </c>
      <c r="J3" s="6"/>
      <c r="K3" s="14" t="s">
        <v>10</v>
      </c>
      <c r="L3" s="17">
        <f>IFERROR(__xludf.DUMMYFUNCTION("SPLIT(K:K, "" "")"),0.539945030325309)</f>
        <v>0.5399450303</v>
      </c>
      <c r="M3" s="4">
        <f>IFERROR(__xludf.DUMMYFUNCTION("""COMPUTED_VALUE"""),0.585790624631359)</f>
        <v>0.5857906246</v>
      </c>
      <c r="N3" s="15">
        <v>4.0</v>
      </c>
      <c r="O3" s="4"/>
      <c r="P3" s="14" t="s">
        <v>11</v>
      </c>
      <c r="Q3" s="4">
        <f>IFERROR(__xludf.DUMMYFUNCTION("SPLIT(P:P, "" "")"),0.492139545635673)</f>
        <v>0.4921395456</v>
      </c>
      <c r="R3" s="4">
        <f>IFERROR(__xludf.DUMMYFUNCTION("""COMPUTED_VALUE"""),0.564202004684122)</f>
        <v>0.5642020047</v>
      </c>
      <c r="S3" s="15">
        <v>8.0</v>
      </c>
      <c r="T3" s="4"/>
      <c r="U3" s="4"/>
    </row>
    <row r="4">
      <c r="A4" s="18" t="s">
        <v>12</v>
      </c>
      <c r="B4" s="19">
        <f>IFERROR(__xludf.DUMMYFUNCTION("SPLIT(E, "" "")"),0.497511777315942)</f>
        <v>0.4975117773</v>
      </c>
      <c r="C4" s="6">
        <f>IFERROR(__xludf.DUMMYFUNCTION("""COMPUTED_VALUE"""),0.620496985589406)</f>
        <v>0.6204969856</v>
      </c>
      <c r="D4" s="15">
        <v>4.0</v>
      </c>
      <c r="E4" s="20"/>
      <c r="F4" s="21" t="s">
        <v>13</v>
      </c>
      <c r="G4" s="17">
        <f>IFERROR(__xludf.DUMMYFUNCTION("SPLIT(F:F, "" "")"),0.474386127732648)</f>
        <v>0.4743861277</v>
      </c>
      <c r="H4" s="16">
        <f>IFERROR(__xludf.DUMMYFUNCTION("""COMPUTED_VALUE"""),0.568959443302779)</f>
        <v>0.5689594433</v>
      </c>
      <c r="I4" s="22">
        <v>8.0</v>
      </c>
      <c r="J4" s="6"/>
      <c r="K4" s="14" t="s">
        <v>14</v>
      </c>
      <c r="L4" s="17">
        <f>IFERROR(__xludf.DUMMYFUNCTION("SPLIT(K:K, "" "")"),0.493083182945417)</f>
        <v>0.4930831829</v>
      </c>
      <c r="M4" s="4">
        <f>IFERROR(__xludf.DUMMYFUNCTION("""COMPUTED_VALUE"""),0.565956456153241)</f>
        <v>0.5659564562</v>
      </c>
      <c r="N4" s="22">
        <v>8.0</v>
      </c>
      <c r="O4" s="4"/>
      <c r="P4" s="14" t="s">
        <v>15</v>
      </c>
      <c r="Q4" s="4">
        <f>IFERROR(__xludf.DUMMYFUNCTION("SPLIT(P:P, "" "")"),0.474726794081836)</f>
        <v>0.4747267941</v>
      </c>
      <c r="R4" s="4">
        <f>IFERROR(__xludf.DUMMYFUNCTION("""COMPUTED_VALUE"""),0.537729129893917)</f>
        <v>0.5377291299</v>
      </c>
      <c r="S4" s="15">
        <v>16.0</v>
      </c>
      <c r="T4" s="4"/>
      <c r="U4" s="4"/>
    </row>
    <row r="5">
      <c r="A5" s="18" t="s">
        <v>16</v>
      </c>
      <c r="B5" s="17">
        <f>IFERROR(__xludf.DUMMYFUNCTION("SPLIT(E, "" "")"),0.485092194091549)</f>
        <v>0.4850921941</v>
      </c>
      <c r="C5" s="6">
        <f>IFERROR(__xludf.DUMMYFUNCTION("""COMPUTED_VALUE"""),0.638896629552674)</f>
        <v>0.6388966296</v>
      </c>
      <c r="D5" s="15">
        <v>6.0</v>
      </c>
      <c r="E5" s="20"/>
      <c r="F5" s="21" t="s">
        <v>17</v>
      </c>
      <c r="G5" s="17">
        <f>IFERROR(__xludf.DUMMYFUNCTION("SPLIT(F:F, "" "")"),0.442137729773576)</f>
        <v>0.4421377298</v>
      </c>
      <c r="H5" s="16">
        <f>IFERROR(__xludf.DUMMYFUNCTION("""COMPUTED_VALUE"""),0.560052967846568)</f>
        <v>0.5600529678</v>
      </c>
      <c r="I5" s="22">
        <v>12.0</v>
      </c>
      <c r="J5" s="6"/>
      <c r="K5" s="14" t="s">
        <v>18</v>
      </c>
      <c r="L5" s="17">
        <f>IFERROR(__xludf.DUMMYFUNCTION("SPLIT(K:K, "" "")"),0.484416281927709)</f>
        <v>0.4844162819</v>
      </c>
      <c r="M5" s="4">
        <f>IFERROR(__xludf.DUMMYFUNCTION("""COMPUTED_VALUE"""),0.561003823729213)</f>
        <v>0.5610038237</v>
      </c>
      <c r="N5" s="22">
        <v>12.0</v>
      </c>
      <c r="O5" s="4"/>
      <c r="P5" s="14" t="s">
        <v>19</v>
      </c>
      <c r="Q5" s="4">
        <f>IFERROR(__xludf.DUMMYFUNCTION("SPLIT(P:P, "" "")"),0.436358848125772)</f>
        <v>0.4363588481</v>
      </c>
      <c r="R5" s="4">
        <f>IFERROR(__xludf.DUMMYFUNCTION("""COMPUTED_VALUE"""),0.511894660326053)</f>
        <v>0.5118946603</v>
      </c>
      <c r="S5" s="15">
        <v>24.0</v>
      </c>
      <c r="T5" s="4"/>
      <c r="U5" s="4"/>
    </row>
    <row r="6">
      <c r="A6" s="18" t="s">
        <v>20</v>
      </c>
      <c r="B6" s="17">
        <f>IFERROR(__xludf.DUMMYFUNCTION("SPLIT(E, "" "")"),0.465015284697472)</f>
        <v>0.4650152847</v>
      </c>
      <c r="C6" s="6">
        <f>IFERROR(__xludf.DUMMYFUNCTION("""COMPUTED_VALUE"""),0.611330971774418)</f>
        <v>0.6113309718</v>
      </c>
      <c r="D6" s="15">
        <v>8.0</v>
      </c>
      <c r="E6" s="20"/>
      <c r="F6" s="21" t="s">
        <v>21</v>
      </c>
      <c r="G6" s="17">
        <f>IFERROR(__xludf.DUMMYFUNCTION("SPLIT(F:F, "" "")"),0.418199189830205)</f>
        <v>0.4181991898</v>
      </c>
      <c r="H6" s="16">
        <f>IFERROR(__xludf.DUMMYFUNCTION("""COMPUTED_VALUE"""),0.540577250071601)</f>
        <v>0.5405772501</v>
      </c>
      <c r="I6" s="22">
        <v>16.0</v>
      </c>
      <c r="J6" s="6"/>
      <c r="K6" s="14" t="s">
        <v>22</v>
      </c>
      <c r="L6" s="17">
        <f>IFERROR(__xludf.DUMMYFUNCTION("SPLIT(K:K, "" "")"),0.462844757388545)</f>
        <v>0.4628447574</v>
      </c>
      <c r="M6" s="4">
        <f>IFERROR(__xludf.DUMMYFUNCTION("""COMPUTED_VALUE"""),0.542236533622022)</f>
        <v>0.5422365336</v>
      </c>
      <c r="N6" s="22">
        <v>16.0</v>
      </c>
      <c r="O6" s="4"/>
      <c r="P6" s="14" t="s">
        <v>23</v>
      </c>
      <c r="Q6" s="4">
        <f>IFERROR(__xludf.DUMMYFUNCTION("SPLIT(P:P, "" "")"),0.416722057208984)</f>
        <v>0.4167220572</v>
      </c>
      <c r="R6" s="4">
        <f>IFERROR(__xludf.DUMMYFUNCTION("""COMPUTED_VALUE"""),0.504381824440257)</f>
        <v>0.5043818244</v>
      </c>
      <c r="S6" s="15">
        <v>32.0</v>
      </c>
      <c r="T6" s="4"/>
      <c r="U6" s="4"/>
    </row>
    <row r="7">
      <c r="A7" s="18" t="s">
        <v>24</v>
      </c>
      <c r="B7" s="19">
        <f>IFERROR(__xludf.DUMMYFUNCTION("SPLIT(E, "" "")"),0.453562120422913)</f>
        <v>0.4535621204</v>
      </c>
      <c r="C7" s="16">
        <f>IFERROR(__xludf.DUMMYFUNCTION("""COMPUTED_VALUE"""),0.609174506505565)</f>
        <v>0.6091745065</v>
      </c>
      <c r="D7" s="15">
        <v>10.0</v>
      </c>
      <c r="E7" s="20"/>
      <c r="F7" s="21" t="s">
        <v>25</v>
      </c>
      <c r="G7" s="17">
        <f>IFERROR(__xludf.DUMMYFUNCTION("SPLIT(F:F, "" "")"),0.415786897349344)</f>
        <v>0.4157868973</v>
      </c>
      <c r="H7" s="16">
        <f>IFERROR(__xludf.DUMMYFUNCTION("""COMPUTED_VALUE"""),0.565937431216627)</f>
        <v>0.5659374312</v>
      </c>
      <c r="I7" s="22">
        <v>20.0</v>
      </c>
      <c r="J7" s="6"/>
      <c r="K7" s="14" t="s">
        <v>26</v>
      </c>
      <c r="L7" s="17">
        <f>IFERROR(__xludf.DUMMYFUNCTION("SPLIT(K:K, "" "")"),0.447746488286085)</f>
        <v>0.4477464883</v>
      </c>
      <c r="M7" s="4">
        <f>IFERROR(__xludf.DUMMYFUNCTION("""COMPUTED_VALUE"""),0.518988642372149)</f>
        <v>0.5189886424</v>
      </c>
      <c r="N7" s="22">
        <v>20.0</v>
      </c>
      <c r="O7" s="4"/>
      <c r="P7" s="14" t="s">
        <v>27</v>
      </c>
      <c r="Q7" s="4">
        <f>IFERROR(__xludf.DUMMYFUNCTION("SPLIT(P:P, "" "")"),0.405645163291553)</f>
        <v>0.4056451633</v>
      </c>
      <c r="R7" s="4">
        <f>IFERROR(__xludf.DUMMYFUNCTION("""COMPUTED_VALUE"""),0.489291552876785)</f>
        <v>0.4892915529</v>
      </c>
      <c r="S7" s="15">
        <v>40.0</v>
      </c>
      <c r="T7" s="4"/>
      <c r="U7" s="4"/>
    </row>
    <row r="8">
      <c r="A8" s="18" t="s">
        <v>28</v>
      </c>
      <c r="B8" s="17">
        <f>IFERROR(__xludf.DUMMYFUNCTION("SPLIT(E, "" "")"),0.431374552693497)</f>
        <v>0.4313745527</v>
      </c>
      <c r="C8" s="6">
        <f>IFERROR(__xludf.DUMMYFUNCTION("""COMPUTED_VALUE"""),0.586671270482836)</f>
        <v>0.5866712705</v>
      </c>
      <c r="D8" s="15">
        <v>12.0</v>
      </c>
      <c r="E8" s="20"/>
      <c r="F8" s="14" t="s">
        <v>29</v>
      </c>
      <c r="G8" s="17">
        <f>IFERROR(__xludf.DUMMYFUNCTION("SPLIT(F:F, "" "")"),0.39878102866893)</f>
        <v>0.3987810287</v>
      </c>
      <c r="H8" s="16">
        <f>IFERROR(__xludf.DUMMYFUNCTION("""COMPUTED_VALUE"""),0.527571721954537)</f>
        <v>0.527571722</v>
      </c>
      <c r="I8" s="22">
        <v>24.0</v>
      </c>
      <c r="J8" s="6"/>
      <c r="K8" s="14" t="s">
        <v>30</v>
      </c>
      <c r="L8" s="17">
        <f>IFERROR(__xludf.DUMMYFUNCTION("SPLIT(K:K, "" "")"),0.414422917036619)</f>
        <v>0.414422917</v>
      </c>
      <c r="M8" s="4">
        <f>IFERROR(__xludf.DUMMYFUNCTION("""COMPUTED_VALUE"""),0.50084752202238)</f>
        <v>0.500847522</v>
      </c>
      <c r="N8" s="22">
        <v>24.0</v>
      </c>
      <c r="O8" s="4"/>
      <c r="P8" s="14" t="s">
        <v>31</v>
      </c>
      <c r="Q8" s="4">
        <f>IFERROR(__xludf.DUMMYFUNCTION("SPLIT(P:P, "" "")"),0.394840774235482)</f>
        <v>0.3948407742</v>
      </c>
      <c r="R8" s="4">
        <f>IFERROR(__xludf.DUMMYFUNCTION("""COMPUTED_VALUE"""),0.488849929268334)</f>
        <v>0.4888499293</v>
      </c>
      <c r="S8" s="15">
        <v>48.0</v>
      </c>
      <c r="T8" s="4"/>
      <c r="U8" s="4"/>
    </row>
    <row r="9">
      <c r="A9" s="18" t="s">
        <v>32</v>
      </c>
      <c r="B9" s="17">
        <f>IFERROR(__xludf.DUMMYFUNCTION("SPLIT(E, "" "")"),0.429397140066413)</f>
        <v>0.4293971401</v>
      </c>
      <c r="C9" s="6">
        <f>IFERROR(__xludf.DUMMYFUNCTION("""COMPUTED_VALUE"""),0.583921460761955)</f>
        <v>0.5839214608</v>
      </c>
      <c r="D9" s="15">
        <v>14.0</v>
      </c>
      <c r="E9" s="23"/>
      <c r="F9" s="21" t="s">
        <v>33</v>
      </c>
      <c r="G9" s="17">
        <f>IFERROR(__xludf.DUMMYFUNCTION("SPLIT(F:F, "" "")"),0.393695228571775)</f>
        <v>0.3936952286</v>
      </c>
      <c r="H9" s="16">
        <f>IFERROR(__xludf.DUMMYFUNCTION("""COMPUTED_VALUE"""),0.550119109328131)</f>
        <v>0.5501191093</v>
      </c>
      <c r="I9" s="22">
        <v>28.0</v>
      </c>
      <c r="J9" s="6"/>
      <c r="K9" s="14" t="s">
        <v>34</v>
      </c>
      <c r="L9" s="17">
        <f>IFERROR(__xludf.DUMMYFUNCTION("SPLIT(K:K, "" "")"),0.409522510528188)</f>
        <v>0.4095225105</v>
      </c>
      <c r="M9" s="4">
        <f>IFERROR(__xludf.DUMMYFUNCTION("""COMPUTED_VALUE"""),0.506339484454605)</f>
        <v>0.5063394845</v>
      </c>
      <c r="N9" s="22">
        <v>28.0</v>
      </c>
      <c r="O9" s="4"/>
      <c r="P9" s="14" t="s">
        <v>35</v>
      </c>
      <c r="Q9" s="4">
        <f>IFERROR(__xludf.DUMMYFUNCTION("SPLIT(P:P, "" "")"),0.384676119429753)</f>
        <v>0.3846761194</v>
      </c>
      <c r="R9" s="4">
        <f>IFERROR(__xludf.DUMMYFUNCTION("""COMPUTED_VALUE"""),0.478943322033673)</f>
        <v>0.478943322</v>
      </c>
      <c r="S9" s="15">
        <v>56.0</v>
      </c>
      <c r="T9" s="4"/>
      <c r="U9" s="4"/>
    </row>
    <row r="10">
      <c r="A10" s="14" t="s">
        <v>36</v>
      </c>
      <c r="B10" s="17">
        <f>IFERROR(__xludf.DUMMYFUNCTION("SPLIT(E, "" "")"),0.413703781614777)</f>
        <v>0.4137037816</v>
      </c>
      <c r="C10" s="6">
        <f>IFERROR(__xludf.DUMMYFUNCTION("""COMPUTED_VALUE"""),0.596890436130079)</f>
        <v>0.5968904361</v>
      </c>
      <c r="D10" s="15">
        <v>16.0</v>
      </c>
      <c r="F10" s="14" t="s">
        <v>37</v>
      </c>
      <c r="G10" s="17">
        <f>IFERROR(__xludf.DUMMYFUNCTION("SPLIT(F:F, "" "")"),0.37147851108129)</f>
        <v>0.3714785111</v>
      </c>
      <c r="H10" s="4">
        <f>IFERROR(__xludf.DUMMYFUNCTION("""COMPUTED_VALUE"""),0.518798376509841)</f>
        <v>0.5187983765</v>
      </c>
      <c r="I10" s="15">
        <v>32.0</v>
      </c>
      <c r="J10" s="6"/>
      <c r="K10" s="14" t="s">
        <v>38</v>
      </c>
      <c r="L10" s="17">
        <f>IFERROR(__xludf.DUMMYFUNCTION("SPLIT(K:K, "" "")"),0.396347109437179)</f>
        <v>0.3963471094</v>
      </c>
      <c r="M10" s="4">
        <f>IFERROR(__xludf.DUMMYFUNCTION("""COMPUTED_VALUE"""),0.491190238503889)</f>
        <v>0.4911902385</v>
      </c>
      <c r="N10" s="15">
        <v>32.0</v>
      </c>
      <c r="O10" s="4"/>
      <c r="P10" s="14" t="s">
        <v>39</v>
      </c>
      <c r="Q10" s="4">
        <f>IFERROR(__xludf.DUMMYFUNCTION("SPLIT(P:P, "" "")"),0.366790348242461)</f>
        <v>0.3667903482</v>
      </c>
      <c r="R10" s="4">
        <f>IFERROR(__xludf.DUMMYFUNCTION("""COMPUTED_VALUE"""),0.46378438438359)</f>
        <v>0.4637843844</v>
      </c>
      <c r="S10" s="15">
        <v>64.0</v>
      </c>
      <c r="T10" s="4"/>
      <c r="U10" s="4"/>
    </row>
    <row r="11">
      <c r="A11" s="14" t="s">
        <v>40</v>
      </c>
      <c r="B11" s="17">
        <f>IFERROR(__xludf.DUMMYFUNCTION("SPLIT(E, "" "")"),0.402318576123181)</f>
        <v>0.4023185761</v>
      </c>
      <c r="C11" s="6">
        <f>IFERROR(__xludf.DUMMYFUNCTION("""COMPUTED_VALUE"""),0.541970070677431)</f>
        <v>0.5419700707</v>
      </c>
      <c r="D11" s="15">
        <v>18.0</v>
      </c>
      <c r="E11" s="6"/>
      <c r="F11" s="14" t="s">
        <v>41</v>
      </c>
      <c r="G11" s="17">
        <f>IFERROR(__xludf.DUMMYFUNCTION("SPLIT(F:F, "" "")"),0.363817065967206)</f>
        <v>0.363817066</v>
      </c>
      <c r="H11" s="4">
        <f>IFERROR(__xludf.DUMMYFUNCTION("""COMPUTED_VALUE"""),0.525309630638627)</f>
        <v>0.5253096306</v>
      </c>
      <c r="I11" s="15">
        <v>36.0</v>
      </c>
      <c r="J11" s="6"/>
      <c r="K11" s="14" t="s">
        <v>42</v>
      </c>
      <c r="L11" s="17">
        <f>IFERROR(__xludf.DUMMYFUNCTION("SPLIT(K:K, "" "")"),0.388910434285889)</f>
        <v>0.3889104343</v>
      </c>
      <c r="M11" s="4">
        <f>IFERROR(__xludf.DUMMYFUNCTION("""COMPUTED_VALUE"""),0.479728087366836)</f>
        <v>0.4797280874</v>
      </c>
      <c r="N11" s="15">
        <v>36.0</v>
      </c>
      <c r="O11" s="4"/>
      <c r="P11" s="14" t="s">
        <v>43</v>
      </c>
      <c r="Q11" s="4">
        <f>IFERROR(__xludf.DUMMYFUNCTION("SPLIT(P:P, "" "")"),0.360854746405496)</f>
        <v>0.3608547464</v>
      </c>
      <c r="R11" s="4">
        <f>IFERROR(__xludf.DUMMYFUNCTION("""COMPUTED_VALUE"""),0.452922237643334)</f>
        <v>0.4529222376</v>
      </c>
      <c r="S11" s="15">
        <v>72.0</v>
      </c>
      <c r="T11" s="4"/>
      <c r="U11" s="4"/>
    </row>
    <row r="12">
      <c r="A12" s="14" t="s">
        <v>44</v>
      </c>
      <c r="B12" s="17">
        <f>IFERROR(__xludf.DUMMYFUNCTION("SPLIT(E, "" "")"),0.403630156350797)</f>
        <v>0.4036301564</v>
      </c>
      <c r="C12" s="4">
        <f>IFERROR(__xludf.DUMMYFUNCTION("""COMPUTED_VALUE"""),0.56192719434891)</f>
        <v>0.5619271943</v>
      </c>
      <c r="D12" s="15">
        <v>20.0</v>
      </c>
      <c r="E12" s="6"/>
      <c r="F12" s="14" t="s">
        <v>45</v>
      </c>
      <c r="G12" s="17">
        <f>IFERROR(__xludf.DUMMYFUNCTION("SPLIT(F:F, "" "")"),0.360882722186319)</f>
        <v>0.3608827222</v>
      </c>
      <c r="H12" s="4">
        <f>IFERROR(__xludf.DUMMYFUNCTION("""COMPUTED_VALUE"""),0.51681145990563)</f>
        <v>0.5168114599</v>
      </c>
      <c r="I12" s="15">
        <v>40.0</v>
      </c>
      <c r="J12" s="4"/>
      <c r="K12" s="14" t="s">
        <v>46</v>
      </c>
      <c r="L12" s="17">
        <f>IFERROR(__xludf.DUMMYFUNCTION("SPLIT(K:K, "" "")"),0.394707545880639)</f>
        <v>0.3947075459</v>
      </c>
      <c r="M12" s="4">
        <f>IFERROR(__xludf.DUMMYFUNCTION("""COMPUTED_VALUE"""),0.50394533044594)</f>
        <v>0.5039453304</v>
      </c>
      <c r="N12" s="15">
        <v>40.0</v>
      </c>
      <c r="O12" s="4"/>
      <c r="P12" s="14" t="s">
        <v>47</v>
      </c>
      <c r="Q12" s="4">
        <f>IFERROR(__xludf.DUMMYFUNCTION("SPLIT(P:P, "" "")"),0.346874315280142)</f>
        <v>0.3468743153</v>
      </c>
      <c r="R12" s="4">
        <f>IFERROR(__xludf.DUMMYFUNCTION("""COMPUTED_VALUE"""),0.44890391322827)</f>
        <v>0.4489039132</v>
      </c>
      <c r="S12" s="15">
        <v>80.0</v>
      </c>
      <c r="T12" s="4"/>
      <c r="U12" s="4"/>
    </row>
    <row r="13">
      <c r="A13" s="14" t="s">
        <v>48</v>
      </c>
      <c r="B13" s="17">
        <f>IFERROR(__xludf.DUMMYFUNCTION("SPLIT(E, "" "")"),0.386238801318696)</f>
        <v>0.3862388013</v>
      </c>
      <c r="C13" s="4">
        <f>IFERROR(__xludf.DUMMYFUNCTION("""COMPUTED_VALUE"""),0.5726408197602)</f>
        <v>0.5726408198</v>
      </c>
      <c r="D13" s="15">
        <v>22.0</v>
      </c>
      <c r="E13" s="6"/>
      <c r="F13" s="14" t="s">
        <v>49</v>
      </c>
      <c r="G13" s="17">
        <f>IFERROR(__xludf.DUMMYFUNCTION("SPLIT(F:F, "" "")"),0.360107998135278)</f>
        <v>0.3601079981</v>
      </c>
      <c r="H13" s="4">
        <f>IFERROR(__xludf.DUMMYFUNCTION("""COMPUTED_VALUE"""),0.533412256266831)</f>
        <v>0.5334122563</v>
      </c>
      <c r="I13" s="15">
        <v>44.0</v>
      </c>
      <c r="J13" s="4"/>
      <c r="K13" s="14" t="s">
        <v>50</v>
      </c>
      <c r="L13" s="17">
        <f>IFERROR(__xludf.DUMMYFUNCTION("SPLIT(K:K, "" "")"),0.367755626813244)</f>
        <v>0.3677556268</v>
      </c>
      <c r="M13" s="4">
        <f>IFERROR(__xludf.DUMMYFUNCTION("""COMPUTED_VALUE"""),0.461950136086787)</f>
        <v>0.4619501361</v>
      </c>
      <c r="N13" s="15">
        <v>44.0</v>
      </c>
      <c r="O13" s="4"/>
      <c r="P13" s="14" t="s">
        <v>51</v>
      </c>
      <c r="Q13" s="4">
        <f>IFERROR(__xludf.DUMMYFUNCTION("SPLIT(P:P, "" "")"),0.351871896400388)</f>
        <v>0.3518718964</v>
      </c>
      <c r="R13" s="4">
        <f>IFERROR(__xludf.DUMMYFUNCTION("""COMPUTED_VALUE"""),0.453866383777862)</f>
        <v>0.4538663838</v>
      </c>
      <c r="S13" s="15">
        <v>88.0</v>
      </c>
      <c r="T13" s="4"/>
      <c r="U13" s="4"/>
    </row>
    <row r="14">
      <c r="A14" s="14" t="s">
        <v>52</v>
      </c>
      <c r="B14" s="17">
        <f>IFERROR(__xludf.DUMMYFUNCTION("SPLIT(E, "" "")"),0.390328783246386)</f>
        <v>0.3903287832</v>
      </c>
      <c r="C14" s="4">
        <f>IFERROR(__xludf.DUMMYFUNCTION("""COMPUTED_VALUE"""),0.558004300086287)</f>
        <v>0.5580043001</v>
      </c>
      <c r="D14" s="15">
        <v>24.0</v>
      </c>
      <c r="E14" s="6"/>
      <c r="F14" s="14" t="s">
        <v>53</v>
      </c>
      <c r="G14" s="19">
        <f>IFERROR(__xludf.DUMMYFUNCTION("SPLIT(F:F, "" "")"),0.34004402219387)</f>
        <v>0.3400440222</v>
      </c>
      <c r="H14" s="4">
        <f>IFERROR(__xludf.DUMMYFUNCTION("""COMPUTED_VALUE"""),0.507496149888733)</f>
        <v>0.5074961499</v>
      </c>
      <c r="I14" s="15">
        <v>48.0</v>
      </c>
      <c r="J14" s="4"/>
      <c r="K14" s="14" t="s">
        <v>54</v>
      </c>
      <c r="L14" s="17">
        <f>IFERROR(__xludf.DUMMYFUNCTION("SPLIT(K:K, "" "")"),0.36238786309658)</f>
        <v>0.3623878631</v>
      </c>
      <c r="M14" s="4">
        <f>IFERROR(__xludf.DUMMYFUNCTION("""COMPUTED_VALUE"""),0.471870998941064)</f>
        <v>0.4718709989</v>
      </c>
      <c r="N14" s="15">
        <v>48.0</v>
      </c>
      <c r="O14" s="4"/>
      <c r="P14" s="14" t="s">
        <v>55</v>
      </c>
      <c r="Q14" s="4">
        <f>IFERROR(__xludf.DUMMYFUNCTION("SPLIT(P:P, "" "")"),0.342934932862152)</f>
        <v>0.3429349329</v>
      </c>
      <c r="R14" s="4">
        <f>IFERROR(__xludf.DUMMYFUNCTION("""COMPUTED_VALUE"""),0.456339892044982)</f>
        <v>0.456339892</v>
      </c>
      <c r="S14" s="15">
        <v>96.0</v>
      </c>
      <c r="T14" s="4"/>
      <c r="U14" s="4"/>
    </row>
    <row r="15">
      <c r="A15" s="14" t="s">
        <v>56</v>
      </c>
      <c r="B15" s="17">
        <f>IFERROR(__xludf.DUMMYFUNCTION("SPLIT(E, "" "")"),0.382679850128875)</f>
        <v>0.3826798501</v>
      </c>
      <c r="C15" s="4">
        <f>IFERROR(__xludf.DUMMYFUNCTION("""COMPUTED_VALUE"""),0.562630554486798)</f>
        <v>0.5626305545</v>
      </c>
      <c r="D15" s="15">
        <v>26.0</v>
      </c>
      <c r="E15" s="6"/>
      <c r="F15" s="14" t="s">
        <v>57</v>
      </c>
      <c r="G15" s="19">
        <f>IFERROR(__xludf.DUMMYFUNCTION("SPLIT(F:F, "" "")"),0.327562367634345)</f>
        <v>0.3275623676</v>
      </c>
      <c r="H15" s="4">
        <f>IFERROR(__xludf.DUMMYFUNCTION("""COMPUTED_VALUE"""),0.500533526050332)</f>
        <v>0.5005335261</v>
      </c>
      <c r="I15" s="15">
        <v>52.0</v>
      </c>
      <c r="J15" s="4"/>
      <c r="K15" s="14" t="s">
        <v>58</v>
      </c>
      <c r="L15" s="17">
        <f>IFERROR(__xludf.DUMMYFUNCTION("SPLIT(K:K, "" "")"),0.356375935405334)</f>
        <v>0.3563759354</v>
      </c>
      <c r="M15" s="4">
        <f>IFERROR(__xludf.DUMMYFUNCTION("""COMPUTED_VALUE"""),0.471007653121663)</f>
        <v>0.4710076531</v>
      </c>
      <c r="N15" s="15">
        <v>52.0</v>
      </c>
      <c r="O15" s="4"/>
      <c r="P15" s="14" t="s">
        <v>59</v>
      </c>
      <c r="Q15" s="4">
        <f>IFERROR(__xludf.DUMMYFUNCTION("SPLIT(P:P, "" "")"),0.339166223089774)</f>
        <v>0.3391662231</v>
      </c>
      <c r="R15" s="4">
        <f>IFERROR(__xludf.DUMMYFUNCTION("""COMPUTED_VALUE"""),0.45163033431062)</f>
        <v>0.4516303343</v>
      </c>
      <c r="S15" s="15">
        <v>104.0</v>
      </c>
      <c r="T15" s="4"/>
      <c r="U15" s="4"/>
    </row>
    <row r="16">
      <c r="A16" s="14" t="s">
        <v>60</v>
      </c>
      <c r="B16" s="17">
        <f>IFERROR(__xludf.DUMMYFUNCTION("SPLIT(E, "" "")"),0.371970844001678)</f>
        <v>0.371970844</v>
      </c>
      <c r="C16" s="4">
        <f>IFERROR(__xludf.DUMMYFUNCTION("""COMPUTED_VALUE"""),0.55015152033138)</f>
        <v>0.5501515203</v>
      </c>
      <c r="D16" s="15">
        <v>28.0</v>
      </c>
      <c r="E16" s="4"/>
      <c r="F16" s="14" t="s">
        <v>61</v>
      </c>
      <c r="G16" s="19">
        <f>IFERROR(__xludf.DUMMYFUNCTION("SPLIT(F:F, "" "")"),0.33528932325751)</f>
        <v>0.3352893233</v>
      </c>
      <c r="H16" s="4">
        <f>IFERROR(__xludf.DUMMYFUNCTION("""COMPUTED_VALUE"""),0.535626803419239)</f>
        <v>0.5356268034</v>
      </c>
      <c r="I16" s="15">
        <v>56.0</v>
      </c>
      <c r="J16" s="4"/>
      <c r="K16" s="14" t="s">
        <v>62</v>
      </c>
      <c r="L16" s="17">
        <f>IFERROR(__xludf.DUMMYFUNCTION("SPLIT(K:K, "" "")"),0.354462504210199)</f>
        <v>0.3544625042</v>
      </c>
      <c r="M16" s="4">
        <f>IFERROR(__xludf.DUMMYFUNCTION("""COMPUTED_VALUE"""),0.467262776287134)</f>
        <v>0.4672627763</v>
      </c>
      <c r="N16" s="15">
        <v>56.0</v>
      </c>
      <c r="O16" s="4"/>
      <c r="P16" s="14" t="s">
        <v>63</v>
      </c>
      <c r="Q16" s="4">
        <f>IFERROR(__xludf.DUMMYFUNCTION("SPLIT(P:P, "" "")"),0.328077698903401)</f>
        <v>0.3280776989</v>
      </c>
      <c r="R16" s="4">
        <f>IFERROR(__xludf.DUMMYFUNCTION("""COMPUTED_VALUE"""),0.438467746205865)</f>
        <v>0.4384677462</v>
      </c>
      <c r="S16" s="15">
        <v>112.0</v>
      </c>
      <c r="T16" s="4"/>
      <c r="U16" s="4"/>
    </row>
    <row r="17">
      <c r="A17" s="14" t="s">
        <v>64</v>
      </c>
      <c r="B17" s="17">
        <f>IFERROR(__xludf.DUMMYFUNCTION("SPLIT(E, "" "")"),0.384318411103776)</f>
        <v>0.3843184111</v>
      </c>
      <c r="C17" s="4">
        <f>IFERROR(__xludf.DUMMYFUNCTION("""COMPUTED_VALUE"""),0.553265361451793)</f>
        <v>0.5532653615</v>
      </c>
      <c r="D17" s="15">
        <v>30.0</v>
      </c>
      <c r="E17" s="4"/>
      <c r="F17" s="14" t="s">
        <v>65</v>
      </c>
      <c r="G17" s="19">
        <f>IFERROR(__xludf.DUMMYFUNCTION("SPLIT(F:F, "" "")"),0.323385952346431)</f>
        <v>0.3233859523</v>
      </c>
      <c r="H17" s="4">
        <f>IFERROR(__xludf.DUMMYFUNCTION("""COMPUTED_VALUE"""),0.515852551215084)</f>
        <v>0.5158525512</v>
      </c>
      <c r="I17" s="15">
        <v>60.0</v>
      </c>
      <c r="J17" s="4"/>
      <c r="K17" s="14" t="s">
        <v>66</v>
      </c>
      <c r="L17" s="17">
        <f>IFERROR(__xludf.DUMMYFUNCTION("SPLIT(K:K, "" "")"),0.339999782171618)</f>
        <v>0.3399997822</v>
      </c>
      <c r="M17" s="4">
        <f>IFERROR(__xludf.DUMMYFUNCTION("""COMPUTED_VALUE"""),0.459976584104449)</f>
        <v>0.4599765841</v>
      </c>
      <c r="N17" s="15">
        <v>60.0</v>
      </c>
      <c r="O17" s="4"/>
      <c r="P17" s="14" t="s">
        <v>67</v>
      </c>
      <c r="Q17" s="4">
        <f>IFERROR(__xludf.DUMMYFUNCTION("SPLIT(P:P, "" "")"),0.321576682864288)</f>
        <v>0.3215766829</v>
      </c>
      <c r="R17" s="4">
        <f>IFERROR(__xludf.DUMMYFUNCTION("""COMPUTED_VALUE"""),0.429755367848965)</f>
        <v>0.4297553678</v>
      </c>
      <c r="S17" s="15">
        <v>120.0</v>
      </c>
      <c r="T17" s="4"/>
      <c r="U17" s="4"/>
    </row>
    <row r="18">
      <c r="A18" s="14" t="s">
        <v>68</v>
      </c>
      <c r="B18" s="17">
        <f>IFERROR(__xludf.DUMMYFUNCTION("SPLIT(E, "" "")"),0.380089966497049)</f>
        <v>0.3800899665</v>
      </c>
      <c r="C18" s="4">
        <f>IFERROR(__xludf.DUMMYFUNCTION("""COMPUTED_VALUE"""),0.549718631107051)</f>
        <v>0.5497186311</v>
      </c>
      <c r="D18" s="15">
        <v>32.0</v>
      </c>
      <c r="E18" s="4"/>
      <c r="F18" s="14" t="s">
        <v>69</v>
      </c>
      <c r="G18" s="19">
        <f>IFERROR(__xludf.DUMMYFUNCTION("SPLIT(F:F, "" "")"),0.316937911870175)</f>
        <v>0.3169379119</v>
      </c>
      <c r="H18" s="4">
        <f>IFERROR(__xludf.DUMMYFUNCTION("""COMPUTED_VALUE"""),0.511223780403941)</f>
        <v>0.5112237804</v>
      </c>
      <c r="I18" s="15">
        <v>64.0</v>
      </c>
      <c r="J18" s="4"/>
      <c r="K18" s="14" t="s">
        <v>70</v>
      </c>
      <c r="L18" s="17">
        <f>IFERROR(__xludf.DUMMYFUNCTION("SPLIT(K:K, "" "")"),0.338239429214584)</f>
        <v>0.3382394292</v>
      </c>
      <c r="M18" s="4">
        <f>IFERROR(__xludf.DUMMYFUNCTION("""COMPUTED_VALUE"""),0.452287582572895)</f>
        <v>0.4522875826</v>
      </c>
      <c r="N18" s="15">
        <v>64.0</v>
      </c>
      <c r="O18" s="4"/>
      <c r="P18" s="14" t="s">
        <v>71</v>
      </c>
      <c r="Q18" s="4">
        <f>IFERROR(__xludf.DUMMYFUNCTION("SPLIT(P:P, "" "")"),0.31470145226384)</f>
        <v>0.3147014523</v>
      </c>
      <c r="R18" s="4">
        <f>IFERROR(__xludf.DUMMYFUNCTION("""COMPUTED_VALUE"""),0.418356542644429)</f>
        <v>0.4183565426</v>
      </c>
      <c r="S18" s="15">
        <v>128.0</v>
      </c>
      <c r="T18" s="4"/>
      <c r="U18" s="4"/>
    </row>
    <row r="19">
      <c r="A19" s="14" t="s">
        <v>72</v>
      </c>
      <c r="B19" s="17">
        <f>IFERROR(__xludf.DUMMYFUNCTION("SPLIT(E, "" "")"),0.35131736822344)</f>
        <v>0.3513173682</v>
      </c>
      <c r="C19" s="4">
        <f>IFERROR(__xludf.DUMMYFUNCTION("""COMPUTED_VALUE"""),0.539901978312651)</f>
        <v>0.5399019783</v>
      </c>
      <c r="D19" s="15">
        <v>34.0</v>
      </c>
      <c r="E19" s="4"/>
      <c r="F19" s="14" t="s">
        <v>73</v>
      </c>
      <c r="G19" s="19">
        <f>IFERROR(__xludf.DUMMYFUNCTION("SPLIT(F:F, "" "")"),0.319390295632733)</f>
        <v>0.3193902956</v>
      </c>
      <c r="H19" s="4">
        <f>IFERROR(__xludf.DUMMYFUNCTION("""COMPUTED_VALUE"""),0.518983448966004)</f>
        <v>0.518983449</v>
      </c>
      <c r="I19" s="15">
        <v>68.0</v>
      </c>
      <c r="J19" s="4"/>
      <c r="K19" s="14" t="s">
        <v>74</v>
      </c>
      <c r="L19" s="17">
        <f>IFERROR(__xludf.DUMMYFUNCTION("SPLIT(K:K, "" "")"),0.345337153507174)</f>
        <v>0.3453371535</v>
      </c>
      <c r="M19" s="4">
        <f>IFERROR(__xludf.DUMMYFUNCTION("""COMPUTED_VALUE"""),0.467021702384888)</f>
        <v>0.4670217024</v>
      </c>
      <c r="N19" s="15">
        <v>68.0</v>
      </c>
      <c r="O19" s="4"/>
      <c r="P19" s="14" t="s">
        <v>75</v>
      </c>
      <c r="Q19" s="4">
        <f>IFERROR(__xludf.DUMMYFUNCTION("SPLIT(P:P, "" "")"),0.307414189339605)</f>
        <v>0.3074141893</v>
      </c>
      <c r="R19" s="4">
        <f>IFERROR(__xludf.DUMMYFUNCTION("""COMPUTED_VALUE"""),0.424354177786887)</f>
        <v>0.4243541778</v>
      </c>
      <c r="S19" s="15">
        <v>136.0</v>
      </c>
      <c r="T19" s="4"/>
      <c r="U19" s="4"/>
    </row>
    <row r="20">
      <c r="A20" s="14" t="s">
        <v>76</v>
      </c>
      <c r="B20" s="17">
        <f>IFERROR(__xludf.DUMMYFUNCTION("SPLIT(E, "" "")"),0.354899911690764)</f>
        <v>0.3548999117</v>
      </c>
      <c r="C20" s="4">
        <f>IFERROR(__xludf.DUMMYFUNCTION("""COMPUTED_VALUE"""),0.554259764367861)</f>
        <v>0.5542597644</v>
      </c>
      <c r="D20" s="15">
        <v>36.0</v>
      </c>
      <c r="E20" s="4"/>
      <c r="F20" s="14" t="s">
        <v>77</v>
      </c>
      <c r="G20" s="19">
        <f>IFERROR(__xludf.DUMMYFUNCTION("SPLIT(F:F, "" "")"),0.305483095859363)</f>
        <v>0.3054830959</v>
      </c>
      <c r="H20" s="4">
        <f>IFERROR(__xludf.DUMMYFUNCTION("""COMPUTED_VALUE"""),0.506062840280272)</f>
        <v>0.5060628403</v>
      </c>
      <c r="I20" s="15">
        <v>72.0</v>
      </c>
      <c r="J20" s="4"/>
      <c r="K20" s="14" t="s">
        <v>78</v>
      </c>
      <c r="L20" s="17">
        <f>IFERROR(__xludf.DUMMYFUNCTION("SPLIT(K:K, "" "")"),0.324888863510923)</f>
        <v>0.3248888635</v>
      </c>
      <c r="M20" s="4">
        <f>IFERROR(__xludf.DUMMYFUNCTION("""COMPUTED_VALUE"""),0.450126541738844)</f>
        <v>0.4501265417</v>
      </c>
      <c r="N20" s="15">
        <v>72.0</v>
      </c>
      <c r="O20" s="4"/>
      <c r="P20" s="14" t="s">
        <v>79</v>
      </c>
      <c r="Q20" s="4">
        <f>IFERROR(__xludf.DUMMYFUNCTION("SPLIT(P:P, "" "")"),0.315681307862562)</f>
        <v>0.3156813079</v>
      </c>
      <c r="R20" s="4">
        <f>IFERROR(__xludf.DUMMYFUNCTION("""COMPUTED_VALUE"""),0.432996753109089)</f>
        <v>0.4329967531</v>
      </c>
      <c r="S20" s="15">
        <v>144.0</v>
      </c>
      <c r="T20" s="4"/>
      <c r="U20" s="4"/>
    </row>
    <row r="21">
      <c r="A21" s="14" t="s">
        <v>80</v>
      </c>
      <c r="B21" s="17">
        <f>IFERROR(__xludf.DUMMYFUNCTION("SPLIT(E, "" "")"),0.356384483610182)</f>
        <v>0.3563844836</v>
      </c>
      <c r="C21" s="4">
        <f>IFERROR(__xludf.DUMMYFUNCTION("""COMPUTED_VALUE"""),0.543317873471484)</f>
        <v>0.5433178735</v>
      </c>
      <c r="D21" s="15">
        <v>38.0</v>
      </c>
      <c r="E21" s="4"/>
      <c r="F21" s="14" t="s">
        <v>81</v>
      </c>
      <c r="G21" s="19">
        <f>IFERROR(__xludf.DUMMYFUNCTION("SPLIT(F:F, "" "")"),0.30193359165038)</f>
        <v>0.3019335917</v>
      </c>
      <c r="H21" s="4">
        <f>IFERROR(__xludf.DUMMYFUNCTION("""COMPUTED_VALUE"""),0.509307189983413)</f>
        <v>0.50930719</v>
      </c>
      <c r="I21" s="15">
        <v>76.0</v>
      </c>
      <c r="J21" s="4"/>
      <c r="K21" s="14" t="s">
        <v>82</v>
      </c>
      <c r="L21" s="17">
        <f>IFERROR(__xludf.DUMMYFUNCTION("SPLIT(K:K, "" "")"),0.316680542874935)</f>
        <v>0.3166805429</v>
      </c>
      <c r="M21" s="4">
        <f>IFERROR(__xludf.DUMMYFUNCTION("""COMPUTED_VALUE"""),0.451210775447675)</f>
        <v>0.4512107754</v>
      </c>
      <c r="N21" s="15">
        <v>76.0</v>
      </c>
      <c r="O21" s="4"/>
      <c r="P21" s="14" t="s">
        <v>83</v>
      </c>
      <c r="Q21" s="4">
        <f>IFERROR(__xludf.DUMMYFUNCTION("SPLIT(P:P, "" "")"),0.329310449599339)</f>
        <v>0.3293104496</v>
      </c>
      <c r="R21" s="4">
        <f>IFERROR(__xludf.DUMMYFUNCTION("""COMPUTED_VALUE"""),0.44414325359011)</f>
        <v>0.4441432536</v>
      </c>
      <c r="S21" s="15">
        <v>152.0</v>
      </c>
      <c r="T21" s="4"/>
      <c r="U21" s="4"/>
    </row>
    <row r="22">
      <c r="A22" s="14" t="s">
        <v>84</v>
      </c>
      <c r="B22" s="17">
        <f>IFERROR(__xludf.DUMMYFUNCTION("SPLIT(E, "" "")"),0.345338484214622)</f>
        <v>0.3453384842</v>
      </c>
      <c r="C22" s="4">
        <f>IFERROR(__xludf.DUMMYFUNCTION("""COMPUTED_VALUE"""),0.563927988339108)</f>
        <v>0.5639279883</v>
      </c>
      <c r="D22" s="15">
        <v>40.0</v>
      </c>
      <c r="E22" s="4"/>
      <c r="F22" s="14" t="s">
        <v>85</v>
      </c>
      <c r="G22" s="19">
        <f>IFERROR(__xludf.DUMMYFUNCTION("SPLIT(F:F, "" "")"),0.29781633799082)</f>
        <v>0.297816338</v>
      </c>
      <c r="H22" s="4">
        <f>IFERROR(__xludf.DUMMYFUNCTION("""COMPUTED_VALUE"""),0.497379326427274)</f>
        <v>0.4973793264</v>
      </c>
      <c r="I22" s="15">
        <v>80.0</v>
      </c>
      <c r="J22" s="4"/>
      <c r="K22" s="14" t="s">
        <v>86</v>
      </c>
      <c r="L22" s="17">
        <f>IFERROR(__xludf.DUMMYFUNCTION("SPLIT(K:K, "" "")"),0.316854643235342)</f>
        <v>0.3168546432</v>
      </c>
      <c r="M22" s="4">
        <f>IFERROR(__xludf.DUMMYFUNCTION("""COMPUTED_VALUE"""),0.444273360413743)</f>
        <v>0.4442733604</v>
      </c>
      <c r="N22" s="15">
        <v>80.0</v>
      </c>
      <c r="O22" s="4"/>
      <c r="P22" s="14" t="s">
        <v>87</v>
      </c>
      <c r="Q22" s="4">
        <f>IFERROR(__xludf.DUMMYFUNCTION("SPLIT(P:P, "" "")"),0.291470245842033)</f>
        <v>0.2914702458</v>
      </c>
      <c r="R22" s="4">
        <f>IFERROR(__xludf.DUMMYFUNCTION("""COMPUTED_VALUE"""),0.409372181854651)</f>
        <v>0.4093721819</v>
      </c>
      <c r="S22" s="15">
        <v>160.0</v>
      </c>
      <c r="T22" s="4"/>
      <c r="U22" s="4"/>
    </row>
    <row r="23">
      <c r="A23" s="14" t="s">
        <v>88</v>
      </c>
      <c r="B23" s="17">
        <f>IFERROR(__xludf.DUMMYFUNCTION("SPLIT(E, "" "")"),0.338314356706)</f>
        <v>0.3383143567</v>
      </c>
      <c r="C23" s="4">
        <f>IFERROR(__xludf.DUMMYFUNCTION("""COMPUTED_VALUE"""),0.54390718815681)</f>
        <v>0.5439071882</v>
      </c>
      <c r="D23" s="15">
        <v>42.0</v>
      </c>
      <c r="E23" s="4"/>
      <c r="F23" s="14" t="s">
        <v>89</v>
      </c>
      <c r="G23" s="17">
        <f>IFERROR(__xludf.DUMMYFUNCTION("SPLIT(F:F, "" "")"),0.298551062456376)</f>
        <v>0.2985510625</v>
      </c>
      <c r="H23" s="4">
        <f>IFERROR(__xludf.DUMMYFUNCTION("""COMPUTED_VALUE"""),0.517407624368705)</f>
        <v>0.5174076244</v>
      </c>
      <c r="I23" s="15">
        <v>84.0</v>
      </c>
      <c r="J23" s="4"/>
      <c r="K23" s="14" t="s">
        <v>90</v>
      </c>
      <c r="L23" s="17">
        <f>IFERROR(__xludf.DUMMYFUNCTION("SPLIT(K:K, "" "")"),0.314746544689988)</f>
        <v>0.3147465447</v>
      </c>
      <c r="M23" s="4">
        <f>IFERROR(__xludf.DUMMYFUNCTION("""COMPUTED_VALUE"""),0.447421789015083)</f>
        <v>0.447421789</v>
      </c>
      <c r="N23" s="15">
        <v>84.0</v>
      </c>
      <c r="O23" s="4"/>
      <c r="P23" s="14" t="s">
        <v>91</v>
      </c>
      <c r="Q23" s="4">
        <f>IFERROR(__xludf.DUMMYFUNCTION("SPLIT(P:P, "" "")"),0.28854452761711)</f>
        <v>0.2885445276</v>
      </c>
      <c r="R23" s="4">
        <f>IFERROR(__xludf.DUMMYFUNCTION("""COMPUTED_VALUE"""),0.409827360566709)</f>
        <v>0.4098273606</v>
      </c>
      <c r="S23" s="15">
        <v>168.0</v>
      </c>
      <c r="T23" s="4"/>
      <c r="U23" s="4"/>
    </row>
    <row r="24">
      <c r="A24" s="14" t="s">
        <v>92</v>
      </c>
      <c r="B24" s="17">
        <f>IFERROR(__xludf.DUMMYFUNCTION("SPLIT(E, "" "")"),0.335699787175479)</f>
        <v>0.3356997872</v>
      </c>
      <c r="C24" s="4">
        <f>IFERROR(__xludf.DUMMYFUNCTION("""COMPUTED_VALUE"""),0.531391398083478)</f>
        <v>0.5313913981</v>
      </c>
      <c r="D24" s="15">
        <v>44.0</v>
      </c>
      <c r="E24" s="4"/>
      <c r="F24" s="14" t="s">
        <v>93</v>
      </c>
      <c r="G24" s="17">
        <f>IFERROR(__xludf.DUMMYFUNCTION("SPLIT(F:F, "" "")"),0.296097023571402)</f>
        <v>0.2960970236</v>
      </c>
      <c r="H24" s="4">
        <f>IFERROR(__xludf.DUMMYFUNCTION("""COMPUTED_VALUE"""),0.495073336978023)</f>
        <v>0.495073337</v>
      </c>
      <c r="I24" s="15">
        <v>88.0</v>
      </c>
      <c r="J24" s="4"/>
      <c r="K24" s="14" t="s">
        <v>94</v>
      </c>
      <c r="L24" s="17">
        <f>IFERROR(__xludf.DUMMYFUNCTION("SPLIT(K:K, "" "")"),0.30632104262367)</f>
        <v>0.3063210426</v>
      </c>
      <c r="M24" s="4">
        <f>IFERROR(__xludf.DUMMYFUNCTION("""COMPUTED_VALUE"""),0.44259876602453)</f>
        <v>0.442598766</v>
      </c>
      <c r="N24" s="15">
        <v>88.0</v>
      </c>
      <c r="O24" s="4"/>
      <c r="P24" s="14" t="s">
        <v>95</v>
      </c>
      <c r="Q24" s="4">
        <f>IFERROR(__xludf.DUMMYFUNCTION("SPLIT(P:P, "" "")"),0.285131503684868)</f>
        <v>0.2851315037</v>
      </c>
      <c r="R24" s="4">
        <f>IFERROR(__xludf.DUMMYFUNCTION("""COMPUTED_VALUE"""),0.399206947172499)</f>
        <v>0.3992069472</v>
      </c>
      <c r="S24" s="15">
        <v>176.0</v>
      </c>
      <c r="T24" s="4"/>
      <c r="U24" s="4"/>
    </row>
    <row r="25">
      <c r="A25" s="14" t="s">
        <v>96</v>
      </c>
      <c r="B25" s="17">
        <f>IFERROR(__xludf.DUMMYFUNCTION("SPLIT(E, "" "")"),0.326442492738879)</f>
        <v>0.3264424927</v>
      </c>
      <c r="C25" s="4">
        <f>IFERROR(__xludf.DUMMYFUNCTION("""COMPUTED_VALUE"""),0.542460834408273)</f>
        <v>0.5424608344</v>
      </c>
      <c r="D25" s="15">
        <v>46.0</v>
      </c>
      <c r="E25" s="4"/>
      <c r="F25" s="14" t="s">
        <v>97</v>
      </c>
      <c r="G25" s="17">
        <f>IFERROR(__xludf.DUMMYFUNCTION("SPLIT(F:F, "" "")"),0.283837529413625)</f>
        <v>0.2838375294</v>
      </c>
      <c r="H25" s="4">
        <f>IFERROR(__xludf.DUMMYFUNCTION("""COMPUTED_VALUE"""),0.49906746706144)</f>
        <v>0.4990674671</v>
      </c>
      <c r="I25" s="15">
        <v>92.0</v>
      </c>
      <c r="J25" s="4"/>
      <c r="K25" s="14" t="s">
        <v>98</v>
      </c>
      <c r="L25" s="17">
        <f>IFERROR(__xludf.DUMMYFUNCTION("SPLIT(K:K, "" "")"),0.301589821358807)</f>
        <v>0.3015898214</v>
      </c>
      <c r="M25" s="4">
        <f>IFERROR(__xludf.DUMMYFUNCTION("""COMPUTED_VALUE"""),0.452976503758128)</f>
        <v>0.4529765038</v>
      </c>
      <c r="N25" s="15">
        <v>92.0</v>
      </c>
      <c r="O25" s="4"/>
      <c r="P25" s="14" t="s">
        <v>99</v>
      </c>
      <c r="Q25" s="4">
        <f>IFERROR(__xludf.DUMMYFUNCTION("SPLIT(P:P, "" "")"),0.280153547549402)</f>
        <v>0.2801535475</v>
      </c>
      <c r="R25" s="4">
        <f>IFERROR(__xludf.DUMMYFUNCTION("""COMPUTED_VALUE"""),0.40736272733677)</f>
        <v>0.4073627273</v>
      </c>
      <c r="S25" s="15">
        <v>184.0</v>
      </c>
      <c r="T25" s="4"/>
      <c r="U25" s="4"/>
    </row>
    <row r="26">
      <c r="A26" s="14" t="s">
        <v>100</v>
      </c>
      <c r="B26" s="17">
        <f>IFERROR(__xludf.DUMMYFUNCTION("SPLIT(E, "" "")"),0.327841888601242)</f>
        <v>0.3278418886</v>
      </c>
      <c r="C26" s="4">
        <f>IFERROR(__xludf.DUMMYFUNCTION("""COMPUTED_VALUE"""),0.53133851341401)</f>
        <v>0.5313385134</v>
      </c>
      <c r="D26" s="15">
        <v>48.0</v>
      </c>
      <c r="E26" s="4"/>
      <c r="F26" s="14" t="s">
        <v>101</v>
      </c>
      <c r="G26" s="17">
        <f>IFERROR(__xludf.DUMMYFUNCTION("SPLIT(F:F, "" "")"),0.285954665346443)</f>
        <v>0.2859546653</v>
      </c>
      <c r="H26" s="4">
        <f>IFERROR(__xludf.DUMMYFUNCTION("""COMPUTED_VALUE"""),0.499442464664545)</f>
        <v>0.4994424647</v>
      </c>
      <c r="I26" s="15">
        <v>96.0</v>
      </c>
      <c r="J26" s="4"/>
      <c r="K26" s="14" t="s">
        <v>102</v>
      </c>
      <c r="L26" s="17">
        <f>IFERROR(__xludf.DUMMYFUNCTION("SPLIT(K:K, "" "")"),0.295507242717358)</f>
        <v>0.2955072427</v>
      </c>
      <c r="M26" s="4">
        <f>IFERROR(__xludf.DUMMYFUNCTION("""COMPUTED_VALUE"""),0.437810162642729)</f>
        <v>0.4378101626</v>
      </c>
      <c r="N26" s="15">
        <v>96.0</v>
      </c>
      <c r="O26" s="4"/>
      <c r="P26" s="14" t="s">
        <v>103</v>
      </c>
      <c r="Q26" s="4">
        <f>IFERROR(__xludf.DUMMYFUNCTION("SPLIT(P:P, "" "")"),0.284751078021112)</f>
        <v>0.284751078</v>
      </c>
      <c r="R26" s="4">
        <f>IFERROR(__xludf.DUMMYFUNCTION("""COMPUTED_VALUE"""),0.39887285214227)</f>
        <v>0.3988728521</v>
      </c>
      <c r="S26" s="15">
        <v>192.0</v>
      </c>
      <c r="T26" s="4"/>
      <c r="U26" s="4"/>
    </row>
    <row r="27">
      <c r="A27" s="14" t="s">
        <v>104</v>
      </c>
      <c r="B27" s="17">
        <f>IFERROR(__xludf.DUMMYFUNCTION("SPLIT(E, "" "")"),0.337598900462412)</f>
        <v>0.3375989005</v>
      </c>
      <c r="C27" s="4">
        <f>IFERROR(__xludf.DUMMYFUNCTION("""COMPUTED_VALUE"""),0.552467082576183)</f>
        <v>0.5524670826</v>
      </c>
      <c r="D27" s="15">
        <v>50.0</v>
      </c>
      <c r="E27" s="4"/>
      <c r="F27" s="14" t="s">
        <v>105</v>
      </c>
      <c r="G27" s="17">
        <f>IFERROR(__xludf.DUMMYFUNCTION("SPLIT(F:F, "" "")"),0.27805932458555)</f>
        <v>0.2780593246</v>
      </c>
      <c r="H27" s="4">
        <f>IFERROR(__xludf.DUMMYFUNCTION("""COMPUTED_VALUE"""),0.487018156830611)</f>
        <v>0.4870181568</v>
      </c>
      <c r="I27" s="15">
        <v>100.0</v>
      </c>
      <c r="J27" s="4"/>
      <c r="K27" s="14" t="s">
        <v>106</v>
      </c>
      <c r="L27" s="17">
        <f>IFERROR(__xludf.DUMMYFUNCTION("SPLIT(K:K, "" "")"),0.286887569770108)</f>
        <v>0.2868875698</v>
      </c>
      <c r="M27" s="4">
        <f>IFERROR(__xludf.DUMMYFUNCTION("""COMPUTED_VALUE"""),0.433586535866428)</f>
        <v>0.4335865359</v>
      </c>
      <c r="N27" s="15">
        <v>100.0</v>
      </c>
      <c r="O27" s="4"/>
      <c r="P27" s="14" t="s">
        <v>107</v>
      </c>
      <c r="Q27" s="4">
        <f>IFERROR(__xludf.DUMMYFUNCTION("SPLIT(P:P, "" "")"),0.294542488752697)</f>
        <v>0.2945424888</v>
      </c>
      <c r="R27" s="4">
        <f>IFERROR(__xludf.DUMMYFUNCTION("""COMPUTED_VALUE"""),0.402153223910448)</f>
        <v>0.4021532239</v>
      </c>
      <c r="S27" s="15">
        <v>200.0</v>
      </c>
      <c r="T27" s="4"/>
      <c r="U27" s="4"/>
    </row>
    <row r="28">
      <c r="A28" s="14" t="s">
        <v>108</v>
      </c>
      <c r="B28" s="17">
        <f>IFERROR(__xludf.DUMMYFUNCTION("SPLIT(E, "" "")"),0.333545295830398)</f>
        <v>0.3335452958</v>
      </c>
      <c r="C28" s="4">
        <f>IFERROR(__xludf.DUMMYFUNCTION("""COMPUTED_VALUE"""),0.547422960547736)</f>
        <v>0.5474229605</v>
      </c>
      <c r="D28" s="15">
        <v>52.0</v>
      </c>
      <c r="E28" s="4"/>
      <c r="F28" s="14" t="s">
        <v>109</v>
      </c>
      <c r="G28" s="17">
        <f>IFERROR(__xludf.DUMMYFUNCTION("SPLIT(F:F, "" "")"),0.277760267602343)</f>
        <v>0.2777602676</v>
      </c>
      <c r="H28" s="4">
        <f>IFERROR(__xludf.DUMMYFUNCTION("""COMPUTED_VALUE"""),0.495429055764348)</f>
        <v>0.4954290558</v>
      </c>
      <c r="I28" s="15">
        <v>104.0</v>
      </c>
      <c r="J28" s="4"/>
      <c r="K28" s="14" t="s">
        <v>110</v>
      </c>
      <c r="L28" s="17">
        <f>IFERROR(__xludf.DUMMYFUNCTION("SPLIT(K:K, "" "")"),0.290095923798725)</f>
        <v>0.2900959238</v>
      </c>
      <c r="M28" s="4">
        <f>IFERROR(__xludf.DUMMYFUNCTION("""COMPUTED_VALUE"""),0.437787111147081)</f>
        <v>0.4377871111</v>
      </c>
      <c r="N28" s="15">
        <v>104.0</v>
      </c>
      <c r="O28" s="4"/>
      <c r="P28" s="14" t="s">
        <v>111</v>
      </c>
      <c r="Q28" s="4">
        <f>IFERROR(__xludf.DUMMYFUNCTION("SPLIT(P:P, "" "")"),0.28164165426875)</f>
        <v>0.2816416543</v>
      </c>
      <c r="R28" s="4">
        <f>IFERROR(__xludf.DUMMYFUNCTION("""COMPUTED_VALUE"""),0.401172302100986)</f>
        <v>0.4011723021</v>
      </c>
      <c r="S28" s="15">
        <v>208.0</v>
      </c>
      <c r="T28" s="4"/>
      <c r="U28" s="4"/>
    </row>
    <row r="29">
      <c r="A29" s="14" t="s">
        <v>112</v>
      </c>
      <c r="B29" s="17">
        <f>IFERROR(__xludf.DUMMYFUNCTION("SPLIT(E, "" "")"),0.318336967084411)</f>
        <v>0.3183369671</v>
      </c>
      <c r="C29" s="4">
        <f>IFERROR(__xludf.DUMMYFUNCTION("""COMPUTED_VALUE"""),0.535445875320992)</f>
        <v>0.5354458753</v>
      </c>
      <c r="D29" s="15">
        <v>54.0</v>
      </c>
      <c r="E29" s="4"/>
      <c r="F29" s="14" t="s">
        <v>113</v>
      </c>
      <c r="G29" s="17">
        <f>IFERROR(__xludf.DUMMYFUNCTION("SPLIT(F:F, "" "")"),0.275097786663243)</f>
        <v>0.2750977867</v>
      </c>
      <c r="H29" s="4">
        <f>IFERROR(__xludf.DUMMYFUNCTION("""COMPUTED_VALUE"""),0.485244417140427)</f>
        <v>0.4852444171</v>
      </c>
      <c r="I29" s="15">
        <v>108.0</v>
      </c>
      <c r="J29" s="4"/>
      <c r="K29" s="14" t="s">
        <v>114</v>
      </c>
      <c r="L29" s="17">
        <f>IFERROR(__xludf.DUMMYFUNCTION("SPLIT(K:K, "" "")"),0.286961682595811)</f>
        <v>0.2869616826</v>
      </c>
      <c r="M29" s="4">
        <f>IFERROR(__xludf.DUMMYFUNCTION("""COMPUTED_VALUE"""),0.432763697300865)</f>
        <v>0.4327636973</v>
      </c>
      <c r="N29" s="15">
        <v>108.0</v>
      </c>
      <c r="O29" s="4"/>
      <c r="P29" s="14" t="s">
        <v>115</v>
      </c>
      <c r="Q29" s="4">
        <f>IFERROR(__xludf.DUMMYFUNCTION("SPLIT(P:P, "" "")"),0.269858311226574)</f>
        <v>0.2698583112</v>
      </c>
      <c r="R29" s="4">
        <f>IFERROR(__xludf.DUMMYFUNCTION("""COMPUTED_VALUE"""),0.386395634445129)</f>
        <v>0.3863956344</v>
      </c>
      <c r="S29" s="15">
        <v>216.0</v>
      </c>
      <c r="T29" s="4"/>
      <c r="U29" s="4"/>
    </row>
    <row r="30">
      <c r="A30" s="14" t="s">
        <v>116</v>
      </c>
      <c r="B30" s="17">
        <f>IFERROR(__xludf.DUMMYFUNCTION("SPLIT(E, "" "")"),0.31572085526982)</f>
        <v>0.3157208553</v>
      </c>
      <c r="C30" s="4">
        <f>IFERROR(__xludf.DUMMYFUNCTION("""COMPUTED_VALUE"""),0.536821041695448)</f>
        <v>0.5368210417</v>
      </c>
      <c r="D30" s="15">
        <v>56.0</v>
      </c>
      <c r="E30" s="4"/>
      <c r="F30" s="14" t="s">
        <v>117</v>
      </c>
      <c r="G30" s="17">
        <f>IFERROR(__xludf.DUMMYFUNCTION("SPLIT(F:F, "" "")"),0.264865557981082)</f>
        <v>0.264865558</v>
      </c>
      <c r="H30" s="4">
        <f>IFERROR(__xludf.DUMMYFUNCTION("""COMPUTED_VALUE"""),0.49689124854912)</f>
        <v>0.4968912485</v>
      </c>
      <c r="I30" s="15">
        <v>112.0</v>
      </c>
      <c r="J30" s="4"/>
      <c r="K30" s="14" t="s">
        <v>118</v>
      </c>
      <c r="L30" s="17">
        <f>IFERROR(__xludf.DUMMYFUNCTION("SPLIT(K:K, "" "")"),0.288383881716518)</f>
        <v>0.2883838817</v>
      </c>
      <c r="M30" s="4">
        <f>IFERROR(__xludf.DUMMYFUNCTION("""COMPUTED_VALUE"""),0.446059475417081)</f>
        <v>0.4460594754</v>
      </c>
      <c r="N30" s="15">
        <v>112.0</v>
      </c>
      <c r="O30" s="4"/>
      <c r="P30" s="14" t="s">
        <v>119</v>
      </c>
      <c r="Q30" s="4">
        <f>IFERROR(__xludf.DUMMYFUNCTION("SPLIT(P:P, "" "")"),0.273372225999111)</f>
        <v>0.273372226</v>
      </c>
      <c r="R30" s="4">
        <f>IFERROR(__xludf.DUMMYFUNCTION("""COMPUTED_VALUE"""),0.394107699327964)</f>
        <v>0.3941076993</v>
      </c>
      <c r="S30" s="15">
        <v>224.0</v>
      </c>
      <c r="T30" s="4"/>
      <c r="U30" s="4"/>
    </row>
    <row r="31">
      <c r="A31" s="14" t="s">
        <v>120</v>
      </c>
      <c r="B31" s="17">
        <f>IFERROR(__xludf.DUMMYFUNCTION("SPLIT(E, "" "")"),0.310296592065538)</f>
        <v>0.3102965921</v>
      </c>
      <c r="C31" s="4">
        <f>IFERROR(__xludf.DUMMYFUNCTION("""COMPUTED_VALUE"""),0.527387523148616)</f>
        <v>0.5273875231</v>
      </c>
      <c r="D31" s="15">
        <v>58.0</v>
      </c>
      <c r="E31" s="4"/>
      <c r="F31" s="14" t="s">
        <v>121</v>
      </c>
      <c r="G31" s="17">
        <f>IFERROR(__xludf.DUMMYFUNCTION("SPLIT(F:F, "" "")"),0.267400945159602)</f>
        <v>0.2674009452</v>
      </c>
      <c r="H31" s="4">
        <f>IFERROR(__xludf.DUMMYFUNCTION("""COMPUTED_VALUE"""),0.499700943050213)</f>
        <v>0.4997009431</v>
      </c>
      <c r="I31" s="15">
        <v>116.0</v>
      </c>
      <c r="J31" s="4"/>
      <c r="K31" s="14" t="s">
        <v>122</v>
      </c>
      <c r="L31" s="17">
        <f>IFERROR(__xludf.DUMMYFUNCTION("SPLIT(K:K, "" "")"),0.282575022669742)</f>
        <v>0.2825750227</v>
      </c>
      <c r="M31" s="4">
        <f>IFERROR(__xludf.DUMMYFUNCTION("""COMPUTED_VALUE"""),0.432863397661701)</f>
        <v>0.4328633977</v>
      </c>
      <c r="N31" s="15">
        <v>116.0</v>
      </c>
      <c r="O31" s="4"/>
      <c r="P31" s="14" t="s">
        <v>123</v>
      </c>
      <c r="Q31" s="4">
        <f>IFERROR(__xludf.DUMMYFUNCTION("SPLIT(P:P, "" "")"),0.265298459880387)</f>
        <v>0.2652984599</v>
      </c>
      <c r="R31" s="4">
        <f>IFERROR(__xludf.DUMMYFUNCTION("""COMPUTED_VALUE"""),0.389124395400673)</f>
        <v>0.3891243954</v>
      </c>
      <c r="S31" s="15">
        <v>232.0</v>
      </c>
      <c r="T31" s="4"/>
      <c r="U31" s="4"/>
    </row>
    <row r="32">
      <c r="A32" s="14" t="s">
        <v>124</v>
      </c>
      <c r="B32" s="17">
        <f>IFERROR(__xludf.DUMMYFUNCTION("SPLIT(E, "" "")"),0.313860988197926)</f>
        <v>0.3138609882</v>
      </c>
      <c r="C32" s="4">
        <f>IFERROR(__xludf.DUMMYFUNCTION("""COMPUTED_VALUE"""),0.532750869664353)</f>
        <v>0.5327508697</v>
      </c>
      <c r="D32" s="15">
        <v>60.0</v>
      </c>
      <c r="E32" s="4"/>
      <c r="F32" s="14" t="s">
        <v>125</v>
      </c>
      <c r="G32" s="17">
        <f>IFERROR(__xludf.DUMMYFUNCTION("SPLIT(F:F, "" "")"),0.260542043008148)</f>
        <v>0.260542043</v>
      </c>
      <c r="H32" s="4">
        <f>IFERROR(__xludf.DUMMYFUNCTION("""COMPUTED_VALUE"""),0.497585540861012)</f>
        <v>0.4975855409</v>
      </c>
      <c r="I32" s="15">
        <v>120.0</v>
      </c>
      <c r="J32" s="4"/>
      <c r="K32" s="14" t="s">
        <v>126</v>
      </c>
      <c r="L32" s="17">
        <f>IFERROR(__xludf.DUMMYFUNCTION("SPLIT(K:K, "" "")"),0.276318614713935)</f>
        <v>0.2763186147</v>
      </c>
      <c r="M32" s="4">
        <f>IFERROR(__xludf.DUMMYFUNCTION("""COMPUTED_VALUE"""),0.438146834196339)</f>
        <v>0.4381468342</v>
      </c>
      <c r="N32" s="15">
        <v>120.0</v>
      </c>
      <c r="O32" s="4"/>
      <c r="P32" s="14" t="s">
        <v>127</v>
      </c>
      <c r="Q32" s="4">
        <f>IFERROR(__xludf.DUMMYFUNCTION("SPLIT(P:P, "" "")"),0.262691694055882)</f>
        <v>0.2626916941</v>
      </c>
      <c r="R32" s="4">
        <f>IFERROR(__xludf.DUMMYFUNCTION("""COMPUTED_VALUE"""),0.381943427029311)</f>
        <v>0.381943427</v>
      </c>
      <c r="S32" s="15">
        <v>240.0</v>
      </c>
      <c r="T32" s="4"/>
      <c r="U32" s="4"/>
    </row>
    <row r="33">
      <c r="A33" s="14" t="s">
        <v>128</v>
      </c>
      <c r="B33" s="17">
        <f>IFERROR(__xludf.DUMMYFUNCTION("SPLIT(E, "" "")"),0.311846220168698)</f>
        <v>0.3118462202</v>
      </c>
      <c r="C33" s="4">
        <f>IFERROR(__xludf.DUMMYFUNCTION("""COMPUTED_VALUE"""),0.538673457212428)</f>
        <v>0.5386734572</v>
      </c>
      <c r="D33" s="15">
        <v>62.0</v>
      </c>
      <c r="E33" s="4"/>
      <c r="F33" s="14" t="s">
        <v>129</v>
      </c>
      <c r="G33" s="17">
        <f>IFERROR(__xludf.DUMMYFUNCTION("SPLIT(F:F, "" "")"),0.255023123765413)</f>
        <v>0.2550231238</v>
      </c>
      <c r="H33" s="4">
        <f>IFERROR(__xludf.DUMMYFUNCTION("""COMPUTED_VALUE"""),0.498847111566479)</f>
        <v>0.4988471116</v>
      </c>
      <c r="I33" s="15">
        <v>124.0</v>
      </c>
      <c r="J33" s="4"/>
      <c r="K33" s="14" t="s">
        <v>130</v>
      </c>
      <c r="L33" s="17">
        <f>IFERROR(__xludf.DUMMYFUNCTION("SPLIT(K:K, "" "")"),0.274103156635946)</f>
        <v>0.2741031566</v>
      </c>
      <c r="M33" s="4">
        <f>IFERROR(__xludf.DUMMYFUNCTION("""COMPUTED_VALUE"""),0.43711706402684)</f>
        <v>0.437117064</v>
      </c>
      <c r="N33" s="15">
        <v>124.0</v>
      </c>
      <c r="O33" s="4"/>
      <c r="P33" s="14" t="s">
        <v>131</v>
      </c>
      <c r="Q33" s="4">
        <f>IFERROR(__xludf.DUMMYFUNCTION("SPLIT(P:P, "" "")"),0.257678066081418)</f>
        <v>0.2576780661</v>
      </c>
      <c r="R33" s="4">
        <f>IFERROR(__xludf.DUMMYFUNCTION("""COMPUTED_VALUE"""),0.381029019086622)</f>
        <v>0.3810290191</v>
      </c>
      <c r="S33" s="15">
        <v>248.0</v>
      </c>
      <c r="T33" s="4"/>
      <c r="U33" s="4"/>
    </row>
    <row r="34">
      <c r="A34" s="14" t="s">
        <v>132</v>
      </c>
      <c r="B34" s="17">
        <f>IFERROR(__xludf.DUMMYFUNCTION("SPLIT(E, "" "")"),0.324017748139278)</f>
        <v>0.3240177481</v>
      </c>
      <c r="C34" s="4">
        <f>IFERROR(__xludf.DUMMYFUNCTION("""COMPUTED_VALUE"""),0.557207180409693)</f>
        <v>0.5572071804</v>
      </c>
      <c r="D34" s="15">
        <v>64.0</v>
      </c>
      <c r="E34" s="4"/>
      <c r="F34" s="14" t="s">
        <v>133</v>
      </c>
      <c r="G34" s="17">
        <f>IFERROR(__xludf.DUMMYFUNCTION("SPLIT(F:F, "" "")"),0.255078179247514)</f>
        <v>0.2550781792</v>
      </c>
      <c r="H34" s="4">
        <f>IFERROR(__xludf.DUMMYFUNCTION("""COMPUTED_VALUE"""),0.504101255180249)</f>
        <v>0.5041012552</v>
      </c>
      <c r="I34" s="15">
        <v>128.0</v>
      </c>
      <c r="J34" s="4"/>
      <c r="K34" s="14" t="s">
        <v>134</v>
      </c>
      <c r="L34" s="17">
        <f>IFERROR(__xludf.DUMMYFUNCTION("SPLIT(K:K, "" "")"),0.272115065152202)</f>
        <v>0.2721150652</v>
      </c>
      <c r="M34" s="4">
        <f>IFERROR(__xludf.DUMMYFUNCTION("""COMPUTED_VALUE"""),0.424730868438072)</f>
        <v>0.4247308684</v>
      </c>
      <c r="N34" s="15">
        <v>128.0</v>
      </c>
      <c r="O34" s="4"/>
      <c r="P34" s="14" t="s">
        <v>135</v>
      </c>
      <c r="Q34" s="4">
        <f>IFERROR(__xludf.DUMMYFUNCTION("SPLIT(P:P, "" "")"),0.258173742458408)</f>
        <v>0.2581737425</v>
      </c>
      <c r="R34" s="4">
        <f>IFERROR(__xludf.DUMMYFUNCTION("""COMPUTED_VALUE"""),0.372997233612565)</f>
        <v>0.3729972336</v>
      </c>
      <c r="S34" s="15">
        <v>256.0</v>
      </c>
      <c r="T34" s="4"/>
      <c r="U34" s="4"/>
    </row>
    <row r="35">
      <c r="A35" s="14" t="s">
        <v>136</v>
      </c>
      <c r="B35" s="17">
        <f>IFERROR(__xludf.DUMMYFUNCTION("SPLIT(E, "" "")"),0.299683271917234)</f>
        <v>0.2996832719</v>
      </c>
      <c r="C35" s="4">
        <f>IFERROR(__xludf.DUMMYFUNCTION("""COMPUTED_VALUE"""),0.548040762236458)</f>
        <v>0.5480407622</v>
      </c>
      <c r="D35" s="15">
        <v>66.0</v>
      </c>
      <c r="E35" s="4"/>
      <c r="F35" s="14" t="s">
        <v>137</v>
      </c>
      <c r="G35" s="17">
        <f>IFERROR(__xludf.DUMMYFUNCTION("SPLIT(F:F, "" "")"),0.252116797361505)</f>
        <v>0.2521167974</v>
      </c>
      <c r="H35" s="4">
        <f>IFERROR(__xludf.DUMMYFUNCTION("""COMPUTED_VALUE"""),0.49429129484262)</f>
        <v>0.4942912948</v>
      </c>
      <c r="I35" s="15">
        <v>132.0</v>
      </c>
      <c r="J35" s="4"/>
      <c r="K35" s="14" t="s">
        <v>138</v>
      </c>
      <c r="L35" s="17">
        <f>IFERROR(__xludf.DUMMYFUNCTION("SPLIT(K:K, "" "")"),0.265920335666423)</f>
        <v>0.2659203357</v>
      </c>
      <c r="M35" s="4">
        <f>IFERROR(__xludf.DUMMYFUNCTION("""COMPUTED_VALUE"""),0.424748524349776)</f>
        <v>0.4247485243</v>
      </c>
      <c r="N35" s="15">
        <v>132.0</v>
      </c>
      <c r="O35" s="4"/>
      <c r="P35" s="14" t="s">
        <v>139</v>
      </c>
      <c r="Q35" s="4">
        <f>IFERROR(__xludf.DUMMYFUNCTION("SPLIT(P:P, "" "")"),0.255481147824841)</f>
        <v>0.2554811478</v>
      </c>
      <c r="R35" s="4">
        <f>IFERROR(__xludf.DUMMYFUNCTION("""COMPUTED_VALUE"""),0.380364892625471)</f>
        <v>0.3803648926</v>
      </c>
      <c r="S35" s="15">
        <v>264.0</v>
      </c>
      <c r="T35" s="4"/>
      <c r="U35" s="4"/>
    </row>
    <row r="36">
      <c r="A36" s="14" t="s">
        <v>140</v>
      </c>
      <c r="B36" s="17">
        <f>IFERROR(__xludf.DUMMYFUNCTION("SPLIT(E, "" "")"),0.301484762492844)</f>
        <v>0.3014847625</v>
      </c>
      <c r="C36" s="4">
        <f>IFERROR(__xludf.DUMMYFUNCTION("""COMPUTED_VALUE"""),0.522942140324601)</f>
        <v>0.5229421403</v>
      </c>
      <c r="D36" s="15">
        <v>68.0</v>
      </c>
      <c r="E36" s="4"/>
      <c r="F36" s="14" t="s">
        <v>141</v>
      </c>
      <c r="G36" s="17">
        <f>IFERROR(__xludf.DUMMYFUNCTION("SPLIT(F:F, "" "")"),0.248057985149931)</f>
        <v>0.2480579851</v>
      </c>
      <c r="H36" s="4">
        <f>IFERROR(__xludf.DUMMYFUNCTION("""COMPUTED_VALUE"""),0.486896590597801)</f>
        <v>0.4868965906</v>
      </c>
      <c r="I36" s="15">
        <v>136.0</v>
      </c>
      <c r="J36" s="4"/>
      <c r="K36" s="14" t="s">
        <v>142</v>
      </c>
      <c r="L36" s="17">
        <f>IFERROR(__xludf.DUMMYFUNCTION("SPLIT(K:K, "" "")"),0.255536092942504)</f>
        <v>0.2555360929</v>
      </c>
      <c r="M36" s="4">
        <f>IFERROR(__xludf.DUMMYFUNCTION("""COMPUTED_VALUE"""),0.413048306752638)</f>
        <v>0.4130483068</v>
      </c>
      <c r="N36" s="15">
        <v>136.0</v>
      </c>
      <c r="O36" s="4"/>
      <c r="P36" s="14" t="s">
        <v>143</v>
      </c>
      <c r="Q36" s="4">
        <f>IFERROR(__xludf.DUMMYFUNCTION("SPLIT(P:P, "" "")"),0.252276420976564)</f>
        <v>0.252276421</v>
      </c>
      <c r="R36" s="4">
        <f>IFERROR(__xludf.DUMMYFUNCTION("""COMPUTED_VALUE"""),0.372592854973043)</f>
        <v>0.372592855</v>
      </c>
      <c r="S36" s="15">
        <v>272.0</v>
      </c>
      <c r="T36" s="4"/>
      <c r="U36" s="4"/>
    </row>
    <row r="37">
      <c r="A37" s="14" t="s">
        <v>144</v>
      </c>
      <c r="B37" s="17">
        <f>IFERROR(__xludf.DUMMYFUNCTION("SPLIT(E, "" "")"),0.298727865768883)</f>
        <v>0.2987278658</v>
      </c>
      <c r="C37" s="4">
        <f>IFERROR(__xludf.DUMMYFUNCTION("""COMPUTED_VALUE"""),0.559115261575251)</f>
        <v>0.5591152616</v>
      </c>
      <c r="D37" s="15">
        <v>70.0</v>
      </c>
      <c r="E37" s="4"/>
      <c r="F37" s="14" t="s">
        <v>145</v>
      </c>
      <c r="G37" s="17">
        <f>IFERROR(__xludf.DUMMYFUNCTION("SPLIT(F:F, "" "")"),0.250334025280225)</f>
        <v>0.2503340253</v>
      </c>
      <c r="H37" s="4">
        <f>IFERROR(__xludf.DUMMYFUNCTION("""COMPUTED_VALUE"""),0.506814655975362)</f>
        <v>0.506814656</v>
      </c>
      <c r="I37" s="15">
        <v>140.0</v>
      </c>
      <c r="J37" s="4"/>
      <c r="K37" s="14" t="s">
        <v>146</v>
      </c>
      <c r="L37" s="17">
        <f>IFERROR(__xludf.DUMMYFUNCTION("SPLIT(K:K, "" "")"),0.264773718506729)</f>
        <v>0.2647737185</v>
      </c>
      <c r="M37" s="4">
        <f>IFERROR(__xludf.DUMMYFUNCTION("""COMPUTED_VALUE"""),0.432713002950805)</f>
        <v>0.432713003</v>
      </c>
      <c r="N37" s="15">
        <v>140.0</v>
      </c>
      <c r="O37" s="4"/>
      <c r="P37" s="14" t="s">
        <v>147</v>
      </c>
      <c r="Q37" s="4">
        <f>IFERROR(__xludf.DUMMYFUNCTION("SPLIT(P:P, "" "")"),0.24773253746906)</f>
        <v>0.2477325375</v>
      </c>
      <c r="R37" s="4">
        <f>IFERROR(__xludf.DUMMYFUNCTION("""COMPUTED_VALUE"""),0.372359577690509)</f>
        <v>0.3723595777</v>
      </c>
      <c r="S37" s="15">
        <v>280.0</v>
      </c>
      <c r="T37" s="4"/>
      <c r="U37" s="4"/>
    </row>
    <row r="38">
      <c r="A38" s="14" t="s">
        <v>148</v>
      </c>
      <c r="B38" s="17">
        <f>IFERROR(__xludf.DUMMYFUNCTION("SPLIT(E, "" "")"),0.301725267561382)</f>
        <v>0.3017252676</v>
      </c>
      <c r="C38" s="4">
        <f>IFERROR(__xludf.DUMMYFUNCTION("""COMPUTED_VALUE"""),0.539776572188328)</f>
        <v>0.5397765722</v>
      </c>
      <c r="D38" s="15">
        <v>72.0</v>
      </c>
      <c r="E38" s="4"/>
      <c r="F38" s="14" t="s">
        <v>149</v>
      </c>
      <c r="G38" s="17">
        <f>IFERROR(__xludf.DUMMYFUNCTION("SPLIT(F:F, "" "")"),0.24187362000345)</f>
        <v>0.24187362</v>
      </c>
      <c r="H38" s="4">
        <f>IFERROR(__xludf.DUMMYFUNCTION("""COMPUTED_VALUE"""),0.506931302454621)</f>
        <v>0.5069313025</v>
      </c>
      <c r="I38" s="15">
        <v>144.0</v>
      </c>
      <c r="J38" s="4"/>
      <c r="K38" s="14" t="s">
        <v>150</v>
      </c>
      <c r="L38" s="17">
        <f>IFERROR(__xludf.DUMMYFUNCTION("SPLIT(K:K, "" "")"),0.253418163445624)</f>
        <v>0.2534181634</v>
      </c>
      <c r="M38" s="4">
        <f>IFERROR(__xludf.DUMMYFUNCTION("""COMPUTED_VALUE"""),0.412508523372268)</f>
        <v>0.4125085234</v>
      </c>
      <c r="N38" s="15">
        <v>144.0</v>
      </c>
      <c r="O38" s="4"/>
      <c r="P38" s="14" t="s">
        <v>151</v>
      </c>
      <c r="Q38" s="4">
        <f>IFERROR(__xludf.DUMMYFUNCTION("SPLIT(P:P, "" "")"),0.252808067333381)</f>
        <v>0.2528080673</v>
      </c>
      <c r="R38" s="4">
        <f>IFERROR(__xludf.DUMMYFUNCTION("""COMPUTED_VALUE"""),0.382553471030244)</f>
        <v>0.382553471</v>
      </c>
      <c r="S38" s="15">
        <v>288.0</v>
      </c>
      <c r="T38" s="4"/>
      <c r="U38" s="4"/>
    </row>
    <row r="39">
      <c r="A39" s="14" t="s">
        <v>152</v>
      </c>
      <c r="B39" s="17">
        <f>IFERROR(__xludf.DUMMYFUNCTION("SPLIT(E, "" "")"),0.292663464960386)</f>
        <v>0.292663465</v>
      </c>
      <c r="C39" s="4">
        <f>IFERROR(__xludf.DUMMYFUNCTION("""COMPUTED_VALUE"""),0.544845877794924)</f>
        <v>0.5448458778</v>
      </c>
      <c r="D39" s="15">
        <v>74.0</v>
      </c>
      <c r="E39" s="4"/>
      <c r="F39" s="14" t="s">
        <v>153</v>
      </c>
      <c r="G39" s="17">
        <f>IFERROR(__xludf.DUMMYFUNCTION("SPLIT(F:F, "" "")"),0.249037775458196)</f>
        <v>0.2490377755</v>
      </c>
      <c r="H39" s="4">
        <f>IFERROR(__xludf.DUMMYFUNCTION("""COMPUTED_VALUE"""),0.50809812430156)</f>
        <v>0.5080981243</v>
      </c>
      <c r="I39" s="15">
        <v>148.0</v>
      </c>
      <c r="J39" s="4"/>
      <c r="K39" s="14" t="s">
        <v>154</v>
      </c>
      <c r="L39" s="17">
        <f>IFERROR(__xludf.DUMMYFUNCTION("SPLIT(K:K, "" "")"),0.249003851322695)</f>
        <v>0.2490038513</v>
      </c>
      <c r="M39" s="4">
        <f>IFERROR(__xludf.DUMMYFUNCTION("""COMPUTED_VALUE"""),0.414081946777502)</f>
        <v>0.4140819468</v>
      </c>
      <c r="N39" s="15">
        <v>148.0</v>
      </c>
      <c r="O39" s="4"/>
      <c r="P39" s="14" t="s">
        <v>155</v>
      </c>
      <c r="Q39" s="4">
        <f>IFERROR(__xludf.DUMMYFUNCTION("SPLIT(P:P, "" "")"),0.243983349529923)</f>
        <v>0.2439833495</v>
      </c>
      <c r="R39" s="4">
        <f>IFERROR(__xludf.DUMMYFUNCTION("""COMPUTED_VALUE"""),0.37138446517071)</f>
        <v>0.3713844652</v>
      </c>
      <c r="S39" s="15">
        <v>296.0</v>
      </c>
      <c r="T39" s="4"/>
      <c r="U39" s="4"/>
    </row>
    <row r="40">
      <c r="A40" s="14" t="s">
        <v>156</v>
      </c>
      <c r="B40" s="17">
        <f>IFERROR(__xludf.DUMMYFUNCTION("SPLIT(E, "" "")"),0.290995065141892)</f>
        <v>0.2909950651</v>
      </c>
      <c r="C40" s="4">
        <f>IFERROR(__xludf.DUMMYFUNCTION("""COMPUTED_VALUE"""),0.506685125900284)</f>
        <v>0.5066851259</v>
      </c>
      <c r="D40" s="15">
        <v>76.0</v>
      </c>
      <c r="E40" s="4"/>
      <c r="F40" s="14" t="s">
        <v>157</v>
      </c>
      <c r="G40" s="17">
        <f>IFERROR(__xludf.DUMMYFUNCTION("SPLIT(F:F, "" "")"),0.238910093345677)</f>
        <v>0.2389100933</v>
      </c>
      <c r="H40" s="4">
        <f>IFERROR(__xludf.DUMMYFUNCTION("""COMPUTED_VALUE"""),0.502783528949182)</f>
        <v>0.5027835289</v>
      </c>
      <c r="I40" s="15">
        <v>152.0</v>
      </c>
      <c r="J40" s="4"/>
      <c r="K40" s="14" t="s">
        <v>158</v>
      </c>
      <c r="L40" s="17">
        <f>IFERROR(__xludf.DUMMYFUNCTION("SPLIT(K:K, "" "")"),0.248420379944957)</f>
        <v>0.2484203799</v>
      </c>
      <c r="M40" s="4">
        <f>IFERROR(__xludf.DUMMYFUNCTION("""COMPUTED_VALUE"""),0.409687401456191)</f>
        <v>0.4096874015</v>
      </c>
      <c r="N40" s="15">
        <v>152.0</v>
      </c>
      <c r="O40" s="4"/>
      <c r="P40" s="14" t="s">
        <v>159</v>
      </c>
      <c r="Q40" s="4">
        <f>IFERROR(__xludf.DUMMYFUNCTION("SPLIT(P:P, "" "")"),0.248169924446023)</f>
        <v>0.2481699244</v>
      </c>
      <c r="R40" s="4">
        <f>IFERROR(__xludf.DUMMYFUNCTION("""COMPUTED_VALUE"""),0.381671530025922)</f>
        <v>0.38167153</v>
      </c>
      <c r="S40" s="15">
        <v>304.0</v>
      </c>
      <c r="T40" s="4"/>
      <c r="U40" s="4"/>
    </row>
    <row r="41">
      <c r="A41" s="14" t="s">
        <v>160</v>
      </c>
      <c r="B41" s="17">
        <f>IFERROR(__xludf.DUMMYFUNCTION("SPLIT(E, "" "")"),0.292226346498351)</f>
        <v>0.2922263465</v>
      </c>
      <c r="C41" s="4">
        <f>IFERROR(__xludf.DUMMYFUNCTION("""COMPUTED_VALUE"""),0.538149580407297)</f>
        <v>0.5381495804</v>
      </c>
      <c r="D41" s="15">
        <v>78.0</v>
      </c>
      <c r="E41" s="4"/>
      <c r="F41" s="14" t="s">
        <v>161</v>
      </c>
      <c r="G41" s="17">
        <f>IFERROR(__xludf.DUMMYFUNCTION("SPLIT(F:F, "" "")"),0.24088546502471)</f>
        <v>0.240885465</v>
      </c>
      <c r="H41" s="4">
        <f>IFERROR(__xludf.DUMMYFUNCTION("""COMPUTED_VALUE"""),0.491216355163384)</f>
        <v>0.4912163552</v>
      </c>
      <c r="I41" s="15">
        <v>156.0</v>
      </c>
      <c r="J41" s="4"/>
      <c r="K41" s="14" t="s">
        <v>162</v>
      </c>
      <c r="L41" s="17">
        <f>IFERROR(__xludf.DUMMYFUNCTION("SPLIT(K:K, "" "")"),0.24961194660446)</f>
        <v>0.2496119466</v>
      </c>
      <c r="M41" s="4">
        <f>IFERROR(__xludf.DUMMYFUNCTION("""COMPUTED_VALUE"""),0.412585064674855)</f>
        <v>0.4125850647</v>
      </c>
      <c r="N41" s="15">
        <v>156.0</v>
      </c>
      <c r="O41" s="4"/>
      <c r="P41" s="14" t="s">
        <v>163</v>
      </c>
      <c r="Q41" s="4">
        <f>IFERROR(__xludf.DUMMYFUNCTION("SPLIT(P:P, "" "")"),0.249542997891886)</f>
        <v>0.2495429979</v>
      </c>
      <c r="R41" s="4">
        <f>IFERROR(__xludf.DUMMYFUNCTION("""COMPUTED_VALUE"""),0.376803276625485)</f>
        <v>0.3768032766</v>
      </c>
      <c r="S41" s="15">
        <v>312.0</v>
      </c>
      <c r="T41" s="4"/>
      <c r="U41" s="4"/>
    </row>
    <row r="42">
      <c r="A42" s="14" t="s">
        <v>164</v>
      </c>
      <c r="B42" s="17">
        <f>IFERROR(__xludf.DUMMYFUNCTION("SPLIT(E, "" "")"),0.273447120672951)</f>
        <v>0.2734471207</v>
      </c>
      <c r="C42" s="4">
        <f>IFERROR(__xludf.DUMMYFUNCTION("""COMPUTED_VALUE"""),0.514784100329085)</f>
        <v>0.5147841003</v>
      </c>
      <c r="D42" s="15">
        <v>80.0</v>
      </c>
      <c r="E42" s="4"/>
      <c r="F42" s="14" t="s">
        <v>165</v>
      </c>
      <c r="G42" s="17">
        <f>IFERROR(__xludf.DUMMYFUNCTION("SPLIT(F:F, "" "")"),0.241726632640519)</f>
        <v>0.2417266326</v>
      </c>
      <c r="H42" s="4">
        <f>IFERROR(__xludf.DUMMYFUNCTION("""COMPUTED_VALUE"""),0.520725807034171)</f>
        <v>0.520725807</v>
      </c>
      <c r="I42" s="15">
        <v>160.0</v>
      </c>
      <c r="J42" s="4"/>
      <c r="K42" s="14" t="s">
        <v>166</v>
      </c>
      <c r="L42" s="17">
        <f>IFERROR(__xludf.DUMMYFUNCTION("SPLIT(K:K, "" "")"),0.243617715973011)</f>
        <v>0.243617716</v>
      </c>
      <c r="M42" s="4">
        <f>IFERROR(__xludf.DUMMYFUNCTION("""COMPUTED_VALUE"""),0.415928501290379)</f>
        <v>0.4159285013</v>
      </c>
      <c r="N42" s="15">
        <v>160.0</v>
      </c>
      <c r="O42" s="4"/>
      <c r="P42" s="14" t="s">
        <v>167</v>
      </c>
      <c r="Q42" s="4">
        <f>IFERROR(__xludf.DUMMYFUNCTION("SPLIT(P:P, "" "")"),0.241796740998659)</f>
        <v>0.241796741</v>
      </c>
      <c r="R42" s="4">
        <f>IFERROR(__xludf.DUMMYFUNCTION("""COMPUTED_VALUE"""),0.370760100296417)</f>
        <v>0.3707601003</v>
      </c>
      <c r="S42" s="15">
        <v>320.0</v>
      </c>
      <c r="T42" s="4"/>
      <c r="U42" s="4"/>
    </row>
    <row r="43">
      <c r="A43" s="14" t="s">
        <v>168</v>
      </c>
      <c r="B43" s="4">
        <f>IFERROR(__xludf.DUMMYFUNCTION("SPLIT(E, "" "")"),0.279350100122625)</f>
        <v>0.2793501001</v>
      </c>
      <c r="C43" s="4">
        <f>IFERROR(__xludf.DUMMYFUNCTION("""COMPUTED_VALUE"""),0.514051984482438)</f>
        <v>0.5140519845</v>
      </c>
      <c r="D43" s="15">
        <v>82.0</v>
      </c>
      <c r="E43" s="4"/>
      <c r="F43" s="14" t="s">
        <v>169</v>
      </c>
      <c r="G43" s="17">
        <f>IFERROR(__xludf.DUMMYFUNCTION("SPLIT(F:F, "" "")"),0.236166254824871)</f>
        <v>0.2361662548</v>
      </c>
      <c r="H43" s="4">
        <f>IFERROR(__xludf.DUMMYFUNCTION("""COMPUTED_VALUE"""),0.4918094097726)</f>
        <v>0.4918094098</v>
      </c>
      <c r="I43" s="15">
        <v>164.0</v>
      </c>
      <c r="J43" s="4"/>
      <c r="K43" s="14" t="s">
        <v>170</v>
      </c>
      <c r="L43" s="17">
        <f>IFERROR(__xludf.DUMMYFUNCTION("SPLIT(K:K, "" "")"),0.238860713572986)</f>
        <v>0.2388607136</v>
      </c>
      <c r="M43" s="4">
        <f>IFERROR(__xludf.DUMMYFUNCTION("""COMPUTED_VALUE"""),0.399922512086756)</f>
        <v>0.3999225121</v>
      </c>
      <c r="N43" s="15">
        <v>164.0</v>
      </c>
      <c r="O43" s="4"/>
      <c r="P43" s="14" t="s">
        <v>171</v>
      </c>
      <c r="Q43" s="4">
        <f>IFERROR(__xludf.DUMMYFUNCTION("SPLIT(P:P, "" "")"),0.245937004107603)</f>
        <v>0.2459370041</v>
      </c>
      <c r="R43" s="4">
        <f>IFERROR(__xludf.DUMMYFUNCTION("""COMPUTED_VALUE"""),0.383639326625142)</f>
        <v>0.3836393266</v>
      </c>
      <c r="S43" s="15">
        <v>328.0</v>
      </c>
      <c r="T43" s="4"/>
      <c r="U43" s="4"/>
    </row>
    <row r="44">
      <c r="A44" s="14" t="s">
        <v>172</v>
      </c>
      <c r="B44" s="17">
        <f>IFERROR(__xludf.DUMMYFUNCTION("SPLIT(E, "" "")"),0.271193677850064)</f>
        <v>0.2711936779</v>
      </c>
      <c r="C44" s="4">
        <f>IFERROR(__xludf.DUMMYFUNCTION("""COMPUTED_VALUE"""),0.503335184510196)</f>
        <v>0.5033351845</v>
      </c>
      <c r="D44" s="15">
        <v>84.0</v>
      </c>
      <c r="E44" s="4"/>
      <c r="F44" s="14" t="s">
        <v>173</v>
      </c>
      <c r="G44" s="17">
        <f>IFERROR(__xludf.DUMMYFUNCTION("SPLIT(F:F, "" "")"),0.234184714114335)</f>
        <v>0.2341847141</v>
      </c>
      <c r="H44" s="4">
        <f>IFERROR(__xludf.DUMMYFUNCTION("""COMPUTED_VALUE"""),0.499360379416438)</f>
        <v>0.4993603794</v>
      </c>
      <c r="I44" s="15">
        <v>168.0</v>
      </c>
      <c r="J44" s="4"/>
      <c r="K44" s="14" t="s">
        <v>174</v>
      </c>
      <c r="L44" s="17">
        <f>IFERROR(__xludf.DUMMYFUNCTION("SPLIT(K:K, "" "")"),0.242057985201422)</f>
        <v>0.2420579852</v>
      </c>
      <c r="M44" s="4">
        <f>IFERROR(__xludf.DUMMYFUNCTION("""COMPUTED_VALUE"""),0.40953210837112)</f>
        <v>0.4095321084</v>
      </c>
      <c r="N44" s="15">
        <v>168.0</v>
      </c>
      <c r="O44" s="4"/>
      <c r="P44" s="14" t="s">
        <v>175</v>
      </c>
      <c r="Q44" s="4">
        <f>IFERROR(__xludf.DUMMYFUNCTION("SPLIT(P:P, "" "")"),0.246289104681239)</f>
        <v>0.2462891047</v>
      </c>
      <c r="R44" s="4">
        <f>IFERROR(__xludf.DUMMYFUNCTION("""COMPUTED_VALUE"""),0.368161616254909)</f>
        <v>0.3681616163</v>
      </c>
      <c r="S44" s="15">
        <v>336.0</v>
      </c>
      <c r="T44" s="4"/>
      <c r="U44" s="4"/>
    </row>
    <row r="45">
      <c r="A45" s="14" t="s">
        <v>176</v>
      </c>
      <c r="B45" s="17">
        <f>IFERROR(__xludf.DUMMYFUNCTION("SPLIT(E, "" "")"),0.275475662890308)</f>
        <v>0.2754756629</v>
      </c>
      <c r="C45" s="4">
        <f>IFERROR(__xludf.DUMMYFUNCTION("""COMPUTED_VALUE"""),0.519865341343109)</f>
        <v>0.5198653413</v>
      </c>
      <c r="D45" s="15">
        <v>86.0</v>
      </c>
      <c r="E45" s="4"/>
      <c r="F45" s="14" t="s">
        <v>177</v>
      </c>
      <c r="G45" s="17">
        <f>IFERROR(__xludf.DUMMYFUNCTION("SPLIT(F:F, "" "")"),0.233553856024644)</f>
        <v>0.233553856</v>
      </c>
      <c r="H45" s="4">
        <f>IFERROR(__xludf.DUMMYFUNCTION("""COMPUTED_VALUE"""),0.504331272982928)</f>
        <v>0.504331273</v>
      </c>
      <c r="I45" s="15">
        <v>172.0</v>
      </c>
      <c r="J45" s="4"/>
      <c r="K45" s="14" t="s">
        <v>178</v>
      </c>
      <c r="L45" s="17">
        <f>IFERROR(__xludf.DUMMYFUNCTION("SPLIT(K:K, "" "")"),0.235518696113605)</f>
        <v>0.2355186961</v>
      </c>
      <c r="M45" s="4">
        <f>IFERROR(__xludf.DUMMYFUNCTION("""COMPUTED_VALUE"""),0.41692015280866)</f>
        <v>0.4169201528</v>
      </c>
      <c r="N45" s="15">
        <v>172.0</v>
      </c>
      <c r="O45" s="4"/>
      <c r="P45" s="14" t="s">
        <v>179</v>
      </c>
      <c r="Q45" s="4">
        <f>IFERROR(__xludf.DUMMYFUNCTION("SPLIT(P:P, "" "")"),0.243685754671197)</f>
        <v>0.2436857547</v>
      </c>
      <c r="R45" s="4">
        <f>IFERROR(__xludf.DUMMYFUNCTION("""COMPUTED_VALUE"""),0.370193704658422)</f>
        <v>0.3701937047</v>
      </c>
      <c r="S45" s="15">
        <v>344.0</v>
      </c>
      <c r="T45" s="4"/>
      <c r="U45" s="4"/>
    </row>
    <row r="46">
      <c r="A46" s="14" t="s">
        <v>180</v>
      </c>
      <c r="B46" s="17">
        <f>IFERROR(__xludf.DUMMYFUNCTION("SPLIT(E, "" "")"),0.272228656355147)</f>
        <v>0.2722286564</v>
      </c>
      <c r="C46" s="4">
        <f>IFERROR(__xludf.DUMMYFUNCTION("""COMPUTED_VALUE"""),0.515667167179221)</f>
        <v>0.5156671672</v>
      </c>
      <c r="D46" s="15">
        <v>88.0</v>
      </c>
      <c r="E46" s="4"/>
      <c r="F46" s="14" t="s">
        <v>181</v>
      </c>
      <c r="G46" s="17">
        <f>IFERROR(__xludf.DUMMYFUNCTION("SPLIT(F:F, "" "")"),0.225575004068786)</f>
        <v>0.2255750041</v>
      </c>
      <c r="H46" s="4">
        <f>IFERROR(__xludf.DUMMYFUNCTION("""COMPUTED_VALUE"""),0.503268341602864)</f>
        <v>0.5032683416</v>
      </c>
      <c r="I46" s="15">
        <v>176.0</v>
      </c>
      <c r="J46" s="4"/>
      <c r="K46" s="14" t="s">
        <v>182</v>
      </c>
      <c r="L46" s="17">
        <f>IFERROR(__xludf.DUMMYFUNCTION("SPLIT(K:K, "" "")"),0.229686655518879)</f>
        <v>0.2296866555</v>
      </c>
      <c r="M46" s="4">
        <f>IFERROR(__xludf.DUMMYFUNCTION("""COMPUTED_VALUE"""),0.403058710530348)</f>
        <v>0.4030587105</v>
      </c>
      <c r="N46" s="15">
        <v>176.0</v>
      </c>
      <c r="O46" s="4"/>
      <c r="P46" s="14" t="s">
        <v>183</v>
      </c>
      <c r="Q46" s="4">
        <f>IFERROR(__xludf.DUMMYFUNCTION("SPLIT(P:P, "" "")"),0.242844954459503)</f>
        <v>0.2428449545</v>
      </c>
      <c r="R46" s="4">
        <f>IFERROR(__xludf.DUMMYFUNCTION("""COMPUTED_VALUE"""),0.373951137867075)</f>
        <v>0.3739511379</v>
      </c>
      <c r="S46" s="15">
        <v>352.0</v>
      </c>
      <c r="T46" s="4"/>
      <c r="U46" s="4"/>
    </row>
    <row r="47">
      <c r="A47" s="14" t="s">
        <v>184</v>
      </c>
      <c r="B47" s="17">
        <f>IFERROR(__xludf.DUMMYFUNCTION("SPLIT(E, "" "")"),0.270263791454073)</f>
        <v>0.2702637915</v>
      </c>
      <c r="C47" s="4">
        <f>IFERROR(__xludf.DUMMYFUNCTION("""COMPUTED_VALUE"""),0.50631252779578)</f>
        <v>0.5063125278</v>
      </c>
      <c r="D47" s="15">
        <v>90.0</v>
      </c>
      <c r="E47" s="4"/>
      <c r="F47" s="14" t="s">
        <v>185</v>
      </c>
      <c r="G47" s="17">
        <f>IFERROR(__xludf.DUMMYFUNCTION("SPLIT(F:F, "" "")"),0.227774727188297)</f>
        <v>0.2277747272</v>
      </c>
      <c r="H47" s="4">
        <f>IFERROR(__xludf.DUMMYFUNCTION("""COMPUTED_VALUE"""),0.509040474922814)</f>
        <v>0.5090404749</v>
      </c>
      <c r="I47" s="15">
        <v>180.0</v>
      </c>
      <c r="J47" s="4"/>
      <c r="K47" s="14" t="s">
        <v>186</v>
      </c>
      <c r="L47" s="17">
        <f>IFERROR(__xludf.DUMMYFUNCTION("SPLIT(K:K, "" "")"),0.239124980715623)</f>
        <v>0.2391249807</v>
      </c>
      <c r="M47" s="4">
        <f>IFERROR(__xludf.DUMMYFUNCTION("""COMPUTED_VALUE"""),0.416751614951763)</f>
        <v>0.416751615</v>
      </c>
      <c r="N47" s="15">
        <v>180.0</v>
      </c>
      <c r="O47" s="4"/>
      <c r="P47" s="14" t="s">
        <v>187</v>
      </c>
      <c r="Q47" s="4">
        <f>IFERROR(__xludf.DUMMYFUNCTION("SPLIT(P:P, "" "")"),0.231525430613459)</f>
        <v>0.2315254306</v>
      </c>
      <c r="R47" s="4">
        <f>IFERROR(__xludf.DUMMYFUNCTION("""COMPUTED_VALUE"""),0.360275759517235)</f>
        <v>0.3602757595</v>
      </c>
      <c r="S47" s="15">
        <v>360.0</v>
      </c>
      <c r="T47" s="4"/>
      <c r="U47" s="4"/>
    </row>
    <row r="48">
      <c r="A48" s="14" t="s">
        <v>188</v>
      </c>
      <c r="B48" s="17">
        <f>IFERROR(__xludf.DUMMYFUNCTION("SPLIT(E, "" "")"),0.266122134441718)</f>
        <v>0.2661221344</v>
      </c>
      <c r="C48" s="4">
        <f>IFERROR(__xludf.DUMMYFUNCTION("""COMPUTED_VALUE"""),0.514990795248176)</f>
        <v>0.5149907952</v>
      </c>
      <c r="D48" s="15">
        <v>92.0</v>
      </c>
      <c r="E48" s="4"/>
      <c r="F48" s="14" t="s">
        <v>189</v>
      </c>
      <c r="G48" s="17">
        <f>IFERROR(__xludf.DUMMYFUNCTION("SPLIT(F:F, "" "")"),0.222863661431993)</f>
        <v>0.2228636614</v>
      </c>
      <c r="H48" s="4">
        <f>IFERROR(__xludf.DUMMYFUNCTION("""COMPUTED_VALUE"""),0.49675620845686)</f>
        <v>0.4967562085</v>
      </c>
      <c r="I48" s="15">
        <v>182.0</v>
      </c>
      <c r="J48" s="4"/>
      <c r="K48" s="14" t="s">
        <v>190</v>
      </c>
      <c r="L48" s="17">
        <f>IFERROR(__xludf.DUMMYFUNCTION("SPLIT(K:K, "" "")"),0.22989025491297)</f>
        <v>0.2298902549</v>
      </c>
      <c r="M48" s="4">
        <f>IFERROR(__xludf.DUMMYFUNCTION("""COMPUTED_VALUE"""),0.403531652007048)</f>
        <v>0.403531652</v>
      </c>
      <c r="N48" s="15">
        <v>182.0</v>
      </c>
      <c r="O48" s="4"/>
      <c r="P48" s="14" t="s">
        <v>191</v>
      </c>
      <c r="Q48" s="4">
        <f>IFERROR(__xludf.DUMMYFUNCTION("SPLIT(P:P, "" "")"),0.236601904044613)</f>
        <v>0.236601904</v>
      </c>
      <c r="R48" s="4">
        <f>IFERROR(__xludf.DUMMYFUNCTION("""COMPUTED_VALUE"""),0.374498397382898)</f>
        <v>0.3744983974</v>
      </c>
      <c r="S48" s="15">
        <v>368.0</v>
      </c>
      <c r="T48" s="4"/>
      <c r="U48" s="4"/>
    </row>
    <row r="49">
      <c r="A49" s="14" t="s">
        <v>192</v>
      </c>
      <c r="B49" s="17">
        <f>IFERROR(__xludf.DUMMYFUNCTION("SPLIT(E, "" "")"),0.265548523961389)</f>
        <v>0.265548524</v>
      </c>
      <c r="C49" s="4">
        <f>IFERROR(__xludf.DUMMYFUNCTION("""COMPUTED_VALUE"""),0.511637704498316)</f>
        <v>0.5116377045</v>
      </c>
      <c r="D49" s="15">
        <v>94.0</v>
      </c>
      <c r="E49" s="4"/>
      <c r="F49" s="14" t="s">
        <v>193</v>
      </c>
      <c r="G49" s="17">
        <f>IFERROR(__xludf.DUMMYFUNCTION("SPLIT(F:F, "" "")"),0.229161336871461)</f>
        <v>0.2291613369</v>
      </c>
      <c r="H49" s="4">
        <f>IFERROR(__xludf.DUMMYFUNCTION("""COMPUTED_VALUE"""),0.487125115204975)</f>
        <v>0.4871251152</v>
      </c>
      <c r="I49" s="15">
        <v>186.0</v>
      </c>
      <c r="J49" s="4"/>
      <c r="K49" s="14" t="s">
        <v>194</v>
      </c>
      <c r="L49" s="17">
        <f>IFERROR(__xludf.DUMMYFUNCTION("SPLIT(K:K, "" "")"),0.229733971347145)</f>
        <v>0.2297339713</v>
      </c>
      <c r="M49" s="4">
        <f>IFERROR(__xludf.DUMMYFUNCTION("""COMPUTED_VALUE"""),0.402275007155546)</f>
        <v>0.4022750072</v>
      </c>
      <c r="N49" s="15">
        <v>186.0</v>
      </c>
      <c r="O49" s="4"/>
      <c r="P49" s="14" t="s">
        <v>195</v>
      </c>
      <c r="Q49" s="4">
        <f>IFERROR(__xludf.DUMMYFUNCTION("SPLIT(P:P, "" "")"),0.237467445257059)</f>
        <v>0.2374674453</v>
      </c>
      <c r="R49" s="4">
        <f>IFERROR(__xludf.DUMMYFUNCTION("""COMPUTED_VALUE"""),0.366252473155449)</f>
        <v>0.3662524732</v>
      </c>
      <c r="S49" s="15">
        <v>376.0</v>
      </c>
      <c r="T49" s="4"/>
      <c r="U49" s="4"/>
    </row>
    <row r="50">
      <c r="A50" s="14" t="s">
        <v>196</v>
      </c>
      <c r="B50" s="17">
        <f>IFERROR(__xludf.DUMMYFUNCTION("SPLIT(E, "" "")"),0.277019802118271)</f>
        <v>0.2770198021</v>
      </c>
      <c r="C50" s="4">
        <f>IFERROR(__xludf.DUMMYFUNCTION("""COMPUTED_VALUE"""),0.533336909214266)</f>
        <v>0.5333369092</v>
      </c>
      <c r="D50" s="15">
        <v>96.0</v>
      </c>
      <c r="E50" s="4"/>
      <c r="F50" s="14" t="s">
        <v>197</v>
      </c>
      <c r="G50" s="17">
        <f>IFERROR(__xludf.DUMMYFUNCTION("SPLIT(F:F, "" "")"),0.220300655741767)</f>
        <v>0.2203006557</v>
      </c>
      <c r="H50" s="4">
        <f>IFERROR(__xludf.DUMMYFUNCTION("""COMPUTED_VALUE"""),0.500475050628047)</f>
        <v>0.5004750506</v>
      </c>
      <c r="I50" s="15">
        <v>190.0</v>
      </c>
      <c r="J50" s="4"/>
      <c r="K50" s="14" t="s">
        <v>198</v>
      </c>
      <c r="L50" s="17">
        <f>IFERROR(__xludf.DUMMYFUNCTION("SPLIT(K:K, "" "")"),0.225631265522252)</f>
        <v>0.2256312655</v>
      </c>
      <c r="M50" s="4">
        <f>IFERROR(__xludf.DUMMYFUNCTION("""COMPUTED_VALUE"""),0.404040140566386)</f>
        <v>0.4040401406</v>
      </c>
      <c r="N50" s="15">
        <v>190.0</v>
      </c>
      <c r="O50" s="4"/>
      <c r="P50" s="14" t="s">
        <v>199</v>
      </c>
      <c r="Q50" s="4">
        <f>IFERROR(__xludf.DUMMYFUNCTION("SPLIT(P:P, "" "")"),0.233905344052515)</f>
        <v>0.2339053441</v>
      </c>
      <c r="R50" s="4">
        <f>IFERROR(__xludf.DUMMYFUNCTION("""COMPUTED_VALUE"""),0.365831196277776)</f>
        <v>0.3658311963</v>
      </c>
      <c r="S50" s="15">
        <v>384.0</v>
      </c>
      <c r="T50" s="4"/>
      <c r="U50" s="4"/>
    </row>
    <row r="51">
      <c r="A51" s="14" t="s">
        <v>200</v>
      </c>
      <c r="B51" s="17">
        <f>IFERROR(__xludf.DUMMYFUNCTION("SPLIT(E, "" "")"),0.271214933638745)</f>
        <v>0.2712149336</v>
      </c>
      <c r="C51" s="4">
        <f>IFERROR(__xludf.DUMMYFUNCTION("""COMPUTED_VALUE"""),0.51603350822361)</f>
        <v>0.5160335082</v>
      </c>
      <c r="D51" s="15">
        <v>98.0</v>
      </c>
      <c r="E51" s="4"/>
      <c r="F51" s="14" t="s">
        <v>201</v>
      </c>
      <c r="G51" s="17">
        <f>IFERROR(__xludf.DUMMYFUNCTION("SPLIT(F:F, "" "")"),0.220686652462667)</f>
        <v>0.2206866525</v>
      </c>
      <c r="H51" s="4">
        <f>IFERROR(__xludf.DUMMYFUNCTION("""COMPUTED_VALUE"""),0.510244945229566)</f>
        <v>0.5102449452</v>
      </c>
      <c r="I51" s="15">
        <v>194.0</v>
      </c>
      <c r="J51" s="4"/>
      <c r="K51" s="14" t="s">
        <v>202</v>
      </c>
      <c r="L51" s="17">
        <f>IFERROR(__xludf.DUMMYFUNCTION("SPLIT(K:K, "" "")"),0.223169179144035)</f>
        <v>0.2231691791</v>
      </c>
      <c r="M51" s="4">
        <f>IFERROR(__xludf.DUMMYFUNCTION("""COMPUTED_VALUE"""),0.407641809541951)</f>
        <v>0.4076418095</v>
      </c>
      <c r="N51" s="15">
        <v>194.0</v>
      </c>
      <c r="O51" s="4"/>
      <c r="P51" s="14" t="s">
        <v>203</v>
      </c>
      <c r="Q51" s="4">
        <f>IFERROR(__xludf.DUMMYFUNCTION("SPLIT(P:P, "" "")"),0.235194401602982)</f>
        <v>0.2351944016</v>
      </c>
      <c r="R51" s="4">
        <f>IFERROR(__xludf.DUMMYFUNCTION("""COMPUTED_VALUE"""),0.372225773205342)</f>
        <v>0.3722257732</v>
      </c>
      <c r="S51" s="15">
        <v>392.0</v>
      </c>
      <c r="T51" s="4"/>
      <c r="U51" s="4"/>
    </row>
    <row r="52">
      <c r="A52" s="14" t="s">
        <v>204</v>
      </c>
      <c r="B52" s="17">
        <f>IFERROR(__xludf.DUMMYFUNCTION("SPLIT(E, "" "")"),0.265389782730532)</f>
        <v>0.2653897827</v>
      </c>
      <c r="C52" s="4">
        <f>IFERROR(__xludf.DUMMYFUNCTION("""COMPUTED_VALUE"""),0.534073073314645)</f>
        <v>0.5340730733</v>
      </c>
      <c r="D52" s="15">
        <v>100.0</v>
      </c>
      <c r="E52" s="4"/>
      <c r="F52" s="14" t="s">
        <v>205</v>
      </c>
      <c r="G52" s="17">
        <f>IFERROR(__xludf.DUMMYFUNCTION("SPLIT(F:F, "" "")"),0.222327308175754)</f>
        <v>0.2223273082</v>
      </c>
      <c r="H52" s="4">
        <f>IFERROR(__xludf.DUMMYFUNCTION("""COMPUTED_VALUE"""),0.491193593694904)</f>
        <v>0.4911935937</v>
      </c>
      <c r="I52" s="15">
        <v>198.0</v>
      </c>
      <c r="J52" s="4"/>
      <c r="K52" s="14" t="s">
        <v>206</v>
      </c>
      <c r="L52" s="17">
        <f>IFERROR(__xludf.DUMMYFUNCTION("SPLIT(K:K, "" "")"),0.2200165843531)</f>
        <v>0.2200165844</v>
      </c>
      <c r="M52" s="4">
        <f>IFERROR(__xludf.DUMMYFUNCTION("""COMPUTED_VALUE"""),0.396209217894686)</f>
        <v>0.3962092179</v>
      </c>
      <c r="N52" s="15">
        <v>198.0</v>
      </c>
      <c r="O52" s="4"/>
      <c r="P52" s="14" t="s">
        <v>207</v>
      </c>
      <c r="Q52" s="4">
        <f>IFERROR(__xludf.DUMMYFUNCTION("SPLIT(P:P, "" "")"),0.234201601715538)</f>
        <v>0.2342016017</v>
      </c>
      <c r="R52" s="4">
        <f>IFERROR(__xludf.DUMMYFUNCTION("""COMPUTED_VALUE"""),0.368444855216226)</f>
        <v>0.3684448552</v>
      </c>
      <c r="S52" s="15">
        <v>400.0</v>
      </c>
      <c r="T52" s="4"/>
      <c r="U52" s="4"/>
    </row>
    <row r="53">
      <c r="A53" s="14" t="s">
        <v>208</v>
      </c>
      <c r="B53" s="17">
        <f>IFERROR(__xludf.DUMMYFUNCTION("SPLIT(E, "" "")"),0.258091047892738)</f>
        <v>0.2580910479</v>
      </c>
      <c r="C53" s="4">
        <f>IFERROR(__xludf.DUMMYFUNCTION("""COMPUTED_VALUE"""),0.51624215394125)</f>
        <v>0.5162421539</v>
      </c>
      <c r="D53" s="15">
        <v>102.0</v>
      </c>
      <c r="E53" s="4"/>
      <c r="F53" s="14" t="s">
        <v>209</v>
      </c>
      <c r="G53" s="17">
        <f>IFERROR(__xludf.DUMMYFUNCTION("SPLIT(F:F, "" "")"),0.215312474401492)</f>
        <v>0.2153124744</v>
      </c>
      <c r="H53" s="4">
        <f>IFERROR(__xludf.DUMMYFUNCTION("""COMPUTED_VALUE"""),0.494208776041504)</f>
        <v>0.494208776</v>
      </c>
      <c r="I53" s="15">
        <v>202.0</v>
      </c>
      <c r="J53" s="4"/>
      <c r="K53" s="14" t="s">
        <v>210</v>
      </c>
      <c r="L53" s="17">
        <f>IFERROR(__xludf.DUMMYFUNCTION("SPLIT(K:K, "" "")"),0.231002123692287)</f>
        <v>0.2310021237</v>
      </c>
      <c r="M53" s="4">
        <f>IFERROR(__xludf.DUMMYFUNCTION("""COMPUTED_VALUE"""),0.423043553017522)</f>
        <v>0.423043553</v>
      </c>
      <c r="N53" s="15">
        <v>202.0</v>
      </c>
      <c r="O53" s="4"/>
      <c r="P53" s="14" t="s">
        <v>211</v>
      </c>
      <c r="Q53" s="4">
        <f>IFERROR(__xludf.DUMMYFUNCTION("SPLIT(P:P, "" "")"),0.236323273752821)</f>
        <v>0.2363232738</v>
      </c>
      <c r="R53" s="4">
        <f>IFERROR(__xludf.DUMMYFUNCTION("""COMPUTED_VALUE"""),0.376419068019546)</f>
        <v>0.376419068</v>
      </c>
      <c r="S53" s="15">
        <v>408.0</v>
      </c>
      <c r="T53" s="4"/>
      <c r="U53" s="4"/>
    </row>
    <row r="54">
      <c r="A54" s="14" t="s">
        <v>212</v>
      </c>
      <c r="B54" s="17">
        <f>IFERROR(__xludf.DUMMYFUNCTION("SPLIT(E, "" "")"),0.255990241104872)</f>
        <v>0.2559902411</v>
      </c>
      <c r="C54" s="4">
        <f>IFERROR(__xludf.DUMMYFUNCTION("""COMPUTED_VALUE"""),0.516831965067092)</f>
        <v>0.5168319651</v>
      </c>
      <c r="D54" s="15">
        <v>104.0</v>
      </c>
      <c r="E54" s="4"/>
      <c r="F54" s="14" t="s">
        <v>213</v>
      </c>
      <c r="G54" s="17">
        <f>IFERROR(__xludf.DUMMYFUNCTION("SPLIT(F:F, "" "")"),0.217199948090862)</f>
        <v>0.2171999481</v>
      </c>
      <c r="H54" s="4">
        <f>IFERROR(__xludf.DUMMYFUNCTION("""COMPUTED_VALUE"""),0.495561508126508)</f>
        <v>0.4955615081</v>
      </c>
      <c r="I54" s="15">
        <v>206.0</v>
      </c>
      <c r="J54" s="4"/>
      <c r="K54" s="14" t="s">
        <v>214</v>
      </c>
      <c r="L54" s="17">
        <f>IFERROR(__xludf.DUMMYFUNCTION("SPLIT(K:K, "" "")"),0.222699015755957)</f>
        <v>0.2226990158</v>
      </c>
      <c r="M54" s="4">
        <f>IFERROR(__xludf.DUMMYFUNCTION("""COMPUTED_VALUE"""),0.403685926813286)</f>
        <v>0.4036859268</v>
      </c>
      <c r="N54" s="15">
        <v>206.0</v>
      </c>
      <c r="O54" s="4"/>
      <c r="P54" s="14" t="s">
        <v>215</v>
      </c>
      <c r="Q54" s="4">
        <f>IFERROR(__xludf.DUMMYFUNCTION("SPLIT(P:P, "" "")"),0.234433094561807)</f>
        <v>0.2344330946</v>
      </c>
      <c r="R54" s="4">
        <f>IFERROR(__xludf.DUMMYFUNCTION("""COMPUTED_VALUE"""),0.369314260951337)</f>
        <v>0.369314261</v>
      </c>
      <c r="S54" s="15">
        <v>416.0</v>
      </c>
      <c r="T54" s="4"/>
      <c r="U54" s="4"/>
    </row>
    <row r="55">
      <c r="A55" s="14" t="s">
        <v>216</v>
      </c>
      <c r="B55" s="17">
        <f>IFERROR(__xludf.DUMMYFUNCTION("SPLIT(E, "" "")"),0.252207593339129)</f>
        <v>0.2522075933</v>
      </c>
      <c r="C55" s="4">
        <f>IFERROR(__xludf.DUMMYFUNCTION("""COMPUTED_VALUE"""),0.502745731655138)</f>
        <v>0.5027457317</v>
      </c>
      <c r="D55" s="15">
        <v>106.0</v>
      </c>
      <c r="E55" s="4"/>
      <c r="F55" s="14" t="s">
        <v>217</v>
      </c>
      <c r="G55" s="17">
        <f>IFERROR(__xludf.DUMMYFUNCTION("SPLIT(F:F, "" "")"),0.222853311954235)</f>
        <v>0.222853312</v>
      </c>
      <c r="H55" s="4">
        <f>IFERROR(__xludf.DUMMYFUNCTION("""COMPUTED_VALUE"""),0.522491532826307)</f>
        <v>0.5224915328</v>
      </c>
      <c r="I55" s="15">
        <v>210.0</v>
      </c>
      <c r="J55" s="4"/>
      <c r="K55" s="14" t="s">
        <v>218</v>
      </c>
      <c r="L55" s="17">
        <f>IFERROR(__xludf.DUMMYFUNCTION("SPLIT(K:K, "" "")"),0.213077245810315)</f>
        <v>0.2130772458</v>
      </c>
      <c r="M55" s="4">
        <f>IFERROR(__xludf.DUMMYFUNCTION("""COMPUTED_VALUE"""),0.386996960778368)</f>
        <v>0.3869969608</v>
      </c>
      <c r="N55" s="15">
        <v>210.0</v>
      </c>
      <c r="O55" s="4"/>
      <c r="P55" s="14" t="s">
        <v>219</v>
      </c>
      <c r="Q55" s="4">
        <f>IFERROR(__xludf.DUMMYFUNCTION("SPLIT(P:P, "" "")"),0.227894002247034)</f>
        <v>0.2278940022</v>
      </c>
      <c r="R55" s="4">
        <f>IFERROR(__xludf.DUMMYFUNCTION("""COMPUTED_VALUE"""),0.370466225764165)</f>
        <v>0.3704662258</v>
      </c>
      <c r="S55" s="15">
        <v>424.0</v>
      </c>
      <c r="T55" s="4"/>
      <c r="U55" s="4"/>
    </row>
    <row r="56">
      <c r="A56" s="14" t="s">
        <v>220</v>
      </c>
      <c r="B56" s="17">
        <f>IFERROR(__xludf.DUMMYFUNCTION("SPLIT(E, "" "")"),0.261929596444499)</f>
        <v>0.2619295964</v>
      </c>
      <c r="C56" s="4">
        <f>IFERROR(__xludf.DUMMYFUNCTION("""COMPUTED_VALUE"""),0.530358460801381)</f>
        <v>0.5303584608</v>
      </c>
      <c r="D56" s="15">
        <v>108.0</v>
      </c>
      <c r="E56" s="4"/>
      <c r="F56" s="14" t="s">
        <v>221</v>
      </c>
      <c r="G56" s="17">
        <f>IFERROR(__xludf.DUMMYFUNCTION("SPLIT(F:F, "" "")"),0.216488754662539)</f>
        <v>0.2164887547</v>
      </c>
      <c r="H56" s="4">
        <f>IFERROR(__xludf.DUMMYFUNCTION("""COMPUTED_VALUE"""),0.517642546205288)</f>
        <v>0.5176425462</v>
      </c>
      <c r="I56" s="15">
        <v>214.0</v>
      </c>
      <c r="J56" s="4"/>
      <c r="K56" s="14" t="s">
        <v>222</v>
      </c>
      <c r="L56" s="17">
        <f>IFERROR(__xludf.DUMMYFUNCTION("SPLIT(K:K, "" "")"),0.217051648831328)</f>
        <v>0.2170516488</v>
      </c>
      <c r="M56" s="4">
        <f>IFERROR(__xludf.DUMMYFUNCTION("""COMPUTED_VALUE"""),0.395551544973439)</f>
        <v>0.395551545</v>
      </c>
      <c r="N56" s="15">
        <v>214.0</v>
      </c>
      <c r="O56" s="4"/>
      <c r="P56" s="14" t="s">
        <v>223</v>
      </c>
      <c r="Q56" s="4">
        <f>IFERROR(__xludf.DUMMYFUNCTION("SPLIT(P:P, "" "")"),0.227168053739384)</f>
        <v>0.2271680537</v>
      </c>
      <c r="R56" s="4">
        <f>IFERROR(__xludf.DUMMYFUNCTION("""COMPUTED_VALUE"""),0.3631310755372)</f>
        <v>0.3631310755</v>
      </c>
      <c r="S56" s="15">
        <v>432.0</v>
      </c>
      <c r="T56" s="4"/>
      <c r="U56" s="4"/>
    </row>
    <row r="57">
      <c r="A57" s="14" t="s">
        <v>224</v>
      </c>
      <c r="B57" s="17">
        <f>IFERROR(__xludf.DUMMYFUNCTION("SPLIT(E, "" "")"),0.252404620537865)</f>
        <v>0.2524046205</v>
      </c>
      <c r="C57" s="4">
        <f>IFERROR(__xludf.DUMMYFUNCTION("""COMPUTED_VALUE"""),0.506577317835726)</f>
        <v>0.5065773178</v>
      </c>
      <c r="D57" s="15">
        <v>110.0</v>
      </c>
      <c r="E57" s="4"/>
      <c r="F57" s="14" t="s">
        <v>225</v>
      </c>
      <c r="G57" s="17">
        <f>IFERROR(__xludf.DUMMYFUNCTION("SPLIT(F:F, "" "")"),0.209650053466317)</f>
        <v>0.2096500535</v>
      </c>
      <c r="H57" s="4">
        <f>IFERROR(__xludf.DUMMYFUNCTION("""COMPUTED_VALUE"""),0.50585707341668)</f>
        <v>0.5058570734</v>
      </c>
      <c r="I57" s="15">
        <v>218.0</v>
      </c>
      <c r="J57" s="4"/>
      <c r="K57" s="14" t="s">
        <v>226</v>
      </c>
      <c r="L57" s="17">
        <f>IFERROR(__xludf.DUMMYFUNCTION("SPLIT(K:K, "" "")"),0.218240655946711)</f>
        <v>0.2182406559</v>
      </c>
      <c r="M57" s="4">
        <f>IFERROR(__xludf.DUMMYFUNCTION("""COMPUTED_VALUE"""),0.404495756212438)</f>
        <v>0.4044957562</v>
      </c>
      <c r="N57" s="15">
        <v>218.0</v>
      </c>
      <c r="O57" s="4"/>
      <c r="P57" s="14" t="s">
        <v>227</v>
      </c>
      <c r="Q57" s="4">
        <f>IFERROR(__xludf.DUMMYFUNCTION("SPLIT(P:P, "" "")"),0.229858434268079)</f>
        <v>0.2298584343</v>
      </c>
      <c r="R57" s="4">
        <f>IFERROR(__xludf.DUMMYFUNCTION("""COMPUTED_VALUE"""),0.376520488561887)</f>
        <v>0.3765204886</v>
      </c>
      <c r="S57" s="15">
        <v>440.0</v>
      </c>
      <c r="T57" s="4"/>
      <c r="U57" s="4"/>
    </row>
    <row r="58">
      <c r="A58" s="14" t="s">
        <v>228</v>
      </c>
      <c r="B58" s="17">
        <f>IFERROR(__xludf.DUMMYFUNCTION("SPLIT(E, "" "")"),0.251103282320033)</f>
        <v>0.2511032823</v>
      </c>
      <c r="C58" s="4">
        <f>IFERROR(__xludf.DUMMYFUNCTION("""COMPUTED_VALUE"""),0.515104190615432)</f>
        <v>0.5151041906</v>
      </c>
      <c r="D58" s="15">
        <v>112.0</v>
      </c>
      <c r="E58" s="4"/>
      <c r="F58" s="14" t="s">
        <v>229</v>
      </c>
      <c r="G58" s="17">
        <f>IFERROR(__xludf.DUMMYFUNCTION("SPLIT(F:F, "" "")"),0.208588450116699)</f>
        <v>0.2085884501</v>
      </c>
      <c r="H58" s="4">
        <f>IFERROR(__xludf.DUMMYFUNCTION("""COMPUTED_VALUE"""),0.501498810051529)</f>
        <v>0.5014988101</v>
      </c>
      <c r="I58" s="15">
        <v>222.0</v>
      </c>
      <c r="J58" s="4"/>
      <c r="K58" s="14" t="s">
        <v>230</v>
      </c>
      <c r="L58" s="17">
        <f>IFERROR(__xludf.DUMMYFUNCTION("SPLIT(K:K, "" "")"),0.211808663789249)</f>
        <v>0.2118086638</v>
      </c>
      <c r="M58" s="4">
        <f>IFERROR(__xludf.DUMMYFUNCTION("""COMPUTED_VALUE"""),0.394939031144084)</f>
        <v>0.3949390311</v>
      </c>
      <c r="N58" s="15">
        <v>222.0</v>
      </c>
      <c r="O58" s="4"/>
      <c r="P58" s="14" t="s">
        <v>231</v>
      </c>
      <c r="Q58" s="4">
        <f>IFERROR(__xludf.DUMMYFUNCTION("SPLIT(P:P, "" "")"),0.227103890510355)</f>
        <v>0.2271038905</v>
      </c>
      <c r="R58" s="4">
        <f>IFERROR(__xludf.DUMMYFUNCTION("""COMPUTED_VALUE"""),0.365795653276746)</f>
        <v>0.3657956533</v>
      </c>
      <c r="S58" s="15">
        <v>448.0</v>
      </c>
      <c r="T58" s="4"/>
      <c r="U58" s="4"/>
    </row>
    <row r="59">
      <c r="A59" s="14" t="s">
        <v>232</v>
      </c>
      <c r="B59" s="17">
        <f>IFERROR(__xludf.DUMMYFUNCTION("SPLIT(E, "" "")"),0.250960641223376)</f>
        <v>0.2509606412</v>
      </c>
      <c r="C59" s="4">
        <f>IFERROR(__xludf.DUMMYFUNCTION("""COMPUTED_VALUE"""),0.513081298322823)</f>
        <v>0.5130812983</v>
      </c>
      <c r="D59" s="15">
        <v>114.0</v>
      </c>
      <c r="E59" s="4"/>
      <c r="F59" s="14" t="s">
        <v>233</v>
      </c>
      <c r="G59" s="17">
        <f>IFERROR(__xludf.DUMMYFUNCTION("SPLIT(F:F, "" "")"),0.205136399049809)</f>
        <v>0.205136399</v>
      </c>
      <c r="H59" s="4">
        <f>IFERROR(__xludf.DUMMYFUNCTION("""COMPUTED_VALUE"""),0.497882251624354)</f>
        <v>0.4978822516</v>
      </c>
      <c r="I59" s="15">
        <v>226.0</v>
      </c>
      <c r="J59" s="4"/>
      <c r="K59" s="14" t="s">
        <v>234</v>
      </c>
      <c r="L59" s="17">
        <f>IFERROR(__xludf.DUMMYFUNCTION("SPLIT(K:K, "" "")"),0.219438504337289)</f>
        <v>0.2194385043</v>
      </c>
      <c r="M59" s="4">
        <f>IFERROR(__xludf.DUMMYFUNCTION("""COMPUTED_VALUE"""),0.401828445876893)</f>
        <v>0.4018284459</v>
      </c>
      <c r="N59" s="15">
        <v>226.0</v>
      </c>
      <c r="O59" s="4"/>
      <c r="P59" s="14" t="s">
        <v>235</v>
      </c>
      <c r="Q59" s="4">
        <f>IFERROR(__xludf.DUMMYFUNCTION("SPLIT(P:P, "" "")"),0.22389768595514)</f>
        <v>0.223897686</v>
      </c>
      <c r="R59" s="4">
        <f>IFERROR(__xludf.DUMMYFUNCTION("""COMPUTED_VALUE"""),0.357942000634246)</f>
        <v>0.3579420006</v>
      </c>
      <c r="S59" s="15">
        <v>456.0</v>
      </c>
      <c r="T59" s="4"/>
      <c r="U59" s="4"/>
    </row>
    <row r="60">
      <c r="A60" s="14" t="s">
        <v>236</v>
      </c>
      <c r="B60" s="17">
        <f>IFERROR(__xludf.DUMMYFUNCTION("SPLIT(E, "" "")"),0.257090464092584)</f>
        <v>0.2570904641</v>
      </c>
      <c r="C60" s="4">
        <f>IFERROR(__xludf.DUMMYFUNCTION("""COMPUTED_VALUE"""),0.51424640085023)</f>
        <v>0.5142464009</v>
      </c>
      <c r="D60" s="15">
        <v>116.0</v>
      </c>
      <c r="E60" s="4"/>
      <c r="F60" s="14" t="s">
        <v>237</v>
      </c>
      <c r="G60" s="17">
        <f>IFERROR(__xludf.DUMMYFUNCTION("SPLIT(F:F, "" "")"),0.204965450988776)</f>
        <v>0.204965451</v>
      </c>
      <c r="H60" s="4">
        <f>IFERROR(__xludf.DUMMYFUNCTION("""COMPUTED_VALUE"""),0.515015810855316)</f>
        <v>0.5150158109</v>
      </c>
      <c r="I60" s="15">
        <v>230.0</v>
      </c>
      <c r="J60" s="4"/>
      <c r="K60" s="14" t="s">
        <v>238</v>
      </c>
      <c r="L60" s="17">
        <f>IFERROR(__xludf.DUMMYFUNCTION("SPLIT(K:K, "" "")"),0.210606750627472)</f>
        <v>0.2106067506</v>
      </c>
      <c r="M60" s="4">
        <f>IFERROR(__xludf.DUMMYFUNCTION("""COMPUTED_VALUE"""),0.397758592939594)</f>
        <v>0.3977585929</v>
      </c>
      <c r="N60" s="15">
        <v>230.0</v>
      </c>
      <c r="O60" s="4"/>
      <c r="P60" s="14" t="s">
        <v>239</v>
      </c>
      <c r="Q60" s="4">
        <f>IFERROR(__xludf.DUMMYFUNCTION("SPLIT(P:P, "" "")"),0.223003252386668)</f>
        <v>0.2230032524</v>
      </c>
      <c r="R60" s="4">
        <f>IFERROR(__xludf.DUMMYFUNCTION("""COMPUTED_VALUE"""),0.363258399799013)</f>
        <v>0.3632583998</v>
      </c>
      <c r="S60" s="15">
        <v>464.0</v>
      </c>
      <c r="T60" s="4"/>
      <c r="U60" s="4"/>
    </row>
    <row r="61">
      <c r="A61" s="14" t="s">
        <v>240</v>
      </c>
      <c r="B61" s="17">
        <f>IFERROR(__xludf.DUMMYFUNCTION("SPLIT(E, "" "")"),0.252048173624194)</f>
        <v>0.2520481736</v>
      </c>
      <c r="C61" s="4">
        <f>IFERROR(__xludf.DUMMYFUNCTION("""COMPUTED_VALUE"""),0.505562134300971)</f>
        <v>0.5055621343</v>
      </c>
      <c r="D61" s="15">
        <v>118.0</v>
      </c>
      <c r="E61" s="4"/>
      <c r="F61" s="14" t="s">
        <v>241</v>
      </c>
      <c r="G61" s="17">
        <f>IFERROR(__xludf.DUMMYFUNCTION("SPLIT(F:F, "" "")"),0.207471592866816)</f>
        <v>0.2074715929</v>
      </c>
      <c r="H61" s="4">
        <f>IFERROR(__xludf.DUMMYFUNCTION("""COMPUTED_VALUE"""),0.506624083776722)</f>
        <v>0.5066240838</v>
      </c>
      <c r="I61" s="15">
        <v>234.0</v>
      </c>
      <c r="J61" s="4"/>
      <c r="K61" s="14" t="s">
        <v>242</v>
      </c>
      <c r="L61" s="17">
        <f>IFERROR(__xludf.DUMMYFUNCTION("SPLIT(K:K, "" "")"),0.204643228346983)</f>
        <v>0.2046432283</v>
      </c>
      <c r="M61" s="4">
        <f>IFERROR(__xludf.DUMMYFUNCTION("""COMPUTED_VALUE"""),0.382393040506308)</f>
        <v>0.3823930405</v>
      </c>
      <c r="N61" s="15">
        <v>234.0</v>
      </c>
      <c r="O61" s="4"/>
      <c r="P61" s="14" t="s">
        <v>243</v>
      </c>
      <c r="Q61" s="4">
        <f>IFERROR(__xludf.DUMMYFUNCTION("SPLIT(P:P, "" "")"),0.225883719739634)</f>
        <v>0.2258837197</v>
      </c>
      <c r="R61" s="4">
        <f>IFERROR(__xludf.DUMMYFUNCTION("""COMPUTED_VALUE"""),0.364701559193344)</f>
        <v>0.3647015592</v>
      </c>
      <c r="S61" s="15">
        <v>472.0</v>
      </c>
      <c r="T61" s="4"/>
      <c r="U61" s="4"/>
    </row>
    <row r="62">
      <c r="A62" s="14" t="s">
        <v>244</v>
      </c>
      <c r="B62" s="17">
        <f>IFERROR(__xludf.DUMMYFUNCTION("SPLIT(E, "" "")"),0.242695295797133)</f>
        <v>0.2426952958</v>
      </c>
      <c r="C62" s="4">
        <f>IFERROR(__xludf.DUMMYFUNCTION("""COMPUTED_VALUE"""),0.509330888678837)</f>
        <v>0.5093308887</v>
      </c>
      <c r="D62" s="15">
        <v>120.0</v>
      </c>
      <c r="E62" s="4"/>
      <c r="F62" s="14" t="s">
        <v>245</v>
      </c>
      <c r="G62" s="17">
        <f>IFERROR(__xludf.DUMMYFUNCTION("SPLIT(F:F, "" "")"),0.201213763017297)</f>
        <v>0.201213763</v>
      </c>
      <c r="H62" s="4">
        <f>IFERROR(__xludf.DUMMYFUNCTION("""COMPUTED_VALUE"""),0.504746066266545)</f>
        <v>0.5047460663</v>
      </c>
      <c r="I62" s="15">
        <v>238.0</v>
      </c>
      <c r="J62" s="4"/>
      <c r="K62" s="14" t="s">
        <v>246</v>
      </c>
      <c r="L62" s="17">
        <f>IFERROR(__xludf.DUMMYFUNCTION("SPLIT(K:K, "" "")"),0.205208739377824)</f>
        <v>0.2052087394</v>
      </c>
      <c r="M62" s="4">
        <f>IFERROR(__xludf.DUMMYFUNCTION("""COMPUTED_VALUE"""),0.384117733347192)</f>
        <v>0.3841177333</v>
      </c>
      <c r="N62" s="15">
        <v>238.0</v>
      </c>
      <c r="O62" s="4"/>
      <c r="P62" s="14" t="s">
        <v>247</v>
      </c>
      <c r="Q62" s="4">
        <f>IFERROR(__xludf.DUMMYFUNCTION("SPLIT(P:P, "" "")"),0.224602651956695)</f>
        <v>0.224602652</v>
      </c>
      <c r="R62" s="4">
        <f>IFERROR(__xludf.DUMMYFUNCTION("""COMPUTED_VALUE"""),0.356809768031041)</f>
        <v>0.356809768</v>
      </c>
      <c r="S62" s="15">
        <v>480.0</v>
      </c>
      <c r="T62" s="4"/>
      <c r="U62" s="4"/>
    </row>
    <row r="63">
      <c r="A63" s="14" t="s">
        <v>248</v>
      </c>
      <c r="B63" s="17">
        <f>IFERROR(__xludf.DUMMYFUNCTION("SPLIT(E, "" "")"),0.243076053350018)</f>
        <v>0.2430760534</v>
      </c>
      <c r="C63" s="4">
        <f>IFERROR(__xludf.DUMMYFUNCTION("""COMPUTED_VALUE"""),0.507695755884886)</f>
        <v>0.5076957559</v>
      </c>
      <c r="D63" s="15">
        <v>122.0</v>
      </c>
      <c r="E63" s="4"/>
      <c r="F63" s="14" t="s">
        <v>249</v>
      </c>
      <c r="G63" s="17">
        <f>IFERROR(__xludf.DUMMYFUNCTION("SPLIT(F:F, "" "")"),0.2017907897936)</f>
        <v>0.2017907898</v>
      </c>
      <c r="H63" s="4">
        <f>IFERROR(__xludf.DUMMYFUNCTION("""COMPUTED_VALUE"""),0.493479122330622)</f>
        <v>0.4934791223</v>
      </c>
      <c r="I63" s="15">
        <v>242.0</v>
      </c>
      <c r="J63" s="4"/>
      <c r="K63" s="14" t="s">
        <v>250</v>
      </c>
      <c r="L63" s="17">
        <f>IFERROR(__xludf.DUMMYFUNCTION("SPLIT(K:K, "" "")"),0.204682107592392)</f>
        <v>0.2046821076</v>
      </c>
      <c r="M63" s="4">
        <f>IFERROR(__xludf.DUMMYFUNCTION("""COMPUTED_VALUE"""),0.385994267582294)</f>
        <v>0.3859942676</v>
      </c>
      <c r="N63" s="15">
        <v>242.0</v>
      </c>
      <c r="O63" s="4"/>
      <c r="P63" s="14" t="s">
        <v>251</v>
      </c>
      <c r="Q63" s="4">
        <f>IFERROR(__xludf.DUMMYFUNCTION("SPLIT(P:P, "" "")"),0.22426359930787)</f>
        <v>0.2242635993</v>
      </c>
      <c r="R63" s="4">
        <f>IFERROR(__xludf.DUMMYFUNCTION("""COMPUTED_VALUE"""),0.364086306213573)</f>
        <v>0.3640863062</v>
      </c>
      <c r="S63" s="15">
        <v>488.0</v>
      </c>
      <c r="T63" s="4"/>
      <c r="U63" s="4"/>
    </row>
    <row r="64">
      <c r="A64" s="14" t="s">
        <v>252</v>
      </c>
      <c r="B64" s="17">
        <f>IFERROR(__xludf.DUMMYFUNCTION("SPLIT(E, "" "")"),0.240851215005398)</f>
        <v>0.240851215</v>
      </c>
      <c r="C64" s="4">
        <f>IFERROR(__xludf.DUMMYFUNCTION("""COMPUTED_VALUE"""),0.517734692603872)</f>
        <v>0.5177346926</v>
      </c>
      <c r="D64" s="15">
        <v>124.0</v>
      </c>
      <c r="E64" s="4"/>
      <c r="F64" s="14" t="s">
        <v>253</v>
      </c>
      <c r="G64" s="17">
        <f>IFERROR(__xludf.DUMMYFUNCTION("SPLIT(F:F, "" "")"),0.201593231746523)</f>
        <v>0.2015932317</v>
      </c>
      <c r="H64" s="4">
        <f>IFERROR(__xludf.DUMMYFUNCTION("""COMPUTED_VALUE"""),0.493784599319276)</f>
        <v>0.4937845993</v>
      </c>
      <c r="I64" s="15">
        <v>246.0</v>
      </c>
      <c r="J64" s="4"/>
      <c r="K64" s="14" t="s">
        <v>254</v>
      </c>
      <c r="L64" s="17">
        <f>IFERROR(__xludf.DUMMYFUNCTION("SPLIT(K:K, "" "")"),0.209247932582117)</f>
        <v>0.2092479326</v>
      </c>
      <c r="M64" s="4">
        <f>IFERROR(__xludf.DUMMYFUNCTION("""COMPUTED_VALUE"""),0.395525438372382)</f>
        <v>0.3955254384</v>
      </c>
      <c r="N64" s="15">
        <v>246.0</v>
      </c>
      <c r="O64" s="4"/>
      <c r="P64" s="14" t="s">
        <v>255</v>
      </c>
      <c r="Q64" s="4">
        <f>IFERROR(__xludf.DUMMYFUNCTION("SPLIT(P:P, "" "")"),0.220425891252943)</f>
        <v>0.2204258913</v>
      </c>
      <c r="R64" s="4">
        <f>IFERROR(__xludf.DUMMYFUNCTION("""COMPUTED_VALUE"""),0.354569368126964)</f>
        <v>0.3545693681</v>
      </c>
      <c r="S64" s="15">
        <v>496.0</v>
      </c>
      <c r="T64" s="4"/>
      <c r="U64" s="4"/>
    </row>
    <row r="65">
      <c r="A65" s="14" t="s">
        <v>256</v>
      </c>
      <c r="B65" s="17">
        <f>IFERROR(__xludf.DUMMYFUNCTION("SPLIT(E, "" "")"),0.237440609293909)</f>
        <v>0.2374406093</v>
      </c>
      <c r="C65" s="4">
        <f>IFERROR(__xludf.DUMMYFUNCTION("""COMPUTED_VALUE"""),0.501690727068659)</f>
        <v>0.5016907271</v>
      </c>
      <c r="D65" s="15">
        <v>126.0</v>
      </c>
      <c r="E65" s="4"/>
      <c r="F65" s="14" t="s">
        <v>257</v>
      </c>
      <c r="G65" s="17">
        <f>IFERROR(__xludf.DUMMYFUNCTION("SPLIT(F:F, "" "")"),0.197716828121454)</f>
        <v>0.1977168281</v>
      </c>
      <c r="H65" s="4">
        <f>IFERROR(__xludf.DUMMYFUNCTION("""COMPUTED_VALUE"""),0.510841077610297)</f>
        <v>0.5108410776</v>
      </c>
      <c r="I65" s="15">
        <v>250.0</v>
      </c>
      <c r="J65" s="4"/>
      <c r="K65" s="14" t="s">
        <v>258</v>
      </c>
      <c r="L65" s="17">
        <f>IFERROR(__xludf.DUMMYFUNCTION("SPLIT(K:K, "" "")"),0.20088443536165)</f>
        <v>0.2008844354</v>
      </c>
      <c r="M65" s="4">
        <f>IFERROR(__xludf.DUMMYFUNCTION("""COMPUTED_VALUE"""),0.386507262272848)</f>
        <v>0.3865072623</v>
      </c>
      <c r="N65" s="15">
        <v>250.0</v>
      </c>
      <c r="O65" s="4"/>
      <c r="P65" s="14" t="s">
        <v>259</v>
      </c>
      <c r="Q65" s="4">
        <f>IFERROR(__xludf.DUMMYFUNCTION("SPLIT(P:P, "" "")"),0.218244391779319)</f>
        <v>0.2182443918</v>
      </c>
      <c r="R65" s="4">
        <f>IFERROR(__xludf.DUMMYFUNCTION("""COMPUTED_VALUE"""),0.355007974065718)</f>
        <v>0.3550079741</v>
      </c>
      <c r="S65" s="15">
        <v>504.0</v>
      </c>
      <c r="T65" s="4"/>
      <c r="U65" s="4"/>
    </row>
    <row r="66">
      <c r="A66" s="14" t="s">
        <v>260</v>
      </c>
      <c r="B66" s="17">
        <f>IFERROR(__xludf.DUMMYFUNCTION("SPLIT(E, "" "")"),0.237573148481649)</f>
        <v>0.2375731485</v>
      </c>
      <c r="C66" s="4">
        <f>IFERROR(__xludf.DUMMYFUNCTION("""COMPUTED_VALUE"""),0.509003211818044)</f>
        <v>0.5090032118</v>
      </c>
      <c r="D66" s="15">
        <v>128.0</v>
      </c>
      <c r="E66" s="4"/>
      <c r="F66" s="14" t="s">
        <v>261</v>
      </c>
      <c r="G66" s="17">
        <f>IFERROR(__xludf.DUMMYFUNCTION("SPLIT(F:F, "" "")"),0.202410172527007)</f>
        <v>0.2024101725</v>
      </c>
      <c r="H66" s="4">
        <f>IFERROR(__xludf.DUMMYFUNCTION("""COMPUTED_VALUE"""),0.512199380693937)</f>
        <v>0.5121993807</v>
      </c>
      <c r="I66" s="15">
        <v>254.0</v>
      </c>
      <c r="J66" s="4"/>
      <c r="K66" s="14" t="s">
        <v>262</v>
      </c>
      <c r="L66" s="17">
        <f>IFERROR(__xludf.DUMMYFUNCTION("SPLIT(K:K, "" "")"),0.197244728021862)</f>
        <v>0.197244728</v>
      </c>
      <c r="M66" s="4">
        <f>IFERROR(__xludf.DUMMYFUNCTION("""COMPUTED_VALUE"""),0.392685748959747)</f>
        <v>0.392685749</v>
      </c>
      <c r="N66" s="15">
        <v>254.0</v>
      </c>
      <c r="O66" s="4"/>
      <c r="P66" s="14" t="s">
        <v>263</v>
      </c>
      <c r="Q66" s="4">
        <f>IFERROR(__xludf.DUMMYFUNCTION("SPLIT(P:P, "" "")"),0.222419244373809)</f>
        <v>0.2224192444</v>
      </c>
      <c r="R66" s="4">
        <f>IFERROR(__xludf.DUMMYFUNCTION("""COMPUTED_VALUE"""),0.357721004049844)</f>
        <v>0.357721004</v>
      </c>
      <c r="S66" s="15">
        <v>512.0</v>
      </c>
      <c r="T66" s="4"/>
      <c r="U66" s="4"/>
    </row>
    <row r="67">
      <c r="A67" s="14" t="s">
        <v>264</v>
      </c>
      <c r="B67" s="17">
        <f>IFERROR(__xludf.DUMMYFUNCTION("SPLIT(E, "" "")"),0.239773979878281)</f>
        <v>0.2397739799</v>
      </c>
      <c r="C67" s="4">
        <f>IFERROR(__xludf.DUMMYFUNCTION("""COMPUTED_VALUE"""),0.507968981532256)</f>
        <v>0.5079689815</v>
      </c>
      <c r="D67" s="15">
        <v>130.0</v>
      </c>
      <c r="E67" s="4"/>
      <c r="F67" s="14" t="s">
        <v>265</v>
      </c>
      <c r="G67" s="17">
        <f>IFERROR(__xludf.DUMMYFUNCTION("SPLIT(F:F, "" "")"),0.198594867276558)</f>
        <v>0.1985948673</v>
      </c>
      <c r="H67" s="4">
        <f>IFERROR(__xludf.DUMMYFUNCTION("""COMPUTED_VALUE"""),0.510503498890243)</f>
        <v>0.5105034989</v>
      </c>
      <c r="I67" s="15">
        <v>258.0</v>
      </c>
      <c r="J67" s="4"/>
      <c r="K67" s="14" t="s">
        <v>266</v>
      </c>
      <c r="L67" s="17">
        <f>IFERROR(__xludf.DUMMYFUNCTION("SPLIT(K:K, "" "")"),0.198817966503129)</f>
        <v>0.1988179665</v>
      </c>
      <c r="M67" s="4">
        <f>IFERROR(__xludf.DUMMYFUNCTION("""COMPUTED_VALUE"""),0.382590125315673)</f>
        <v>0.3825901253</v>
      </c>
      <c r="N67" s="15">
        <v>258.0</v>
      </c>
      <c r="O67" s="4"/>
      <c r="P67" s="14" t="s">
        <v>267</v>
      </c>
      <c r="Q67" s="4">
        <f>IFERROR(__xludf.DUMMYFUNCTION("SPLIT(P:P, "" "")"),0.21861057454476)</f>
        <v>0.2186105745</v>
      </c>
      <c r="R67" s="4">
        <f>IFERROR(__xludf.DUMMYFUNCTION("""COMPUTED_VALUE"""),0.364723718620564)</f>
        <v>0.3647237186</v>
      </c>
      <c r="S67" s="15">
        <v>520.0</v>
      </c>
      <c r="T67" s="4"/>
      <c r="U67" s="4"/>
    </row>
    <row r="68">
      <c r="A68" s="14" t="s">
        <v>268</v>
      </c>
      <c r="B68" s="17">
        <f>IFERROR(__xludf.DUMMYFUNCTION("SPLIT(E, "" "")"),0.235295535897684)</f>
        <v>0.2352955359</v>
      </c>
      <c r="C68" s="4">
        <f>IFERROR(__xludf.DUMMYFUNCTION("""COMPUTED_VALUE"""),0.510070267594943)</f>
        <v>0.5100702676</v>
      </c>
      <c r="D68" s="15">
        <v>132.0</v>
      </c>
      <c r="E68" s="4"/>
      <c r="F68" s="14" t="s">
        <v>269</v>
      </c>
      <c r="G68" s="17">
        <f>IFERROR(__xludf.DUMMYFUNCTION("SPLIT(F:F, "" "")"),0.197901421900877)</f>
        <v>0.1979014219</v>
      </c>
      <c r="H68" s="4">
        <f>IFERROR(__xludf.DUMMYFUNCTION("""COMPUTED_VALUE"""),0.509305457182289)</f>
        <v>0.5093054572</v>
      </c>
      <c r="I68" s="15">
        <v>262.0</v>
      </c>
      <c r="J68" s="4"/>
      <c r="K68" s="14" t="s">
        <v>270</v>
      </c>
      <c r="L68" s="17">
        <f>IFERROR(__xludf.DUMMYFUNCTION("SPLIT(K:K, "" "")"),0.193561644617562)</f>
        <v>0.1935616446</v>
      </c>
      <c r="M68" s="4">
        <f>IFERROR(__xludf.DUMMYFUNCTION("""COMPUTED_VALUE"""),0.382055734299847)</f>
        <v>0.3820557343</v>
      </c>
      <c r="N68" s="15">
        <v>262.0</v>
      </c>
      <c r="O68" s="4"/>
      <c r="P68" s="14" t="s">
        <v>271</v>
      </c>
      <c r="Q68" s="4">
        <f>IFERROR(__xludf.DUMMYFUNCTION("SPLIT(P:P, "" "")"),0.221534470728695)</f>
        <v>0.2215344707</v>
      </c>
      <c r="R68" s="4">
        <f>IFERROR(__xludf.DUMMYFUNCTION("""COMPUTED_VALUE"""),0.355115270253759)</f>
        <v>0.3551152703</v>
      </c>
      <c r="S68" s="15">
        <v>528.0</v>
      </c>
      <c r="T68" s="4"/>
      <c r="U68" s="4"/>
    </row>
    <row r="69">
      <c r="A69" s="14" t="s">
        <v>272</v>
      </c>
      <c r="B69" s="17">
        <f>IFERROR(__xludf.DUMMYFUNCTION("SPLIT(E, "" "")"),0.23208668999878)</f>
        <v>0.23208669</v>
      </c>
      <c r="C69" s="4">
        <f>IFERROR(__xludf.DUMMYFUNCTION("""COMPUTED_VALUE"""),0.500781690740321)</f>
        <v>0.5007816907</v>
      </c>
      <c r="D69" s="15">
        <v>134.0</v>
      </c>
      <c r="E69" s="4"/>
      <c r="F69" s="14" t="s">
        <v>273</v>
      </c>
      <c r="G69" s="17">
        <f>IFERROR(__xludf.DUMMYFUNCTION("SPLIT(F:F, "" "")"),0.197327736963513)</f>
        <v>0.197327737</v>
      </c>
      <c r="H69" s="4">
        <f>IFERROR(__xludf.DUMMYFUNCTION("""COMPUTED_VALUE"""),0.507822007030113)</f>
        <v>0.507822007</v>
      </c>
      <c r="I69" s="15">
        <v>266.0</v>
      </c>
      <c r="J69" s="4"/>
      <c r="K69" s="14" t="s">
        <v>274</v>
      </c>
      <c r="L69" s="17">
        <f>IFERROR(__xludf.DUMMYFUNCTION("SPLIT(K:K, "" "")"),0.198844950896338)</f>
        <v>0.1988449509</v>
      </c>
      <c r="M69" s="4">
        <f>IFERROR(__xludf.DUMMYFUNCTION("""COMPUTED_VALUE"""),0.384464310672789)</f>
        <v>0.3844643107</v>
      </c>
      <c r="N69" s="15">
        <v>266.0</v>
      </c>
      <c r="O69" s="4"/>
      <c r="P69" s="14" t="s">
        <v>275</v>
      </c>
      <c r="Q69" s="4">
        <f>IFERROR(__xludf.DUMMYFUNCTION("SPLIT(P:P, "" "")"),0.219395650301327)</f>
        <v>0.2193956503</v>
      </c>
      <c r="R69" s="4">
        <f>IFERROR(__xludf.DUMMYFUNCTION("""COMPUTED_VALUE"""),0.364657827111655)</f>
        <v>0.3646578271</v>
      </c>
      <c r="S69" s="15">
        <v>536.0</v>
      </c>
      <c r="T69" s="4"/>
      <c r="U69" s="4"/>
    </row>
    <row r="70">
      <c r="A70" s="14" t="s">
        <v>276</v>
      </c>
      <c r="B70" s="17">
        <f>IFERROR(__xludf.DUMMYFUNCTION("SPLIT(E, "" "")"),0.234374857949831)</f>
        <v>0.2343748579</v>
      </c>
      <c r="C70" s="4">
        <f>IFERROR(__xludf.DUMMYFUNCTION("""COMPUTED_VALUE"""),0.515450756545758)</f>
        <v>0.5154507565</v>
      </c>
      <c r="D70" s="15">
        <v>136.0</v>
      </c>
      <c r="E70" s="4"/>
      <c r="F70" s="14" t="s">
        <v>277</v>
      </c>
      <c r="G70" s="17">
        <f>IFERROR(__xludf.DUMMYFUNCTION("SPLIT(F:F, "" "")"),0.18914156650198)</f>
        <v>0.1891415665</v>
      </c>
      <c r="H70" s="4">
        <f>IFERROR(__xludf.DUMMYFUNCTION("""COMPUTED_VALUE"""),0.505530931591715)</f>
        <v>0.5055309316</v>
      </c>
      <c r="I70" s="15">
        <v>270.0</v>
      </c>
      <c r="J70" s="4"/>
      <c r="K70" s="14" t="s">
        <v>278</v>
      </c>
      <c r="L70" s="17">
        <f>IFERROR(__xludf.DUMMYFUNCTION("SPLIT(K:K, "" "")"),0.193097566946927)</f>
        <v>0.1930975669</v>
      </c>
      <c r="M70" s="4">
        <f>IFERROR(__xludf.DUMMYFUNCTION("""COMPUTED_VALUE"""),0.383724901011291)</f>
        <v>0.383724901</v>
      </c>
      <c r="N70" s="15">
        <v>270.0</v>
      </c>
      <c r="O70" s="4"/>
      <c r="P70" s="14" t="s">
        <v>279</v>
      </c>
      <c r="Q70" s="4">
        <f>IFERROR(__xludf.DUMMYFUNCTION("SPLIT(P:P, "" "")"),0.220623467601054)</f>
        <v>0.2206234676</v>
      </c>
      <c r="R70" s="4">
        <f>IFERROR(__xludf.DUMMYFUNCTION("""COMPUTED_VALUE"""),0.370336379432742)</f>
        <v>0.3703363794</v>
      </c>
      <c r="S70" s="15">
        <v>544.0</v>
      </c>
      <c r="T70" s="4"/>
      <c r="U70" s="4"/>
    </row>
    <row r="71">
      <c r="A71" s="14" t="s">
        <v>280</v>
      </c>
      <c r="B71" s="17">
        <f>IFERROR(__xludf.DUMMYFUNCTION("SPLIT(E, "" "")"),0.229875169574659)</f>
        <v>0.2298751696</v>
      </c>
      <c r="C71" s="4">
        <f>IFERROR(__xludf.DUMMYFUNCTION("""COMPUTED_VALUE"""),0.50890552073599)</f>
        <v>0.5089055207</v>
      </c>
      <c r="D71" s="15">
        <v>138.0</v>
      </c>
      <c r="E71" s="4"/>
      <c r="F71" s="14" t="s">
        <v>281</v>
      </c>
      <c r="G71" s="17">
        <f>IFERROR(__xludf.DUMMYFUNCTION("SPLIT(F:F, "" "")"),0.194455009923982)</f>
        <v>0.1944550099</v>
      </c>
      <c r="H71" s="4">
        <f>IFERROR(__xludf.DUMMYFUNCTION("""COMPUTED_VALUE"""),0.515208585953207)</f>
        <v>0.515208586</v>
      </c>
      <c r="I71" s="15">
        <v>274.0</v>
      </c>
      <c r="J71" s="4"/>
      <c r="K71" s="14" t="s">
        <v>282</v>
      </c>
      <c r="L71" s="17">
        <f>IFERROR(__xludf.DUMMYFUNCTION("SPLIT(K:K, "" "")"),0.197007247297664)</f>
        <v>0.1970072473</v>
      </c>
      <c r="M71" s="4">
        <f>IFERROR(__xludf.DUMMYFUNCTION("""COMPUTED_VALUE"""),0.396894111086997)</f>
        <v>0.3968941111</v>
      </c>
      <c r="N71" s="15">
        <v>274.0</v>
      </c>
      <c r="O71" s="4"/>
      <c r="P71" s="14" t="s">
        <v>283</v>
      </c>
      <c r="Q71" s="4">
        <f>IFERROR(__xludf.DUMMYFUNCTION("SPLIT(P:P, "" "")"),0.215650141392701)</f>
        <v>0.2156501414</v>
      </c>
      <c r="R71" s="4">
        <f>IFERROR(__xludf.DUMMYFUNCTION("""COMPUTED_VALUE"""),0.35774978626747)</f>
        <v>0.3577497863</v>
      </c>
      <c r="S71" s="15">
        <v>552.0</v>
      </c>
      <c r="T71" s="4"/>
      <c r="U71" s="4"/>
    </row>
    <row r="72">
      <c r="A72" s="14" t="s">
        <v>284</v>
      </c>
      <c r="B72" s="17">
        <f>IFERROR(__xludf.DUMMYFUNCTION("SPLIT(E, "" "")"),0.234675617304609)</f>
        <v>0.2346756173</v>
      </c>
      <c r="C72" s="4">
        <f>IFERROR(__xludf.DUMMYFUNCTION("""COMPUTED_VALUE"""),0.525513905185297)</f>
        <v>0.5255139052</v>
      </c>
      <c r="D72" s="15">
        <v>140.0</v>
      </c>
      <c r="E72" s="4"/>
      <c r="F72" s="14" t="s">
        <v>285</v>
      </c>
      <c r="G72" s="17">
        <f>IFERROR(__xludf.DUMMYFUNCTION("SPLIT(F:F, "" "")"),0.193238041056346)</f>
        <v>0.1932380411</v>
      </c>
      <c r="H72" s="4">
        <f>IFERROR(__xludf.DUMMYFUNCTION("""COMPUTED_VALUE"""),0.509851412938174)</f>
        <v>0.5098514129</v>
      </c>
      <c r="I72" s="15">
        <v>278.0</v>
      </c>
      <c r="J72" s="4"/>
      <c r="K72" s="14" t="s">
        <v>286</v>
      </c>
      <c r="L72" s="17">
        <f>IFERROR(__xludf.DUMMYFUNCTION("SPLIT(K:K, "" "")"),0.192446138475512)</f>
        <v>0.1924461385</v>
      </c>
      <c r="M72" s="4">
        <f>IFERROR(__xludf.DUMMYFUNCTION("""COMPUTED_VALUE"""),0.383710054503168)</f>
        <v>0.3837100545</v>
      </c>
      <c r="N72" s="15">
        <v>278.0</v>
      </c>
      <c r="O72" s="4"/>
      <c r="P72" s="14" t="s">
        <v>287</v>
      </c>
      <c r="Q72" s="4">
        <f>IFERROR(__xludf.DUMMYFUNCTION("SPLIT(P:P, "" "")"),0.21947623335139)</f>
        <v>0.2194762334</v>
      </c>
      <c r="R72" s="4">
        <f>IFERROR(__xludf.DUMMYFUNCTION("""COMPUTED_VALUE"""),0.363465074695676)</f>
        <v>0.3634650747</v>
      </c>
      <c r="S72" s="15">
        <v>560.0</v>
      </c>
      <c r="T72" s="4"/>
      <c r="U72" s="4"/>
    </row>
    <row r="73">
      <c r="A73" s="14" t="s">
        <v>288</v>
      </c>
      <c r="B73" s="17">
        <f>IFERROR(__xludf.DUMMYFUNCTION("SPLIT(E, "" "")"),0.230285302311753)</f>
        <v>0.2302853023</v>
      </c>
      <c r="C73" s="4">
        <f>IFERROR(__xludf.DUMMYFUNCTION("""COMPUTED_VALUE"""),0.512465275323164)</f>
        <v>0.5124652753</v>
      </c>
      <c r="D73" s="15">
        <v>142.0</v>
      </c>
      <c r="E73" s="4"/>
      <c r="F73" s="14" t="s">
        <v>289</v>
      </c>
      <c r="G73" s="17">
        <f>IFERROR(__xludf.DUMMYFUNCTION("SPLIT(F:F, "" "")"),0.191942928022492)</f>
        <v>0.191942928</v>
      </c>
      <c r="H73" s="4">
        <f>IFERROR(__xludf.DUMMYFUNCTION("""COMPUTED_VALUE"""),0.515541269002401)</f>
        <v>0.515541269</v>
      </c>
      <c r="I73" s="15">
        <v>282.0</v>
      </c>
      <c r="J73" s="4"/>
      <c r="K73" s="14" t="s">
        <v>290</v>
      </c>
      <c r="L73" s="17">
        <f>IFERROR(__xludf.DUMMYFUNCTION("SPLIT(K:K, "" "")"),0.190753762826785)</f>
        <v>0.1907537628</v>
      </c>
      <c r="M73" s="4">
        <f>IFERROR(__xludf.DUMMYFUNCTION("""COMPUTED_VALUE"""),0.38459876223664)</f>
        <v>0.3845987622</v>
      </c>
      <c r="N73" s="15">
        <v>282.0</v>
      </c>
      <c r="O73" s="4"/>
      <c r="P73" s="14" t="s">
        <v>291</v>
      </c>
      <c r="Q73" s="4">
        <f>IFERROR(__xludf.DUMMYFUNCTION("SPLIT(P:P, "" "")"),0.218248893297424)</f>
        <v>0.2182488933</v>
      </c>
      <c r="R73" s="4">
        <f>IFERROR(__xludf.DUMMYFUNCTION("""COMPUTED_VALUE"""),0.361385927041431)</f>
        <v>0.361385927</v>
      </c>
      <c r="S73" s="15">
        <v>568.0</v>
      </c>
      <c r="T73" s="4"/>
      <c r="U73" s="4"/>
    </row>
    <row r="74">
      <c r="A74" s="14" t="s">
        <v>292</v>
      </c>
      <c r="B74" s="17">
        <f>IFERROR(__xludf.DUMMYFUNCTION("SPLIT(E, "" "")"),0.224443049085075)</f>
        <v>0.2244430491</v>
      </c>
      <c r="C74" s="4">
        <f>IFERROR(__xludf.DUMMYFUNCTION("""COMPUTED_VALUE"""),0.501863863224369)</f>
        <v>0.5018638632</v>
      </c>
      <c r="D74" s="15">
        <v>144.0</v>
      </c>
      <c r="E74" s="4"/>
      <c r="F74" s="14" t="s">
        <v>293</v>
      </c>
      <c r="G74" s="17">
        <f>IFERROR(__xludf.DUMMYFUNCTION("SPLIT(F:F, "" "")"),0.188820451379927)</f>
        <v>0.1888204514</v>
      </c>
      <c r="H74" s="4">
        <f>IFERROR(__xludf.DUMMYFUNCTION("""COMPUTED_VALUE"""),0.50271024135178)</f>
        <v>0.5027102414</v>
      </c>
      <c r="I74" s="15">
        <v>286.0</v>
      </c>
      <c r="J74" s="4"/>
      <c r="K74" s="14" t="s">
        <v>294</v>
      </c>
      <c r="L74" s="17">
        <f>IFERROR(__xludf.DUMMYFUNCTION("SPLIT(K:K, "" "")"),0.187475413108053)</f>
        <v>0.1874754131</v>
      </c>
      <c r="M74" s="4">
        <f>IFERROR(__xludf.DUMMYFUNCTION("""COMPUTED_VALUE"""),0.385582092396714)</f>
        <v>0.3855820924</v>
      </c>
      <c r="N74" s="15">
        <v>286.0</v>
      </c>
      <c r="O74" s="4"/>
      <c r="P74" s="14" t="s">
        <v>295</v>
      </c>
      <c r="Q74" s="4">
        <f>IFERROR(__xludf.DUMMYFUNCTION("SPLIT(P:P, "" "")"),0.21578474424519)</f>
        <v>0.2157847442</v>
      </c>
      <c r="R74" s="4">
        <f>IFERROR(__xludf.DUMMYFUNCTION("""COMPUTED_VALUE"""),0.368055645635969)</f>
        <v>0.3680556456</v>
      </c>
      <c r="S74" s="15">
        <v>576.0</v>
      </c>
      <c r="T74" s="4"/>
      <c r="U74" s="4"/>
    </row>
    <row r="75">
      <c r="A75" s="14" t="s">
        <v>296</v>
      </c>
      <c r="B75" s="17">
        <f>IFERROR(__xludf.DUMMYFUNCTION("SPLIT(E, "" "")"),0.225989737503779)</f>
        <v>0.2259897375</v>
      </c>
      <c r="C75" s="4">
        <f>IFERROR(__xludf.DUMMYFUNCTION("""COMPUTED_VALUE"""),0.497023022776127)</f>
        <v>0.4970230228</v>
      </c>
      <c r="D75" s="15">
        <v>146.0</v>
      </c>
      <c r="E75" s="4"/>
      <c r="F75" s="14" t="s">
        <v>297</v>
      </c>
      <c r="G75" s="17">
        <f>IFERROR(__xludf.DUMMYFUNCTION("SPLIT(F:F, "" "")"),0.193033904228512)</f>
        <v>0.1930339042</v>
      </c>
      <c r="H75" s="4">
        <f>IFERROR(__xludf.DUMMYFUNCTION("""COMPUTED_VALUE"""),0.529047323779003)</f>
        <v>0.5290473238</v>
      </c>
      <c r="I75" s="15">
        <v>290.0</v>
      </c>
      <c r="J75" s="4"/>
      <c r="K75" s="14" t="s">
        <v>298</v>
      </c>
      <c r="L75" s="17">
        <f>IFERROR(__xludf.DUMMYFUNCTION("SPLIT(K:K, "" "")"),0.187737186215535)</f>
        <v>0.1877371862</v>
      </c>
      <c r="M75" s="4">
        <f>IFERROR(__xludf.DUMMYFUNCTION("""COMPUTED_VALUE"""),0.386365468813796)</f>
        <v>0.3863654688</v>
      </c>
      <c r="N75" s="15">
        <v>290.0</v>
      </c>
      <c r="O75" s="4"/>
      <c r="P75" s="14" t="s">
        <v>299</v>
      </c>
      <c r="Q75" s="4">
        <f>IFERROR(__xludf.DUMMYFUNCTION("SPLIT(P:P, "" "")"),0.219379165687389)</f>
        <v>0.2193791657</v>
      </c>
      <c r="R75" s="4">
        <f>IFERROR(__xludf.DUMMYFUNCTION("""COMPUTED_VALUE"""),0.375234056327111)</f>
        <v>0.3752340563</v>
      </c>
      <c r="S75" s="15">
        <v>584.0</v>
      </c>
      <c r="T75" s="4"/>
      <c r="U75" s="4"/>
    </row>
    <row r="76">
      <c r="A76" s="14" t="s">
        <v>300</v>
      </c>
      <c r="B76" s="17">
        <f>IFERROR(__xludf.DUMMYFUNCTION("SPLIT(E, "" "")"),0.222812866000568)</f>
        <v>0.222812866</v>
      </c>
      <c r="C76" s="4">
        <f>IFERROR(__xludf.DUMMYFUNCTION("""COMPUTED_VALUE"""),0.502208046108508)</f>
        <v>0.5022080461</v>
      </c>
      <c r="D76" s="15">
        <v>148.0</v>
      </c>
      <c r="E76" s="4"/>
      <c r="F76" s="14" t="s">
        <v>301</v>
      </c>
      <c r="G76" s="17">
        <f>IFERROR(__xludf.DUMMYFUNCTION("SPLIT(F:F, "" "")"),0.186638146392243)</f>
        <v>0.1866381464</v>
      </c>
      <c r="H76" s="4">
        <f>IFERROR(__xludf.DUMMYFUNCTION("""COMPUTED_VALUE"""),0.519688042602574)</f>
        <v>0.5196880426</v>
      </c>
      <c r="I76" s="15">
        <v>294.0</v>
      </c>
      <c r="J76" s="4"/>
      <c r="K76" s="14" t="s">
        <v>302</v>
      </c>
      <c r="L76" s="17">
        <f>IFERROR(__xludf.DUMMYFUNCTION("SPLIT(K:K, "" "")"),0.192773653013931)</f>
        <v>0.192773653</v>
      </c>
      <c r="M76" s="4">
        <f>IFERROR(__xludf.DUMMYFUNCTION("""COMPUTED_VALUE"""),0.382965013930942)</f>
        <v>0.3829650139</v>
      </c>
      <c r="N76" s="15">
        <v>294.0</v>
      </c>
      <c r="O76" s="4"/>
      <c r="P76" s="14" t="s">
        <v>303</v>
      </c>
      <c r="Q76" s="4">
        <f>IFERROR(__xludf.DUMMYFUNCTION("SPLIT(P:P, "" "")"),0.21452507390201)</f>
        <v>0.2145250739</v>
      </c>
      <c r="R76" s="4">
        <f>IFERROR(__xludf.DUMMYFUNCTION("""COMPUTED_VALUE"""),0.35820647569491)</f>
        <v>0.3582064757</v>
      </c>
      <c r="S76" s="15">
        <v>592.0</v>
      </c>
      <c r="T76" s="4"/>
      <c r="U76" s="4"/>
    </row>
    <row r="77">
      <c r="A77" s="14" t="s">
        <v>304</v>
      </c>
      <c r="B77" s="17">
        <f>IFERROR(__xludf.DUMMYFUNCTION("SPLIT(E, "" "")"),0.227205517783737)</f>
        <v>0.2272055178</v>
      </c>
      <c r="C77" s="4">
        <f>IFERROR(__xludf.DUMMYFUNCTION("""COMPUTED_VALUE"""),0.502089286015924)</f>
        <v>0.502089286</v>
      </c>
      <c r="D77" s="15">
        <v>150.0</v>
      </c>
      <c r="E77" s="4"/>
      <c r="F77" s="14" t="s">
        <v>305</v>
      </c>
      <c r="G77" s="17">
        <f>IFERROR(__xludf.DUMMYFUNCTION("SPLIT(F:F, "" "")"),0.192279531837621)</f>
        <v>0.1922795318</v>
      </c>
      <c r="H77" s="4">
        <f>IFERROR(__xludf.DUMMYFUNCTION("""COMPUTED_VALUE"""),0.536612049676822)</f>
        <v>0.5366120497</v>
      </c>
      <c r="I77" s="15">
        <v>298.0</v>
      </c>
      <c r="J77" s="4"/>
      <c r="K77" s="14" t="s">
        <v>306</v>
      </c>
      <c r="L77" s="17">
        <f>IFERROR(__xludf.DUMMYFUNCTION("SPLIT(K:K, "" "")"),0.186840919115634)</f>
        <v>0.1868409191</v>
      </c>
      <c r="M77" s="4">
        <f>IFERROR(__xludf.DUMMYFUNCTION("""COMPUTED_VALUE"""),0.387440224681644)</f>
        <v>0.3874402247</v>
      </c>
      <c r="N77" s="15">
        <v>298.0</v>
      </c>
      <c r="O77" s="4"/>
      <c r="P77" s="14" t="s">
        <v>307</v>
      </c>
      <c r="Q77" s="4">
        <f>IFERROR(__xludf.DUMMYFUNCTION("SPLIT(P:P, "" "")"),0.214088822956776)</f>
        <v>0.214088823</v>
      </c>
      <c r="R77" s="4">
        <f>IFERROR(__xludf.DUMMYFUNCTION("""COMPUTED_VALUE"""),0.36326136378222)</f>
        <v>0.3632613638</v>
      </c>
      <c r="S77" s="15">
        <v>600.0</v>
      </c>
      <c r="T77" s="4"/>
      <c r="U77" s="4"/>
    </row>
    <row r="78">
      <c r="A78" s="14" t="s">
        <v>308</v>
      </c>
      <c r="B78" s="17">
        <f>IFERROR(__xludf.DUMMYFUNCTION("SPLIT(E, "" "")"),0.224551987095041)</f>
        <v>0.2245519871</v>
      </c>
      <c r="C78" s="4">
        <f>IFERROR(__xludf.DUMMYFUNCTION("""COMPUTED_VALUE"""),0.499710003691648)</f>
        <v>0.4997100037</v>
      </c>
      <c r="D78" s="15">
        <v>152.0</v>
      </c>
      <c r="E78" s="4"/>
      <c r="F78" s="14" t="s">
        <v>309</v>
      </c>
      <c r="G78" s="17">
        <f>IFERROR(__xludf.DUMMYFUNCTION("SPLIT(F:F, "" "")"),0.190751814656735)</f>
        <v>0.1907518147</v>
      </c>
      <c r="H78" s="4">
        <f>IFERROR(__xludf.DUMMYFUNCTION("""COMPUTED_VALUE"""),0.50870817217754)</f>
        <v>0.5087081722</v>
      </c>
      <c r="I78" s="15">
        <v>302.0</v>
      </c>
      <c r="J78" s="4"/>
      <c r="K78" s="14" t="s">
        <v>310</v>
      </c>
      <c r="L78" s="17">
        <f>IFERROR(__xludf.DUMMYFUNCTION("SPLIT(K:K, "" "")"),0.185154078953029)</f>
        <v>0.185154079</v>
      </c>
      <c r="M78" s="4">
        <f>IFERROR(__xludf.DUMMYFUNCTION("""COMPUTED_VALUE"""),0.383662342562305)</f>
        <v>0.3836623426</v>
      </c>
      <c r="N78" s="15">
        <v>302.0</v>
      </c>
      <c r="O78" s="4"/>
      <c r="P78" s="14" t="s">
        <v>311</v>
      </c>
      <c r="Q78" s="4">
        <f>IFERROR(__xludf.DUMMYFUNCTION("SPLIT(P:P, "" "")"),0.214105941401454)</f>
        <v>0.2141059414</v>
      </c>
      <c r="R78" s="4">
        <f>IFERROR(__xludf.DUMMYFUNCTION("""COMPUTED_VALUE"""),0.362651703855962)</f>
        <v>0.3626517039</v>
      </c>
      <c r="S78" s="15">
        <v>608.0</v>
      </c>
      <c r="T78" s="4"/>
      <c r="U78" s="4"/>
    </row>
    <row r="79">
      <c r="A79" s="14" t="s">
        <v>312</v>
      </c>
      <c r="B79" s="17">
        <f>IFERROR(__xludf.DUMMYFUNCTION("SPLIT(E, "" "")"),0.223408177049662)</f>
        <v>0.223408177</v>
      </c>
      <c r="C79" s="4">
        <f>IFERROR(__xludf.DUMMYFUNCTION("""COMPUTED_VALUE"""),0.520912640336969)</f>
        <v>0.5209126403</v>
      </c>
      <c r="D79" s="15">
        <v>154.0</v>
      </c>
      <c r="E79" s="4"/>
      <c r="F79" s="14" t="s">
        <v>313</v>
      </c>
      <c r="G79" s="17">
        <f>IFERROR(__xludf.DUMMYFUNCTION("SPLIT(F:F, "" "")"),0.182780464627939)</f>
        <v>0.1827804646</v>
      </c>
      <c r="H79" s="4">
        <f>IFERROR(__xludf.DUMMYFUNCTION("""COMPUTED_VALUE"""),0.521478479995718)</f>
        <v>0.52147848</v>
      </c>
      <c r="I79" s="15">
        <v>306.0</v>
      </c>
      <c r="J79" s="4"/>
      <c r="K79" s="14" t="s">
        <v>314</v>
      </c>
      <c r="L79" s="17">
        <f>IFERROR(__xludf.DUMMYFUNCTION("SPLIT(K:K, "" "")"),0.189132862154295)</f>
        <v>0.1891328622</v>
      </c>
      <c r="M79" s="4">
        <f>IFERROR(__xludf.DUMMYFUNCTION("""COMPUTED_VALUE"""),0.393726968711856)</f>
        <v>0.3937269687</v>
      </c>
      <c r="N79" s="15">
        <v>306.0</v>
      </c>
      <c r="O79" s="4"/>
      <c r="P79" s="14" t="s">
        <v>315</v>
      </c>
      <c r="Q79" s="4">
        <f>IFERROR(__xludf.DUMMYFUNCTION("SPLIT(P:P, "" "")"),0.211069143292395)</f>
        <v>0.2110691433</v>
      </c>
      <c r="R79" s="4">
        <f>IFERROR(__xludf.DUMMYFUNCTION("""COMPUTED_VALUE"""),0.357030431207098)</f>
        <v>0.3570304312</v>
      </c>
      <c r="S79" s="15">
        <v>616.0</v>
      </c>
      <c r="T79" s="4"/>
      <c r="U79" s="4"/>
    </row>
    <row r="80">
      <c r="A80" s="14" t="s">
        <v>316</v>
      </c>
      <c r="B80" s="17">
        <f>IFERROR(__xludf.DUMMYFUNCTION("SPLIT(E, "" "")"),0.221656708992844)</f>
        <v>0.221656709</v>
      </c>
      <c r="C80" s="4">
        <f>IFERROR(__xludf.DUMMYFUNCTION("""COMPUTED_VALUE"""),0.509585571169533)</f>
        <v>0.5095855712</v>
      </c>
      <c r="D80" s="15">
        <v>156.0</v>
      </c>
      <c r="E80" s="4"/>
      <c r="F80" s="14" t="s">
        <v>317</v>
      </c>
      <c r="G80" s="17">
        <f>IFERROR(__xludf.DUMMYFUNCTION("SPLIT(F:F, "" "")"),0.185661590654306)</f>
        <v>0.1856615907</v>
      </c>
      <c r="H80" s="4">
        <f>IFERROR(__xludf.DUMMYFUNCTION("""COMPUTED_VALUE"""),0.528502656155416)</f>
        <v>0.5285026562</v>
      </c>
      <c r="I80" s="15">
        <v>310.0</v>
      </c>
      <c r="J80" s="4"/>
      <c r="K80" s="14" t="s">
        <v>318</v>
      </c>
      <c r="L80" s="17">
        <f>IFERROR(__xludf.DUMMYFUNCTION("SPLIT(K:K, "" "")"),0.180101487996745)</f>
        <v>0.180101488</v>
      </c>
      <c r="M80" s="4">
        <f>IFERROR(__xludf.DUMMYFUNCTION("""COMPUTED_VALUE"""),0.376452434504861)</f>
        <v>0.3764524345</v>
      </c>
      <c r="N80" s="15">
        <v>310.0</v>
      </c>
      <c r="O80" s="4"/>
      <c r="P80" s="14" t="s">
        <v>319</v>
      </c>
      <c r="Q80" s="4">
        <f>IFERROR(__xludf.DUMMYFUNCTION("SPLIT(P:P, "" "")"),0.211642838155835)</f>
        <v>0.2116428382</v>
      </c>
      <c r="R80" s="4">
        <f>IFERROR(__xludf.DUMMYFUNCTION("""COMPUTED_VALUE"""),0.36644843210662)</f>
        <v>0.3664484321</v>
      </c>
      <c r="S80" s="15">
        <v>624.0</v>
      </c>
      <c r="T80" s="4"/>
      <c r="U80" s="4"/>
    </row>
    <row r="81">
      <c r="A81" s="14" t="s">
        <v>320</v>
      </c>
      <c r="B81" s="17">
        <f>IFERROR(__xludf.DUMMYFUNCTION("SPLIT(E, "" "")"),0.229439092259733)</f>
        <v>0.2294390923</v>
      </c>
      <c r="C81" s="4">
        <f>IFERROR(__xludf.DUMMYFUNCTION("""COMPUTED_VALUE"""),0.530489441162421)</f>
        <v>0.5304894412</v>
      </c>
      <c r="D81" s="15">
        <v>158.0</v>
      </c>
      <c r="E81" s="4"/>
      <c r="F81" s="14" t="s">
        <v>321</v>
      </c>
      <c r="G81" s="17">
        <f>IFERROR(__xludf.DUMMYFUNCTION("SPLIT(F:F, "" "")"),0.184421036381421)</f>
        <v>0.1844210364</v>
      </c>
      <c r="H81" s="4">
        <f>IFERROR(__xludf.DUMMYFUNCTION("""COMPUTED_VALUE"""),0.527427182995577)</f>
        <v>0.527427183</v>
      </c>
      <c r="I81" s="15">
        <v>314.0</v>
      </c>
      <c r="J81" s="4"/>
      <c r="K81" s="14" t="s">
        <v>322</v>
      </c>
      <c r="L81" s="17">
        <f>IFERROR(__xludf.DUMMYFUNCTION("SPLIT(K:K, "" "")"),0.184788211898613)</f>
        <v>0.1847882119</v>
      </c>
      <c r="M81" s="4">
        <f>IFERROR(__xludf.DUMMYFUNCTION("""COMPUTED_VALUE"""),0.377316629862657)</f>
        <v>0.3773166299</v>
      </c>
      <c r="N81" s="15">
        <v>314.0</v>
      </c>
      <c r="O81" s="4"/>
      <c r="P81" s="14" t="s">
        <v>323</v>
      </c>
      <c r="Q81" s="4">
        <f>IFERROR(__xludf.DUMMYFUNCTION("SPLIT(P:P, "" "")"),0.212257324294188)</f>
        <v>0.2122573243</v>
      </c>
      <c r="R81" s="4">
        <f>IFERROR(__xludf.DUMMYFUNCTION("""COMPUTED_VALUE"""),0.367143181819415)</f>
        <v>0.3671431818</v>
      </c>
      <c r="S81" s="15">
        <v>632.0</v>
      </c>
      <c r="T81" s="4"/>
      <c r="U81" s="4"/>
    </row>
    <row r="82">
      <c r="A82" s="14" t="s">
        <v>324</v>
      </c>
      <c r="B82" s="17">
        <f>IFERROR(__xludf.DUMMYFUNCTION("SPLIT(E, "" "")"),0.215156596859257)</f>
        <v>0.2151565969</v>
      </c>
      <c r="C82" s="4">
        <f>IFERROR(__xludf.DUMMYFUNCTION("""COMPUTED_VALUE"""),0.497995902362017)</f>
        <v>0.4979959024</v>
      </c>
      <c r="D82" s="15">
        <v>160.0</v>
      </c>
      <c r="E82" s="4"/>
      <c r="F82" s="14" t="s">
        <v>325</v>
      </c>
      <c r="G82" s="17">
        <f>IFERROR(__xludf.DUMMYFUNCTION("SPLIT(F:F, "" "")"),0.182196720138764)</f>
        <v>0.1821967201</v>
      </c>
      <c r="H82" s="4">
        <f>IFERROR(__xludf.DUMMYFUNCTION("""COMPUTED_VALUE"""),0.524905096515022)</f>
        <v>0.5249050965</v>
      </c>
      <c r="I82" s="15">
        <v>318.0</v>
      </c>
      <c r="J82" s="4"/>
      <c r="K82" s="14" t="s">
        <v>326</v>
      </c>
      <c r="L82" s="17">
        <f>IFERROR(__xludf.DUMMYFUNCTION("SPLIT(K:K, "" "")"),0.182953959497621)</f>
        <v>0.1829539595</v>
      </c>
      <c r="M82" s="4">
        <f>IFERROR(__xludf.DUMMYFUNCTION("""COMPUTED_VALUE"""),0.380370931239415)</f>
        <v>0.3803709312</v>
      </c>
      <c r="N82" s="15">
        <v>318.0</v>
      </c>
      <c r="O82" s="4"/>
      <c r="P82" s="14" t="s">
        <v>327</v>
      </c>
      <c r="Q82" s="4">
        <f>IFERROR(__xludf.DUMMYFUNCTION("SPLIT(P:P, "" "")"),0.211869286762699)</f>
        <v>0.2118692868</v>
      </c>
      <c r="R82" s="4">
        <f>IFERROR(__xludf.DUMMYFUNCTION("""COMPUTED_VALUE"""),0.363580041307555)</f>
        <v>0.3635800413</v>
      </c>
      <c r="S82" s="15">
        <v>640.0</v>
      </c>
      <c r="T82" s="4"/>
      <c r="U82" s="4"/>
    </row>
    <row r="83">
      <c r="A83" s="14" t="s">
        <v>328</v>
      </c>
      <c r="B83" s="17">
        <f>IFERROR(__xludf.DUMMYFUNCTION("SPLIT(E, "" "")"),0.214416890261426)</f>
        <v>0.2144168903</v>
      </c>
      <c r="C83" s="4">
        <f>IFERROR(__xludf.DUMMYFUNCTION("""COMPUTED_VALUE"""),0.494525597181716)</f>
        <v>0.4945255972</v>
      </c>
      <c r="D83" s="15">
        <v>162.0</v>
      </c>
      <c r="E83" s="4"/>
      <c r="F83" s="14" t="s">
        <v>329</v>
      </c>
      <c r="G83" s="17">
        <f>IFERROR(__xludf.DUMMYFUNCTION("SPLIT(F:F, "" "")"),0.186513370409571)</f>
        <v>0.1865133704</v>
      </c>
      <c r="H83" s="4">
        <f>IFERROR(__xludf.DUMMYFUNCTION("""COMPUTED_VALUE"""),0.546169102049486)</f>
        <v>0.546169102</v>
      </c>
      <c r="I83" s="15">
        <v>322.0</v>
      </c>
      <c r="J83" s="4"/>
      <c r="K83" s="14" t="s">
        <v>330</v>
      </c>
      <c r="L83" s="17">
        <f>IFERROR(__xludf.DUMMYFUNCTION("SPLIT(K:K, "" "")"),0.178483433807698)</f>
        <v>0.1784834338</v>
      </c>
      <c r="M83" s="4">
        <f>IFERROR(__xludf.DUMMYFUNCTION("""COMPUTED_VALUE"""),0.38090925265481)</f>
        <v>0.3809092527</v>
      </c>
      <c r="N83" s="15">
        <v>322.0</v>
      </c>
      <c r="O83" s="4"/>
      <c r="P83" s="14" t="s">
        <v>331</v>
      </c>
      <c r="Q83" s="4">
        <f>IFERROR(__xludf.DUMMYFUNCTION("SPLIT(P:P, "" "")"),0.213798943136223)</f>
        <v>0.2137989431</v>
      </c>
      <c r="R83" s="4">
        <f>IFERROR(__xludf.DUMMYFUNCTION("""COMPUTED_VALUE"""),0.364165923307994)</f>
        <v>0.3641659233</v>
      </c>
      <c r="S83" s="15">
        <v>648.0</v>
      </c>
      <c r="T83" s="4"/>
      <c r="U83" s="4"/>
    </row>
    <row r="84">
      <c r="A84" s="14" t="s">
        <v>332</v>
      </c>
      <c r="B84" s="17">
        <f>IFERROR(__xludf.DUMMYFUNCTION("SPLIT(E, "" "")"),0.21612041033278)</f>
        <v>0.2161204103</v>
      </c>
      <c r="C84" s="4">
        <f>IFERROR(__xludf.DUMMYFUNCTION("""COMPUTED_VALUE"""),0.511463750021131)</f>
        <v>0.51146375</v>
      </c>
      <c r="D84" s="15">
        <v>164.0</v>
      </c>
      <c r="E84" s="4"/>
      <c r="F84" s="14" t="s">
        <v>333</v>
      </c>
      <c r="G84" s="17">
        <f>IFERROR(__xludf.DUMMYFUNCTION("SPLIT(F:F, "" "")"),0.181310385096177)</f>
        <v>0.1813103851</v>
      </c>
      <c r="H84" s="4">
        <f>IFERROR(__xludf.DUMMYFUNCTION("""COMPUTED_VALUE"""),0.526709283065401)</f>
        <v>0.5267092831</v>
      </c>
      <c r="I84" s="15">
        <v>326.0</v>
      </c>
      <c r="J84" s="4"/>
      <c r="K84" s="14" t="s">
        <v>334</v>
      </c>
      <c r="L84" s="17">
        <f>IFERROR(__xludf.DUMMYFUNCTION("SPLIT(K:K, "" "")"),0.183007427301167)</f>
        <v>0.1830074273</v>
      </c>
      <c r="M84" s="4">
        <f>IFERROR(__xludf.DUMMYFUNCTION("""COMPUTED_VALUE"""),0.377576136950837)</f>
        <v>0.377576137</v>
      </c>
      <c r="N84" s="15">
        <v>326.0</v>
      </c>
      <c r="O84" s="4"/>
      <c r="P84" s="14" t="s">
        <v>335</v>
      </c>
      <c r="Q84" s="4">
        <f>IFERROR(__xludf.DUMMYFUNCTION("SPLIT(P:P, "" "")"),0.210849602598252)</f>
        <v>0.2108496026</v>
      </c>
      <c r="R84" s="4">
        <f>IFERROR(__xludf.DUMMYFUNCTION("""COMPUTED_VALUE"""),0.35724649362536)</f>
        <v>0.3572464936</v>
      </c>
      <c r="S84" s="15">
        <v>656.0</v>
      </c>
      <c r="T84" s="4"/>
      <c r="U84" s="4"/>
    </row>
    <row r="85">
      <c r="A85" s="14" t="s">
        <v>336</v>
      </c>
      <c r="B85" s="17">
        <f>IFERROR(__xludf.DUMMYFUNCTION("SPLIT(E, "" "")"),0.21980248246534)</f>
        <v>0.2198024825</v>
      </c>
      <c r="C85" s="4">
        <f>IFERROR(__xludf.DUMMYFUNCTION("""COMPUTED_VALUE"""),0.512393022094694)</f>
        <v>0.5123930221</v>
      </c>
      <c r="D85" s="15">
        <v>166.0</v>
      </c>
      <c r="E85" s="4"/>
      <c r="F85" s="14" t="s">
        <v>337</v>
      </c>
      <c r="G85" s="17">
        <f>IFERROR(__xludf.DUMMYFUNCTION("SPLIT(F:F, "" "")"),0.179362832669245)</f>
        <v>0.1793628327</v>
      </c>
      <c r="H85" s="4">
        <f>IFERROR(__xludf.DUMMYFUNCTION("""COMPUTED_VALUE"""),0.519684254023756)</f>
        <v>0.519684254</v>
      </c>
      <c r="I85" s="15">
        <v>330.0</v>
      </c>
      <c r="J85" s="4"/>
      <c r="K85" s="14" t="s">
        <v>338</v>
      </c>
      <c r="L85" s="17">
        <f>IFERROR(__xludf.DUMMYFUNCTION("SPLIT(K:K, "" "")"),0.176338808747544)</f>
        <v>0.1763388087</v>
      </c>
      <c r="M85" s="4">
        <f>IFERROR(__xludf.DUMMYFUNCTION("""COMPUTED_VALUE"""),0.378258102983007)</f>
        <v>0.378258103</v>
      </c>
      <c r="N85" s="15">
        <v>330.0</v>
      </c>
      <c r="O85" s="4"/>
      <c r="P85" s="14" t="s">
        <v>339</v>
      </c>
      <c r="Q85" s="4">
        <f>IFERROR(__xludf.DUMMYFUNCTION("SPLIT(P:P, "" "")"),0.210808039232432)</f>
        <v>0.2108080392</v>
      </c>
      <c r="R85" s="4">
        <f>IFERROR(__xludf.DUMMYFUNCTION("""COMPUTED_VALUE"""),0.357435702276489)</f>
        <v>0.3574357023</v>
      </c>
      <c r="S85" s="15">
        <v>664.0</v>
      </c>
      <c r="T85" s="4"/>
      <c r="U85" s="4"/>
    </row>
    <row r="86">
      <c r="A86" s="14" t="s">
        <v>340</v>
      </c>
      <c r="B86" s="17">
        <f>IFERROR(__xludf.DUMMYFUNCTION("SPLIT(E, "" "")"),0.214370016005003)</f>
        <v>0.214370016</v>
      </c>
      <c r="C86" s="4">
        <f>IFERROR(__xludf.DUMMYFUNCTION("""COMPUTED_VALUE"""),0.502188615036097)</f>
        <v>0.502188615</v>
      </c>
      <c r="D86" s="15">
        <v>168.0</v>
      </c>
      <c r="E86" s="4"/>
      <c r="F86" s="14" t="s">
        <v>341</v>
      </c>
      <c r="G86" s="17">
        <f>IFERROR(__xludf.DUMMYFUNCTION("SPLIT(F:F, "" "")"),0.17691624568055)</f>
        <v>0.1769162457</v>
      </c>
      <c r="H86" s="4">
        <f>IFERROR(__xludf.DUMMYFUNCTION("""COMPUTED_VALUE"""),0.523850767830096)</f>
        <v>0.5238507678</v>
      </c>
      <c r="I86" s="15">
        <v>334.0</v>
      </c>
      <c r="J86" s="4"/>
      <c r="K86" s="14" t="s">
        <v>342</v>
      </c>
      <c r="L86" s="17">
        <f>IFERROR(__xludf.DUMMYFUNCTION("SPLIT(K:K, "" "")"),0.179853663106183)</f>
        <v>0.1798536631</v>
      </c>
      <c r="M86" s="4">
        <f>IFERROR(__xludf.DUMMYFUNCTION("""COMPUTED_VALUE"""),0.37807839975945)</f>
        <v>0.3780783998</v>
      </c>
      <c r="N86" s="15">
        <v>334.0</v>
      </c>
      <c r="O86" s="4"/>
      <c r="P86" s="14" t="s">
        <v>343</v>
      </c>
      <c r="Q86" s="4">
        <f>IFERROR(__xludf.DUMMYFUNCTION("SPLIT(P:P, "" "")"),0.212155260596474)</f>
        <v>0.2121552606</v>
      </c>
      <c r="R86" s="4">
        <f>IFERROR(__xludf.DUMMYFUNCTION("""COMPUTED_VALUE"""),0.361697869132547)</f>
        <v>0.3616978691</v>
      </c>
      <c r="S86" s="15">
        <v>672.0</v>
      </c>
      <c r="T86" s="4"/>
      <c r="U86" s="4"/>
    </row>
    <row r="87">
      <c r="A87" s="14" t="s">
        <v>344</v>
      </c>
      <c r="B87" s="17">
        <f>IFERROR(__xludf.DUMMYFUNCTION("SPLIT(E, "" "")"),0.215113099712265)</f>
        <v>0.2151130997</v>
      </c>
      <c r="C87" s="4">
        <f>IFERROR(__xludf.DUMMYFUNCTION("""COMPUTED_VALUE"""),0.509853150044025)</f>
        <v>0.50985315</v>
      </c>
      <c r="D87" s="15">
        <v>170.0</v>
      </c>
      <c r="E87" s="4"/>
      <c r="F87" s="14" t="s">
        <v>345</v>
      </c>
      <c r="G87" s="17">
        <f>IFERROR(__xludf.DUMMYFUNCTION("SPLIT(F:F, "" "")"),0.179425650780115)</f>
        <v>0.1794256508</v>
      </c>
      <c r="H87" s="4">
        <f>IFERROR(__xludf.DUMMYFUNCTION("""COMPUTED_VALUE"""),0.51906439088913)</f>
        <v>0.5190643909</v>
      </c>
      <c r="I87" s="15">
        <v>338.0</v>
      </c>
      <c r="J87" s="4"/>
      <c r="K87" s="14" t="s">
        <v>346</v>
      </c>
      <c r="L87" s="17">
        <f>IFERROR(__xludf.DUMMYFUNCTION("SPLIT(K:K, "" "")"),0.174892763935122)</f>
        <v>0.1748927639</v>
      </c>
      <c r="M87" s="4">
        <f>IFERROR(__xludf.DUMMYFUNCTION("""COMPUTED_VALUE"""),0.377284494761837)</f>
        <v>0.3772844948</v>
      </c>
      <c r="N87" s="15">
        <v>338.0</v>
      </c>
      <c r="O87" s="4"/>
      <c r="P87" s="14" t="s">
        <v>347</v>
      </c>
      <c r="Q87" s="4">
        <f>IFERROR(__xludf.DUMMYFUNCTION("SPLIT(P:P, "" "")"),0.213399425245546)</f>
        <v>0.2133994252</v>
      </c>
      <c r="R87" s="4">
        <f>IFERROR(__xludf.DUMMYFUNCTION("""COMPUTED_VALUE"""),0.36090111776486)</f>
        <v>0.3609011178</v>
      </c>
      <c r="S87" s="15">
        <v>680.0</v>
      </c>
      <c r="T87" s="4"/>
      <c r="U87" s="4"/>
    </row>
    <row r="88">
      <c r="A88" s="14" t="s">
        <v>348</v>
      </c>
      <c r="B88" s="17">
        <f>IFERROR(__xludf.DUMMYFUNCTION("SPLIT(E, "" "")"),0.209554635004836)</f>
        <v>0.209554635</v>
      </c>
      <c r="C88" s="4">
        <f>IFERROR(__xludf.DUMMYFUNCTION("""COMPUTED_VALUE"""),0.489878166193268)</f>
        <v>0.4898781662</v>
      </c>
      <c r="D88" s="15">
        <v>172.0</v>
      </c>
      <c r="E88" s="4"/>
      <c r="F88" s="14" t="s">
        <v>349</v>
      </c>
      <c r="G88" s="17">
        <f>IFERROR(__xludf.DUMMYFUNCTION("SPLIT(F:F, "" "")"),0.177322475513687)</f>
        <v>0.1773224755</v>
      </c>
      <c r="H88" s="4">
        <f>IFERROR(__xludf.DUMMYFUNCTION("""COMPUTED_VALUE"""),0.512926843127232)</f>
        <v>0.5129268431</v>
      </c>
      <c r="I88" s="15">
        <v>342.0</v>
      </c>
      <c r="J88" s="4"/>
      <c r="K88" s="14" t="s">
        <v>350</v>
      </c>
      <c r="L88" s="17">
        <f>IFERROR(__xludf.DUMMYFUNCTION("SPLIT(K:K, "" "")"),0.175801417868453)</f>
        <v>0.1758014179</v>
      </c>
      <c r="M88" s="4">
        <f>IFERROR(__xludf.DUMMYFUNCTION("""COMPUTED_VALUE"""),0.374269344022827)</f>
        <v>0.374269344</v>
      </c>
      <c r="N88" s="15">
        <v>342.0</v>
      </c>
      <c r="O88" s="4"/>
      <c r="P88" s="14" t="s">
        <v>351</v>
      </c>
      <c r="Q88" s="4">
        <f>IFERROR(__xludf.DUMMYFUNCTION("SPLIT(P:P, "" "")"),0.211192772405148)</f>
        <v>0.2111927724</v>
      </c>
      <c r="R88" s="4">
        <f>IFERROR(__xludf.DUMMYFUNCTION("""COMPUTED_VALUE"""),0.359925065578636)</f>
        <v>0.3599250656</v>
      </c>
      <c r="S88" s="15">
        <v>688.0</v>
      </c>
      <c r="T88" s="4"/>
      <c r="U88" s="4"/>
    </row>
    <row r="89">
      <c r="A89" s="14" t="s">
        <v>352</v>
      </c>
      <c r="B89" s="17">
        <f>IFERROR(__xludf.DUMMYFUNCTION("SPLIT(E, "" "")"),0.204420566291895)</f>
        <v>0.2044205663</v>
      </c>
      <c r="C89" s="4">
        <f>IFERROR(__xludf.DUMMYFUNCTION("""COMPUTED_VALUE"""),0.483349337795437)</f>
        <v>0.4833493378</v>
      </c>
      <c r="D89" s="15">
        <v>176.0</v>
      </c>
      <c r="E89" s="4"/>
      <c r="F89" s="14" t="s">
        <v>353</v>
      </c>
      <c r="G89" s="17">
        <f>IFERROR(__xludf.DUMMYFUNCTION("SPLIT(F:F, "" "")"),0.181442971671776)</f>
        <v>0.1814429717</v>
      </c>
      <c r="H89" s="4">
        <f>IFERROR(__xludf.DUMMYFUNCTION("""COMPUTED_VALUE"""),0.524241349228856)</f>
        <v>0.5242413492</v>
      </c>
      <c r="I89" s="15">
        <v>346.0</v>
      </c>
      <c r="J89" s="4"/>
      <c r="K89" s="14" t="s">
        <v>354</v>
      </c>
      <c r="L89" s="17">
        <f>IFERROR(__xludf.DUMMYFUNCTION("SPLIT(K:K, "" "")"),0.174367798655612)</f>
        <v>0.1743677987</v>
      </c>
      <c r="M89" s="4">
        <f>IFERROR(__xludf.DUMMYFUNCTION("""COMPUTED_VALUE"""),0.374187622051127)</f>
        <v>0.3741876221</v>
      </c>
      <c r="N89" s="15">
        <v>346.0</v>
      </c>
      <c r="O89" s="4"/>
      <c r="P89" s="14" t="s">
        <v>355</v>
      </c>
      <c r="Q89" s="4">
        <f>IFERROR(__xludf.DUMMYFUNCTION("SPLIT(P:P, "" "")"),0.213985304430788)</f>
        <v>0.2139853044</v>
      </c>
      <c r="R89" s="4">
        <f>IFERROR(__xludf.DUMMYFUNCTION("""COMPUTED_VALUE"""),0.36199474328793)</f>
        <v>0.3619947433</v>
      </c>
      <c r="S89" s="15">
        <v>696.0</v>
      </c>
      <c r="T89" s="4"/>
      <c r="U89" s="4"/>
    </row>
    <row r="90">
      <c r="A90" s="14" t="s">
        <v>356</v>
      </c>
      <c r="B90" s="17">
        <f>IFERROR(__xludf.DUMMYFUNCTION("SPLIT(E, "" "")"),0.209178358419397)</f>
        <v>0.2091783584</v>
      </c>
      <c r="C90" s="4">
        <f>IFERROR(__xludf.DUMMYFUNCTION("""COMPUTED_VALUE"""),0.491221982740481)</f>
        <v>0.4912219827</v>
      </c>
      <c r="D90" s="15">
        <v>178.0</v>
      </c>
      <c r="E90" s="4"/>
      <c r="F90" s="14" t="s">
        <v>357</v>
      </c>
      <c r="G90" s="17">
        <f>IFERROR(__xludf.DUMMYFUNCTION("SPLIT(F:F, "" "")"),0.180388727613873)</f>
        <v>0.1803887276</v>
      </c>
      <c r="H90" s="4">
        <f>IFERROR(__xludf.DUMMYFUNCTION("""COMPUTED_VALUE"""),0.539363489627408)</f>
        <v>0.5393634896</v>
      </c>
      <c r="I90" s="15">
        <v>350.0</v>
      </c>
      <c r="J90" s="4"/>
      <c r="K90" s="14" t="s">
        <v>358</v>
      </c>
      <c r="L90" s="17">
        <f>IFERROR(__xludf.DUMMYFUNCTION("SPLIT(K:K, "" "")"),0.177821496930161)</f>
        <v>0.1778214969</v>
      </c>
      <c r="M90" s="4">
        <f>IFERROR(__xludf.DUMMYFUNCTION("""COMPUTED_VALUE"""),0.38250288393939)</f>
        <v>0.3825028839</v>
      </c>
      <c r="N90" s="15">
        <v>350.0</v>
      </c>
      <c r="O90" s="4"/>
      <c r="P90" s="14" t="s">
        <v>359</v>
      </c>
      <c r="Q90" s="4">
        <f>IFERROR(__xludf.DUMMYFUNCTION("SPLIT(P:P, "" "")"),0.205657439287533)</f>
        <v>0.2056574393</v>
      </c>
      <c r="R90" s="4">
        <f>IFERROR(__xludf.DUMMYFUNCTION("""COMPUTED_VALUE"""),0.354595486393759)</f>
        <v>0.3545954864</v>
      </c>
      <c r="S90" s="15">
        <v>704.0</v>
      </c>
      <c r="T90" s="4"/>
      <c r="U90" s="4"/>
    </row>
    <row r="91">
      <c r="A91" s="14" t="s">
        <v>360</v>
      </c>
      <c r="B91" s="17">
        <f>IFERROR(__xludf.DUMMYFUNCTION("SPLIT(E, "" "")"),0.209983903683662)</f>
        <v>0.2099839037</v>
      </c>
      <c r="C91" s="4">
        <f>IFERROR(__xludf.DUMMYFUNCTION("""COMPUTED_VALUE"""),0.486100479351852)</f>
        <v>0.4861004794</v>
      </c>
      <c r="D91" s="15">
        <v>180.0</v>
      </c>
      <c r="E91" s="4"/>
      <c r="F91" s="14" t="s">
        <v>361</v>
      </c>
      <c r="G91" s="17">
        <f>IFERROR(__xludf.DUMMYFUNCTION("SPLIT(F:F, "" "")"),0.176198842627624)</f>
        <v>0.1761988426</v>
      </c>
      <c r="H91" s="4">
        <f>IFERROR(__xludf.DUMMYFUNCTION("""COMPUTED_VALUE"""),0.534953487878764)</f>
        <v>0.5349534879</v>
      </c>
      <c r="I91" s="15">
        <v>354.0</v>
      </c>
      <c r="J91" s="4"/>
      <c r="K91" s="14" t="s">
        <v>362</v>
      </c>
      <c r="L91" s="17">
        <f>IFERROR(__xludf.DUMMYFUNCTION("SPLIT(K:K, "" "")"),0.176795825026363)</f>
        <v>0.176795825</v>
      </c>
      <c r="M91" s="4">
        <f>IFERROR(__xludf.DUMMYFUNCTION("""COMPUTED_VALUE"""),0.387175897590501)</f>
        <v>0.3871758976</v>
      </c>
      <c r="N91" s="15">
        <v>354.0</v>
      </c>
      <c r="O91" s="4"/>
      <c r="P91" s="14" t="s">
        <v>363</v>
      </c>
      <c r="Q91" s="4">
        <f>IFERROR(__xludf.DUMMYFUNCTION("SPLIT(P:P, "" "")"),0.209177670716199)</f>
        <v>0.2091776707</v>
      </c>
      <c r="R91" s="4">
        <f>IFERROR(__xludf.DUMMYFUNCTION("""COMPUTED_VALUE"""),0.357668788013872)</f>
        <v>0.357668788</v>
      </c>
      <c r="S91" s="15">
        <v>712.0</v>
      </c>
      <c r="T91" s="4"/>
      <c r="U91" s="4"/>
    </row>
    <row r="92">
      <c r="A92" s="14" t="s">
        <v>364</v>
      </c>
      <c r="B92" s="17">
        <f>IFERROR(__xludf.DUMMYFUNCTION("SPLIT(E, "" "")"),0.204227443946522)</f>
        <v>0.2042274439</v>
      </c>
      <c r="C92" s="4">
        <f>IFERROR(__xludf.DUMMYFUNCTION("""COMPUTED_VALUE"""),0.495141818817113)</f>
        <v>0.4951418188</v>
      </c>
      <c r="D92" s="15">
        <v>182.0</v>
      </c>
      <c r="E92" s="4"/>
      <c r="F92" s="14" t="s">
        <v>365</v>
      </c>
      <c r="G92" s="17">
        <f>IFERROR(__xludf.DUMMYFUNCTION("SPLIT(F:F, "" "")"),0.172319259406674)</f>
        <v>0.1723192594</v>
      </c>
      <c r="H92" s="4">
        <f>IFERROR(__xludf.DUMMYFUNCTION("""COMPUTED_VALUE"""),0.521402790361326)</f>
        <v>0.5214027904</v>
      </c>
      <c r="I92" s="15">
        <v>358.0</v>
      </c>
      <c r="J92" s="4"/>
      <c r="K92" s="14" t="s">
        <v>366</v>
      </c>
      <c r="L92" s="17">
        <f>IFERROR(__xludf.DUMMYFUNCTION("SPLIT(K:K, "" "")"),0.172029996653538)</f>
        <v>0.1720299967</v>
      </c>
      <c r="M92" s="4">
        <f>IFERROR(__xludf.DUMMYFUNCTION("""COMPUTED_VALUE"""),0.385068111981187)</f>
        <v>0.385068112</v>
      </c>
      <c r="N92" s="15">
        <v>358.0</v>
      </c>
      <c r="O92" s="4"/>
      <c r="P92" s="14" t="s">
        <v>367</v>
      </c>
      <c r="Q92" s="4">
        <f>IFERROR(__xludf.DUMMYFUNCTION("SPLIT(P:P, "" "")"),0.210367161280509)</f>
        <v>0.2103671613</v>
      </c>
      <c r="R92" s="4">
        <f>IFERROR(__xludf.DUMMYFUNCTION("""COMPUTED_VALUE"""),0.362969125183329)</f>
        <v>0.3629691252</v>
      </c>
      <c r="S92" s="15">
        <v>720.0</v>
      </c>
      <c r="T92" s="4"/>
      <c r="U92" s="4"/>
    </row>
    <row r="93">
      <c r="A93" s="14" t="s">
        <v>368</v>
      </c>
      <c r="B93" s="17">
        <f>IFERROR(__xludf.DUMMYFUNCTION("SPLIT(E, "" "")"),0.208337385793328)</f>
        <v>0.2083373858</v>
      </c>
      <c r="C93" s="4">
        <f>IFERROR(__xludf.DUMMYFUNCTION("""COMPUTED_VALUE"""),0.504265949771865)</f>
        <v>0.5042659498</v>
      </c>
      <c r="D93" s="15">
        <v>184.0</v>
      </c>
      <c r="E93" s="4"/>
      <c r="F93" s="14" t="s">
        <v>369</v>
      </c>
      <c r="G93" s="17">
        <f>IFERROR(__xludf.DUMMYFUNCTION("SPLIT(F:F, "" "")"),0.171878028926345)</f>
        <v>0.1718780289</v>
      </c>
      <c r="H93" s="4">
        <f>IFERROR(__xludf.DUMMYFUNCTION("""COMPUTED_VALUE"""),0.536595486076384)</f>
        <v>0.5365954861</v>
      </c>
      <c r="I93" s="15">
        <v>362.0</v>
      </c>
      <c r="J93" s="4"/>
      <c r="K93" s="14" t="s">
        <v>370</v>
      </c>
      <c r="L93" s="17">
        <f>IFERROR(__xludf.DUMMYFUNCTION("SPLIT(K:K, "" "")"),0.173186395351259)</f>
        <v>0.1731863954</v>
      </c>
      <c r="M93" s="4">
        <f>IFERROR(__xludf.DUMMYFUNCTION("""COMPUTED_VALUE"""),0.374564342662665)</f>
        <v>0.3745643427</v>
      </c>
      <c r="N93" s="15">
        <v>362.0</v>
      </c>
      <c r="O93" s="4"/>
      <c r="P93" s="14" t="s">
        <v>371</v>
      </c>
      <c r="Q93" s="4">
        <f>IFERROR(__xludf.DUMMYFUNCTION("SPLIT(P:P, "" "")"),0.205081400509282)</f>
        <v>0.2050814005</v>
      </c>
      <c r="R93" s="4">
        <f>IFERROR(__xludf.DUMMYFUNCTION("""COMPUTED_VALUE"""),0.363153930481243)</f>
        <v>0.3631539305</v>
      </c>
      <c r="S93" s="15">
        <v>728.0</v>
      </c>
      <c r="T93" s="4"/>
      <c r="U93" s="4"/>
    </row>
    <row r="94">
      <c r="A94" s="14" t="s">
        <v>372</v>
      </c>
      <c r="B94" s="17">
        <f>IFERROR(__xludf.DUMMYFUNCTION("SPLIT(E, "" "")"),0.205413276842284)</f>
        <v>0.2054132768</v>
      </c>
      <c r="C94" s="4">
        <f>IFERROR(__xludf.DUMMYFUNCTION("""COMPUTED_VALUE"""),0.494267986242403)</f>
        <v>0.4942679862</v>
      </c>
      <c r="D94" s="15">
        <v>186.0</v>
      </c>
      <c r="E94" s="4"/>
      <c r="F94" s="14" t="s">
        <v>373</v>
      </c>
      <c r="G94" s="17">
        <f>IFERROR(__xludf.DUMMYFUNCTION("SPLIT(F:F, "" "")"),0.183907180666171)</f>
        <v>0.1839071807</v>
      </c>
      <c r="H94" s="4">
        <f>IFERROR(__xludf.DUMMYFUNCTION("""COMPUTED_VALUE"""),0.519996259893087)</f>
        <v>0.5199962599</v>
      </c>
      <c r="I94" s="15">
        <v>366.0</v>
      </c>
      <c r="J94" s="4"/>
      <c r="K94" s="14" t="s">
        <v>374</v>
      </c>
      <c r="L94" s="17">
        <f>IFERROR(__xludf.DUMMYFUNCTION("SPLIT(K:K, "" "")"),0.16827854045208)</f>
        <v>0.1682785405</v>
      </c>
      <c r="M94" s="4">
        <f>IFERROR(__xludf.DUMMYFUNCTION("""COMPUTED_VALUE"""),0.377500221248643)</f>
        <v>0.3775002212</v>
      </c>
      <c r="N94" s="15">
        <v>366.0</v>
      </c>
      <c r="O94" s="4"/>
      <c r="P94" s="14" t="s">
        <v>375</v>
      </c>
      <c r="Q94" s="4">
        <f>IFERROR(__xludf.DUMMYFUNCTION("SPLIT(P:P, "" "")"),0.208117763457767)</f>
        <v>0.2081177635</v>
      </c>
      <c r="R94" s="4">
        <f>IFERROR(__xludf.DUMMYFUNCTION("""COMPUTED_VALUE"""),0.359498429176666)</f>
        <v>0.3594984292</v>
      </c>
      <c r="S94" s="15">
        <v>736.0</v>
      </c>
      <c r="T94" s="4"/>
      <c r="U94" s="4"/>
    </row>
    <row r="95">
      <c r="A95" s="14" t="s">
        <v>376</v>
      </c>
      <c r="B95" s="17">
        <f>IFERROR(__xludf.DUMMYFUNCTION("SPLIT(E, "" "")"),0.204442415381247)</f>
        <v>0.2044424154</v>
      </c>
      <c r="C95" s="4">
        <f>IFERROR(__xludf.DUMMYFUNCTION("""COMPUTED_VALUE"""),0.502145758116144)</f>
        <v>0.5021457581</v>
      </c>
      <c r="D95" s="15">
        <v>188.0</v>
      </c>
      <c r="E95" s="4"/>
      <c r="F95" s="14" t="s">
        <v>377</v>
      </c>
      <c r="G95" s="17">
        <f>IFERROR(__xludf.DUMMYFUNCTION("SPLIT(F:F, "" "")"),0.171804812030404)</f>
        <v>0.171804812</v>
      </c>
      <c r="H95" s="4">
        <f>IFERROR(__xludf.DUMMYFUNCTION("""COMPUTED_VALUE"""),0.530612412864724)</f>
        <v>0.5306124129</v>
      </c>
      <c r="I95" s="15">
        <v>370.0</v>
      </c>
      <c r="J95" s="4"/>
      <c r="K95" s="14" t="s">
        <v>378</v>
      </c>
      <c r="L95" s="17">
        <f>IFERROR(__xludf.DUMMYFUNCTION("SPLIT(K:K, "" "")"),0.177449486582844)</f>
        <v>0.1774494866</v>
      </c>
      <c r="M95" s="4">
        <f>IFERROR(__xludf.DUMMYFUNCTION("""COMPUTED_VALUE"""),0.385322453173433)</f>
        <v>0.3853224532</v>
      </c>
      <c r="N95" s="15">
        <v>370.0</v>
      </c>
      <c r="O95" s="4"/>
      <c r="P95" s="14" t="s">
        <v>379</v>
      </c>
      <c r="Q95" s="4">
        <f>IFERROR(__xludf.DUMMYFUNCTION("SPLIT(P:P, "" "")"),0.205684115547044)</f>
        <v>0.2056841155</v>
      </c>
      <c r="R95" s="4">
        <f>IFERROR(__xludf.DUMMYFUNCTION("""COMPUTED_VALUE"""),0.357863865696938)</f>
        <v>0.3578638657</v>
      </c>
      <c r="S95" s="15">
        <v>744.0</v>
      </c>
      <c r="T95" s="4"/>
      <c r="U95" s="4"/>
    </row>
    <row r="96">
      <c r="A96" s="14" t="s">
        <v>380</v>
      </c>
      <c r="B96" s="17">
        <f>IFERROR(__xludf.DUMMYFUNCTION("SPLIT(E, "" "")"),0.19890887500653)</f>
        <v>0.198908875</v>
      </c>
      <c r="C96" s="4">
        <f>IFERROR(__xludf.DUMMYFUNCTION("""COMPUTED_VALUE"""),0.485496692543625)</f>
        <v>0.4854966925</v>
      </c>
      <c r="D96" s="15">
        <v>190.0</v>
      </c>
      <c r="E96" s="4"/>
      <c r="F96" s="14" t="s">
        <v>381</v>
      </c>
      <c r="G96" s="17">
        <f>IFERROR(__xludf.DUMMYFUNCTION("SPLIT(F:F, "" "")"),0.169199409907516)</f>
        <v>0.1691994099</v>
      </c>
      <c r="H96" s="4">
        <f>IFERROR(__xludf.DUMMYFUNCTION("""COMPUTED_VALUE"""),0.531538347349323)</f>
        <v>0.5315383473</v>
      </c>
      <c r="I96" s="15">
        <v>374.0</v>
      </c>
      <c r="J96" s="4"/>
      <c r="K96" s="14" t="s">
        <v>382</v>
      </c>
      <c r="L96" s="17">
        <f>IFERROR(__xludf.DUMMYFUNCTION("SPLIT(K:K, "" "")"),0.170822340999985)</f>
        <v>0.170822341</v>
      </c>
      <c r="M96" s="4">
        <f>IFERROR(__xludf.DUMMYFUNCTION("""COMPUTED_VALUE"""),0.370562792387995)</f>
        <v>0.3705627924</v>
      </c>
      <c r="N96" s="15">
        <v>374.0</v>
      </c>
      <c r="O96" s="4"/>
      <c r="P96" s="14" t="s">
        <v>383</v>
      </c>
      <c r="Q96" s="4">
        <f>IFERROR(__xludf.DUMMYFUNCTION("SPLIT(P:P, "" "")"),0.204835964962935)</f>
        <v>0.204835965</v>
      </c>
      <c r="R96" s="4">
        <f>IFERROR(__xludf.DUMMYFUNCTION("""COMPUTED_VALUE"""),0.356944692298058)</f>
        <v>0.3569446923</v>
      </c>
      <c r="S96" s="15">
        <v>752.0</v>
      </c>
      <c r="T96" s="4"/>
      <c r="U96" s="4"/>
    </row>
    <row r="97">
      <c r="A97" s="14" t="s">
        <v>384</v>
      </c>
      <c r="B97" s="17">
        <f>IFERROR(__xludf.DUMMYFUNCTION("SPLIT(E, "" "")"),0.205515223300787)</f>
        <v>0.2055152233</v>
      </c>
      <c r="C97" s="4">
        <f>IFERROR(__xludf.DUMMYFUNCTION("""COMPUTED_VALUE"""),0.507371875706455)</f>
        <v>0.5073718757</v>
      </c>
      <c r="D97" s="15">
        <v>192.0</v>
      </c>
      <c r="E97" s="4"/>
      <c r="F97" s="14" t="s">
        <v>385</v>
      </c>
      <c r="G97" s="17">
        <f>IFERROR(__xludf.DUMMYFUNCTION("SPLIT(F:F, "" "")"),0.168547305583577)</f>
        <v>0.1685473056</v>
      </c>
      <c r="H97" s="4">
        <f>IFERROR(__xludf.DUMMYFUNCTION("""COMPUTED_VALUE"""),0.53802606294054)</f>
        <v>0.5380260629</v>
      </c>
      <c r="I97" s="15">
        <v>378.0</v>
      </c>
      <c r="J97" s="4"/>
      <c r="K97" s="14" t="s">
        <v>386</v>
      </c>
      <c r="L97" s="17">
        <f>IFERROR(__xludf.DUMMYFUNCTION("SPLIT(K:K, "" "")"),0.169911319661959)</f>
        <v>0.1699113197</v>
      </c>
      <c r="M97" s="4">
        <f>IFERROR(__xludf.DUMMYFUNCTION("""COMPUTED_VALUE"""),0.37793780699276)</f>
        <v>0.377937807</v>
      </c>
      <c r="N97" s="15">
        <v>378.0</v>
      </c>
      <c r="O97" s="4"/>
      <c r="P97" s="14" t="s">
        <v>387</v>
      </c>
      <c r="Q97" s="4">
        <f>IFERROR(__xludf.DUMMYFUNCTION("SPLIT(P:P, "" "")"),0.20554288315043)</f>
        <v>0.2055428832</v>
      </c>
      <c r="R97" s="4">
        <f>IFERROR(__xludf.DUMMYFUNCTION("""COMPUTED_VALUE"""),0.361619179060703)</f>
        <v>0.3616191791</v>
      </c>
      <c r="S97" s="15">
        <v>760.0</v>
      </c>
      <c r="T97" s="4"/>
      <c r="U97" s="4"/>
    </row>
    <row r="98">
      <c r="A98" s="14" t="s">
        <v>388</v>
      </c>
      <c r="B98" s="17">
        <f>IFERROR(__xludf.DUMMYFUNCTION("SPLIT(E, "" "")"),0.203430462711943)</f>
        <v>0.2034304627</v>
      </c>
      <c r="C98" s="4">
        <f>IFERROR(__xludf.DUMMYFUNCTION("""COMPUTED_VALUE"""),0.498381930928914)</f>
        <v>0.4983819309</v>
      </c>
      <c r="D98" s="15">
        <v>194.0</v>
      </c>
      <c r="E98" s="4"/>
      <c r="F98" s="14" t="s">
        <v>389</v>
      </c>
      <c r="G98" s="17">
        <f>IFERROR(__xludf.DUMMYFUNCTION("SPLIT(F:F, "" "")"),0.172805936263529)</f>
        <v>0.1728059363</v>
      </c>
      <c r="H98" s="4">
        <f>IFERROR(__xludf.DUMMYFUNCTION("""COMPUTED_VALUE"""),0.549994233657025)</f>
        <v>0.5499942337</v>
      </c>
      <c r="I98" s="15">
        <v>382.0</v>
      </c>
      <c r="J98" s="4"/>
      <c r="K98" s="14" t="s">
        <v>390</v>
      </c>
      <c r="L98" s="17">
        <f>IFERROR(__xludf.DUMMYFUNCTION("SPLIT(K:K, "" "")"),0.16827366383823)</f>
        <v>0.1682736638</v>
      </c>
      <c r="M98" s="4">
        <f>IFERROR(__xludf.DUMMYFUNCTION("""COMPUTED_VALUE"""),0.382258278195309)</f>
        <v>0.3822582782</v>
      </c>
      <c r="N98" s="15">
        <v>382.0</v>
      </c>
      <c r="O98" s="4"/>
      <c r="P98" s="14" t="s">
        <v>391</v>
      </c>
      <c r="Q98" s="4">
        <f>IFERROR(__xludf.DUMMYFUNCTION("SPLIT(P:P, "" "")"),0.20500587553118)</f>
        <v>0.2050058755</v>
      </c>
      <c r="R98" s="4">
        <f>IFERROR(__xludf.DUMMYFUNCTION("""COMPUTED_VALUE"""),0.355955752739015)</f>
        <v>0.3559557527</v>
      </c>
      <c r="S98" s="15">
        <v>768.0</v>
      </c>
      <c r="T98" s="4"/>
      <c r="U98" s="4"/>
    </row>
    <row r="99">
      <c r="A99" s="14" t="s">
        <v>392</v>
      </c>
      <c r="B99" s="17">
        <f>IFERROR(__xludf.DUMMYFUNCTION("SPLIT(E, "" "")"),0.199048203263625)</f>
        <v>0.1990482033</v>
      </c>
      <c r="C99" s="4">
        <f>IFERROR(__xludf.DUMMYFUNCTION("""COMPUTED_VALUE"""),0.500056725434759)</f>
        <v>0.5000567254</v>
      </c>
      <c r="D99" s="15">
        <v>196.0</v>
      </c>
      <c r="E99" s="4"/>
      <c r="F99" s="14" t="s">
        <v>393</v>
      </c>
      <c r="G99" s="17">
        <f>IFERROR(__xludf.DUMMYFUNCTION("SPLIT(F:F, "" "")"),0.173679386246694)</f>
        <v>0.1736793862</v>
      </c>
      <c r="H99" s="4">
        <f>IFERROR(__xludf.DUMMYFUNCTION("""COMPUTED_VALUE"""),0.536624894334037)</f>
        <v>0.5366248943</v>
      </c>
      <c r="I99" s="15">
        <v>386.0</v>
      </c>
      <c r="J99" s="4"/>
      <c r="K99" s="14" t="s">
        <v>394</v>
      </c>
      <c r="L99" s="17">
        <f>IFERROR(__xludf.DUMMYFUNCTION("SPLIT(K:K, "" "")"),0.172368501293561)</f>
        <v>0.1723685013</v>
      </c>
      <c r="M99" s="4">
        <f>IFERROR(__xludf.DUMMYFUNCTION("""COMPUTED_VALUE"""),0.379405852511452)</f>
        <v>0.3794058525</v>
      </c>
      <c r="N99" s="15">
        <v>386.0</v>
      </c>
      <c r="O99" s="4"/>
      <c r="P99" s="14" t="s">
        <v>395</v>
      </c>
      <c r="Q99" s="4">
        <f>IFERROR(__xludf.DUMMYFUNCTION("SPLIT(P:P, "" "")"),0.206729689982442)</f>
        <v>0.20672969</v>
      </c>
      <c r="R99" s="4">
        <f>IFERROR(__xludf.DUMMYFUNCTION("""COMPUTED_VALUE"""),0.364176551435593)</f>
        <v>0.3641765514</v>
      </c>
      <c r="S99" s="15">
        <v>776.0</v>
      </c>
      <c r="T99" s="4"/>
      <c r="U99" s="4"/>
    </row>
    <row r="100">
      <c r="A100" s="14" t="s">
        <v>396</v>
      </c>
      <c r="B100" s="17">
        <f>IFERROR(__xludf.DUMMYFUNCTION("SPLIT(E, "" "")"),0.20329012170757)</f>
        <v>0.2032901217</v>
      </c>
      <c r="C100" s="4">
        <f>IFERROR(__xludf.DUMMYFUNCTION("""COMPUTED_VALUE"""),0.494201544243034)</f>
        <v>0.4942015442</v>
      </c>
      <c r="D100" s="15">
        <v>198.0</v>
      </c>
      <c r="E100" s="4"/>
      <c r="F100" s="14" t="s">
        <v>397</v>
      </c>
      <c r="G100" s="17">
        <f>IFERROR(__xludf.DUMMYFUNCTION("SPLIT(F:F, "" "")"),0.166471140665754)</f>
        <v>0.1664711407</v>
      </c>
      <c r="H100" s="4">
        <f>IFERROR(__xludf.DUMMYFUNCTION("""COMPUTED_VALUE"""),0.532546066504568)</f>
        <v>0.5325460665</v>
      </c>
      <c r="I100" s="15">
        <v>390.0</v>
      </c>
      <c r="J100" s="4"/>
      <c r="K100" s="14" t="s">
        <v>398</v>
      </c>
      <c r="L100" s="17">
        <f>IFERROR(__xludf.DUMMYFUNCTION("SPLIT(K:K, "" "")"),0.165234300753315)</f>
        <v>0.1652343008</v>
      </c>
      <c r="M100" s="4">
        <f>IFERROR(__xludf.DUMMYFUNCTION("""COMPUTED_VALUE"""),0.373107398289192)</f>
        <v>0.3731073983</v>
      </c>
      <c r="N100" s="15">
        <v>390.0</v>
      </c>
      <c r="O100" s="4"/>
      <c r="P100" s="14" t="s">
        <v>399</v>
      </c>
      <c r="Q100" s="4">
        <f>IFERROR(__xludf.DUMMYFUNCTION("SPLIT(P:P, "" "")"),0.205052799297571)</f>
        <v>0.2050527993</v>
      </c>
      <c r="R100" s="4">
        <f>IFERROR(__xludf.DUMMYFUNCTION("""COMPUTED_VALUE"""),0.360605930870678)</f>
        <v>0.3606059309</v>
      </c>
      <c r="S100" s="15">
        <v>784.0</v>
      </c>
      <c r="T100" s="4"/>
      <c r="U100" s="4"/>
    </row>
    <row r="101">
      <c r="A101" s="14" t="s">
        <v>400</v>
      </c>
      <c r="B101" s="17">
        <f>IFERROR(__xludf.DUMMYFUNCTION("SPLIT(E, "" "")"),0.199598785598069)</f>
        <v>0.1995987856</v>
      </c>
      <c r="C101" s="4">
        <f>IFERROR(__xludf.DUMMYFUNCTION("""COMPUTED_VALUE"""),0.489969386156975)</f>
        <v>0.4899693862</v>
      </c>
      <c r="D101" s="15">
        <v>200.0</v>
      </c>
      <c r="E101" s="4"/>
      <c r="F101" s="14" t="s">
        <v>401</v>
      </c>
      <c r="G101" s="17">
        <f>IFERROR(__xludf.DUMMYFUNCTION("SPLIT(F:F, "" "")"),0.166366073420049)</f>
        <v>0.1663660734</v>
      </c>
      <c r="H101" s="4">
        <f>IFERROR(__xludf.DUMMYFUNCTION("""COMPUTED_VALUE"""),0.530055103146963)</f>
        <v>0.5300551031</v>
      </c>
      <c r="I101" s="15">
        <v>394.0</v>
      </c>
      <c r="J101" s="4"/>
      <c r="K101" s="14" t="s">
        <v>402</v>
      </c>
      <c r="L101" s="17">
        <f>IFERROR(__xludf.DUMMYFUNCTION("SPLIT(K:K, "" "")"),0.166801189533386)</f>
        <v>0.1668011895</v>
      </c>
      <c r="M101" s="4">
        <f>IFERROR(__xludf.DUMMYFUNCTION("""COMPUTED_VALUE"""),0.38004848408036)</f>
        <v>0.3800484841</v>
      </c>
      <c r="N101" s="15">
        <v>394.0</v>
      </c>
      <c r="O101" s="4"/>
      <c r="P101" s="14" t="s">
        <v>403</v>
      </c>
      <c r="Q101" s="4">
        <f>IFERROR(__xludf.DUMMYFUNCTION("SPLIT(P:P, "" "")"),0.206393047152232)</f>
        <v>0.2063930472</v>
      </c>
      <c r="R101" s="4">
        <f>IFERROR(__xludf.DUMMYFUNCTION("""COMPUTED_VALUE"""),0.363852754140174)</f>
        <v>0.3638527541</v>
      </c>
      <c r="S101" s="15">
        <v>792.0</v>
      </c>
      <c r="T101" s="4"/>
      <c r="U101" s="4"/>
    </row>
    <row r="102">
      <c r="A102" s="14" t="s">
        <v>404</v>
      </c>
      <c r="B102" s="17">
        <f>IFERROR(__xludf.DUMMYFUNCTION("SPLIT(E, "" "")"),0.199276254234893)</f>
        <v>0.1992762542</v>
      </c>
      <c r="C102" s="4">
        <f>IFERROR(__xludf.DUMMYFUNCTION("""COMPUTED_VALUE"""),0.499921550391458)</f>
        <v>0.4999215504</v>
      </c>
      <c r="D102" s="15">
        <v>202.0</v>
      </c>
      <c r="E102" s="4"/>
      <c r="F102" s="14" t="s">
        <v>405</v>
      </c>
      <c r="G102" s="17">
        <f>IFERROR(__xludf.DUMMYFUNCTION("SPLIT(F:F, "" "")"),0.166745008486912)</f>
        <v>0.1667450085</v>
      </c>
      <c r="H102" s="4">
        <f>IFERROR(__xludf.DUMMYFUNCTION("""COMPUTED_VALUE"""),0.537333681844008)</f>
        <v>0.5373336818</v>
      </c>
      <c r="I102" s="15">
        <v>398.0</v>
      </c>
      <c r="J102" s="4"/>
      <c r="K102" s="14" t="s">
        <v>406</v>
      </c>
      <c r="L102" s="17">
        <f>IFERROR(__xludf.DUMMYFUNCTION("SPLIT(K:K, "" "")"),0.171907178216564)</f>
        <v>0.1719071782</v>
      </c>
      <c r="M102" s="4">
        <f>IFERROR(__xludf.DUMMYFUNCTION("""COMPUTED_VALUE"""),0.390791932019955)</f>
        <v>0.390791932</v>
      </c>
      <c r="N102" s="15">
        <v>398.0</v>
      </c>
      <c r="O102" s="4"/>
      <c r="P102" s="14" t="s">
        <v>407</v>
      </c>
      <c r="Q102" s="4">
        <f>IFERROR(__xludf.DUMMYFUNCTION("SPLIT(P:P, "" "")"),0.202283035986495)</f>
        <v>0.202283036</v>
      </c>
      <c r="R102" s="4">
        <f>IFERROR(__xludf.DUMMYFUNCTION("""COMPUTED_VALUE"""),0.35995589755402)</f>
        <v>0.3599558976</v>
      </c>
      <c r="S102" s="15">
        <v>800.0</v>
      </c>
      <c r="T102" s="4"/>
      <c r="U102" s="4"/>
    </row>
    <row r="103">
      <c r="A103" s="14" t="s">
        <v>408</v>
      </c>
      <c r="B103" s="17">
        <f>IFERROR(__xludf.DUMMYFUNCTION("SPLIT(E, "" "")"),0.19523357381553)</f>
        <v>0.1952335738</v>
      </c>
      <c r="C103" s="4">
        <f>IFERROR(__xludf.DUMMYFUNCTION("""COMPUTED_VALUE"""),0.50074186661213)</f>
        <v>0.5007418666</v>
      </c>
      <c r="D103" s="15">
        <v>204.0</v>
      </c>
      <c r="E103" s="4"/>
      <c r="F103" s="14" t="s">
        <v>409</v>
      </c>
      <c r="G103" s="17">
        <f>IFERROR(__xludf.DUMMYFUNCTION("SPLIT(F:F, "" "")"),0.16737538465057)</f>
        <v>0.1673753847</v>
      </c>
      <c r="H103" s="4">
        <f>IFERROR(__xludf.DUMMYFUNCTION("""COMPUTED_VALUE"""),0.549154160149193)</f>
        <v>0.5491541601</v>
      </c>
      <c r="I103" s="15">
        <v>402.0</v>
      </c>
      <c r="J103" s="4"/>
      <c r="K103" s="14" t="s">
        <v>410</v>
      </c>
      <c r="L103" s="17">
        <f>IFERROR(__xludf.DUMMYFUNCTION("SPLIT(K:K, "" "")"),0.164047862126412)</f>
        <v>0.1640478621</v>
      </c>
      <c r="M103" s="4">
        <f>IFERROR(__xludf.DUMMYFUNCTION("""COMPUTED_VALUE"""),0.378693077545972)</f>
        <v>0.3786930775</v>
      </c>
      <c r="N103" s="15">
        <v>402.0</v>
      </c>
      <c r="O103" s="4"/>
      <c r="P103" s="14" t="s">
        <v>411</v>
      </c>
      <c r="Q103" s="4">
        <f>IFERROR(__xludf.DUMMYFUNCTION("SPLIT(P:P, "" "")"),0.204154305190189)</f>
        <v>0.2041543052</v>
      </c>
      <c r="R103" s="4">
        <f>IFERROR(__xludf.DUMMYFUNCTION("""COMPUTED_VALUE"""),0.363999726553719)</f>
        <v>0.3639997266</v>
      </c>
      <c r="S103" s="15">
        <v>808.0</v>
      </c>
      <c r="T103" s="4"/>
      <c r="U103" s="4"/>
    </row>
    <row r="104">
      <c r="A104" s="14" t="s">
        <v>412</v>
      </c>
      <c r="B104" s="17">
        <f>IFERROR(__xludf.DUMMYFUNCTION("SPLIT(E, "" "")"),0.197864134341381)</f>
        <v>0.1978641343</v>
      </c>
      <c r="C104" s="4">
        <f>IFERROR(__xludf.DUMMYFUNCTION("""COMPUTED_VALUE"""),0.493343818383803)</f>
        <v>0.4933438184</v>
      </c>
      <c r="D104" s="15">
        <v>206.0</v>
      </c>
      <c r="E104" s="4"/>
      <c r="F104" s="14" t="s">
        <v>413</v>
      </c>
      <c r="G104" s="17">
        <f>IFERROR(__xludf.DUMMYFUNCTION("SPLIT(F:F, "" "")"),0.169118197323095)</f>
        <v>0.1691181973</v>
      </c>
      <c r="H104" s="4">
        <f>IFERROR(__xludf.DUMMYFUNCTION("""COMPUTED_VALUE"""),0.537025951332022)</f>
        <v>0.5370259513</v>
      </c>
      <c r="I104" s="15">
        <v>406.0</v>
      </c>
      <c r="J104" s="4"/>
      <c r="K104" s="14" t="s">
        <v>414</v>
      </c>
      <c r="L104" s="17">
        <f>IFERROR(__xludf.DUMMYFUNCTION("SPLIT(K:K, "" "")"),0.163407502065052)</f>
        <v>0.1634075021</v>
      </c>
      <c r="M104" s="4">
        <f>IFERROR(__xludf.DUMMYFUNCTION("""COMPUTED_VALUE"""),0.376581091098152)</f>
        <v>0.3765810911</v>
      </c>
      <c r="N104" s="15">
        <v>406.0</v>
      </c>
      <c r="O104" s="4"/>
      <c r="P104" s="14" t="s">
        <v>415</v>
      </c>
      <c r="Q104" s="4">
        <f>IFERROR(__xludf.DUMMYFUNCTION("SPLIT(P:P, "" "")"),0.205867979242648)</f>
        <v>0.2058679792</v>
      </c>
      <c r="R104" s="4">
        <f>IFERROR(__xludf.DUMMYFUNCTION("""COMPUTED_VALUE"""),0.364500897748028)</f>
        <v>0.3645008977</v>
      </c>
      <c r="S104" s="15">
        <v>816.0</v>
      </c>
      <c r="T104" s="4"/>
      <c r="U104" s="4"/>
    </row>
    <row r="105">
      <c r="A105" s="14" t="s">
        <v>416</v>
      </c>
      <c r="B105" s="17">
        <f>IFERROR(__xludf.DUMMYFUNCTION("SPLIT(E, "" "")"),0.197475750611324)</f>
        <v>0.1974757506</v>
      </c>
      <c r="C105" s="4">
        <f>IFERROR(__xludf.DUMMYFUNCTION("""COMPUTED_VALUE"""),0.50330511022302)</f>
        <v>0.5033051102</v>
      </c>
      <c r="D105" s="15">
        <v>208.0</v>
      </c>
      <c r="E105" s="4"/>
      <c r="F105" s="14" t="s">
        <v>417</v>
      </c>
      <c r="G105" s="17">
        <f>IFERROR(__xludf.DUMMYFUNCTION("SPLIT(F:F, "" "")"),0.163963104929776)</f>
        <v>0.1639631049</v>
      </c>
      <c r="H105" s="4">
        <f>IFERROR(__xludf.DUMMYFUNCTION("""COMPUTED_VALUE"""),0.543715949996564)</f>
        <v>0.54371595</v>
      </c>
      <c r="I105" s="15">
        <v>410.0</v>
      </c>
      <c r="J105" s="4"/>
      <c r="K105" s="14" t="s">
        <v>418</v>
      </c>
      <c r="L105" s="17">
        <f>IFERROR(__xludf.DUMMYFUNCTION("SPLIT(K:K, "" "")"),0.165962055753479)</f>
        <v>0.1659620558</v>
      </c>
      <c r="M105" s="4">
        <f>IFERROR(__xludf.DUMMYFUNCTION("""COMPUTED_VALUE"""),0.383554834710217)</f>
        <v>0.3835548347</v>
      </c>
      <c r="N105" s="15">
        <v>410.0</v>
      </c>
      <c r="O105" s="4"/>
      <c r="P105" s="14" t="s">
        <v>419</v>
      </c>
      <c r="Q105" s="4">
        <f>IFERROR(__xludf.DUMMYFUNCTION("SPLIT(P:P, "" "")"),0.200858643839609)</f>
        <v>0.2008586438</v>
      </c>
      <c r="R105" s="4">
        <f>IFERROR(__xludf.DUMMYFUNCTION("""COMPUTED_VALUE"""),0.356744955640538)</f>
        <v>0.3567449556</v>
      </c>
      <c r="S105" s="15">
        <v>824.0</v>
      </c>
      <c r="T105" s="4"/>
      <c r="U105" s="4"/>
    </row>
    <row r="106">
      <c r="A106" s="14" t="s">
        <v>420</v>
      </c>
      <c r="B106" s="17">
        <f>IFERROR(__xludf.DUMMYFUNCTION("SPLIT(E, "" "")"),0.193538056607942)</f>
        <v>0.1935380566</v>
      </c>
      <c r="C106" s="4">
        <f>IFERROR(__xludf.DUMMYFUNCTION("""COMPUTED_VALUE"""),0.494659546808622)</f>
        <v>0.4946595468</v>
      </c>
      <c r="D106" s="15">
        <v>210.0</v>
      </c>
      <c r="E106" s="4"/>
      <c r="F106" s="14" t="s">
        <v>421</v>
      </c>
      <c r="G106" s="17">
        <f>IFERROR(__xludf.DUMMYFUNCTION("SPLIT(F:F, "" "")"),0.162624850042115)</f>
        <v>0.16262485</v>
      </c>
      <c r="H106" s="4">
        <f>IFERROR(__xludf.DUMMYFUNCTION("""COMPUTED_VALUE"""),0.532074562671037)</f>
        <v>0.5320745627</v>
      </c>
      <c r="I106" s="15">
        <v>414.0</v>
      </c>
      <c r="J106" s="4"/>
      <c r="K106" s="14" t="s">
        <v>422</v>
      </c>
      <c r="L106" s="17">
        <f>IFERROR(__xludf.DUMMYFUNCTION("SPLIT(K:K, "" "")"),0.163394819118903)</f>
        <v>0.1633948191</v>
      </c>
      <c r="M106" s="4">
        <f>IFERROR(__xludf.DUMMYFUNCTION("""COMPUTED_VALUE"""),0.373096499752425)</f>
        <v>0.3730964998</v>
      </c>
      <c r="N106" s="15">
        <v>414.0</v>
      </c>
      <c r="O106" s="4"/>
      <c r="P106" s="14" t="s">
        <v>423</v>
      </c>
      <c r="Q106" s="4">
        <f>IFERROR(__xludf.DUMMYFUNCTION("SPLIT(P:P, "" "")"),0.206343393407729)</f>
        <v>0.2063433934</v>
      </c>
      <c r="R106" s="4">
        <f>IFERROR(__xludf.DUMMYFUNCTION("""COMPUTED_VALUE"""),0.373304400656782)</f>
        <v>0.3733044007</v>
      </c>
      <c r="S106" s="15">
        <v>832.0</v>
      </c>
      <c r="T106" s="4"/>
      <c r="U106" s="4"/>
    </row>
    <row r="107">
      <c r="A107" s="14" t="s">
        <v>424</v>
      </c>
      <c r="B107" s="17">
        <f>IFERROR(__xludf.DUMMYFUNCTION("SPLIT(E, "" "")"),0.19523444542145)</f>
        <v>0.1952344454</v>
      </c>
      <c r="C107" s="4">
        <f>IFERROR(__xludf.DUMMYFUNCTION("""COMPUTED_VALUE"""),0.504828016084494)</f>
        <v>0.5048280161</v>
      </c>
      <c r="D107" s="15">
        <v>212.0</v>
      </c>
      <c r="E107" s="4"/>
      <c r="F107" s="14" t="s">
        <v>425</v>
      </c>
      <c r="G107" s="17">
        <f>IFERROR(__xludf.DUMMYFUNCTION("SPLIT(F:F, "" "")"),0.165578878343217)</f>
        <v>0.1655788783</v>
      </c>
      <c r="H107" s="4">
        <f>IFERROR(__xludf.DUMMYFUNCTION("""COMPUTED_VALUE"""),0.537767494132381)</f>
        <v>0.5377674941</v>
      </c>
      <c r="I107" s="15">
        <v>418.0</v>
      </c>
      <c r="J107" s="4"/>
      <c r="K107" s="14" t="s">
        <v>426</v>
      </c>
      <c r="L107" s="17">
        <f>IFERROR(__xludf.DUMMYFUNCTION("SPLIT(K:K, "" "")"),0.162777581543485)</f>
        <v>0.1627775815</v>
      </c>
      <c r="M107" s="4">
        <f>IFERROR(__xludf.DUMMYFUNCTION("""COMPUTED_VALUE"""),0.377589144928749)</f>
        <v>0.3775891449</v>
      </c>
      <c r="N107" s="15">
        <v>418.0</v>
      </c>
      <c r="O107" s="4"/>
      <c r="P107" s="14" t="s">
        <v>427</v>
      </c>
      <c r="Q107" s="4">
        <f>IFERROR(__xludf.DUMMYFUNCTION("SPLIT(P:P, "" "")"),0.202024943178719)</f>
        <v>0.2020249432</v>
      </c>
      <c r="R107" s="4">
        <f>IFERROR(__xludf.DUMMYFUNCTION("""COMPUTED_VALUE"""),0.361278356979321)</f>
        <v>0.361278357</v>
      </c>
      <c r="S107" s="15">
        <v>840.0</v>
      </c>
      <c r="T107" s="4"/>
      <c r="U107" s="4"/>
    </row>
    <row r="108">
      <c r="A108" s="14" t="s">
        <v>428</v>
      </c>
      <c r="B108" s="17">
        <f>IFERROR(__xludf.DUMMYFUNCTION("SPLIT(E, "" "")"),0.194790371552533)</f>
        <v>0.1947903716</v>
      </c>
      <c r="C108" s="4">
        <f>IFERROR(__xludf.DUMMYFUNCTION("""COMPUTED_VALUE"""),0.498425898932112)</f>
        <v>0.4984258989</v>
      </c>
      <c r="D108" s="15">
        <v>214.0</v>
      </c>
      <c r="E108" s="4"/>
      <c r="F108" s="14" t="s">
        <v>429</v>
      </c>
      <c r="G108" s="17">
        <f>IFERROR(__xludf.DUMMYFUNCTION("SPLIT(F:F, "" "")"),0.160842128800853)</f>
        <v>0.1608421288</v>
      </c>
      <c r="H108" s="4">
        <f>IFERROR(__xludf.DUMMYFUNCTION("""COMPUTED_VALUE"""),0.537104071249726)</f>
        <v>0.5371040712</v>
      </c>
      <c r="I108" s="15">
        <v>422.0</v>
      </c>
      <c r="J108" s="4"/>
      <c r="K108" s="14" t="s">
        <v>430</v>
      </c>
      <c r="L108" s="17">
        <f>IFERROR(__xludf.DUMMYFUNCTION("SPLIT(K:K, "" "")"),0.161382167861238)</f>
        <v>0.1613821679</v>
      </c>
      <c r="M108" s="4">
        <f>IFERROR(__xludf.DUMMYFUNCTION("""COMPUTED_VALUE"""),0.376225085226274)</f>
        <v>0.3762250852</v>
      </c>
      <c r="N108" s="15">
        <v>422.0</v>
      </c>
      <c r="O108" s="4"/>
      <c r="P108" s="14" t="s">
        <v>431</v>
      </c>
      <c r="Q108" s="4">
        <f>IFERROR(__xludf.DUMMYFUNCTION("SPLIT(P:P, "" "")"),0.203155318902331)</f>
        <v>0.2031553189</v>
      </c>
      <c r="R108" s="4">
        <f>IFERROR(__xludf.DUMMYFUNCTION("""COMPUTED_VALUE"""),0.359988418125507)</f>
        <v>0.3599884181</v>
      </c>
      <c r="S108" s="15">
        <v>848.0</v>
      </c>
      <c r="T108" s="4"/>
      <c r="U108" s="4"/>
    </row>
    <row r="109">
      <c r="A109" s="14" t="s">
        <v>432</v>
      </c>
      <c r="B109" s="17">
        <f>IFERROR(__xludf.DUMMYFUNCTION("SPLIT(E, "" "")"),0.19088281731222)</f>
        <v>0.1908828173</v>
      </c>
      <c r="C109" s="4">
        <f>IFERROR(__xludf.DUMMYFUNCTION("""COMPUTED_VALUE"""),0.491858966223768)</f>
        <v>0.4918589662</v>
      </c>
      <c r="D109" s="15">
        <v>216.0</v>
      </c>
      <c r="E109" s="4"/>
      <c r="F109" s="14" t="s">
        <v>433</v>
      </c>
      <c r="G109" s="17">
        <f>IFERROR(__xludf.DUMMYFUNCTION("SPLIT(F:F, "" "")"),0.160882004393981)</f>
        <v>0.1608820044</v>
      </c>
      <c r="H109" s="4">
        <f>IFERROR(__xludf.DUMMYFUNCTION("""COMPUTED_VALUE"""),0.541622361165598)</f>
        <v>0.5416223612</v>
      </c>
      <c r="I109" s="15">
        <v>426.0</v>
      </c>
      <c r="J109" s="4"/>
      <c r="K109" s="14" t="s">
        <v>434</v>
      </c>
      <c r="L109" s="17">
        <f>IFERROR(__xludf.DUMMYFUNCTION("SPLIT(K:K, "" "")"),0.161727427156471)</f>
        <v>0.1617274272</v>
      </c>
      <c r="M109" s="4">
        <f>IFERROR(__xludf.DUMMYFUNCTION("""COMPUTED_VALUE"""),0.375385395287456)</f>
        <v>0.3753853953</v>
      </c>
      <c r="N109" s="15">
        <v>426.0</v>
      </c>
      <c r="O109" s="4"/>
      <c r="P109" s="14" t="s">
        <v>435</v>
      </c>
      <c r="Q109" s="4">
        <f>IFERROR(__xludf.DUMMYFUNCTION("SPLIT(P:P, "" "")"),0.200996418740399)</f>
        <v>0.2009964187</v>
      </c>
      <c r="R109" s="4">
        <f>IFERROR(__xludf.DUMMYFUNCTION("""COMPUTED_VALUE"""),0.355386099057241)</f>
        <v>0.3553860991</v>
      </c>
      <c r="S109" s="15">
        <v>856.0</v>
      </c>
      <c r="T109" s="4"/>
      <c r="U109" s="4"/>
    </row>
    <row r="110">
      <c r="A110" s="14" t="s">
        <v>436</v>
      </c>
      <c r="B110" s="17">
        <f>IFERROR(__xludf.DUMMYFUNCTION("SPLIT(E, "" "")"),0.189430419523897)</f>
        <v>0.1894304195</v>
      </c>
      <c r="C110" s="4">
        <f>IFERROR(__xludf.DUMMYFUNCTION("""COMPUTED_VALUE"""),0.500553153371933)</f>
        <v>0.5005531534</v>
      </c>
      <c r="D110" s="15">
        <v>218.0</v>
      </c>
      <c r="E110" s="4"/>
      <c r="F110" s="14" t="s">
        <v>437</v>
      </c>
      <c r="G110" s="17">
        <f>IFERROR(__xludf.DUMMYFUNCTION("SPLIT(F:F, "" "")"),0.162819607755107)</f>
        <v>0.1628196078</v>
      </c>
      <c r="H110" s="4">
        <f>IFERROR(__xludf.DUMMYFUNCTION("""COMPUTED_VALUE"""),0.543872269673055)</f>
        <v>0.5438722697</v>
      </c>
      <c r="I110" s="15">
        <v>430.0</v>
      </c>
      <c r="J110" s="4"/>
      <c r="K110" s="14" t="s">
        <v>438</v>
      </c>
      <c r="L110" s="17">
        <f>IFERROR(__xludf.DUMMYFUNCTION("SPLIT(K:K, "" "")"),0.163676152931765)</f>
        <v>0.1636761529</v>
      </c>
      <c r="M110" s="4">
        <f>IFERROR(__xludf.DUMMYFUNCTION("""COMPUTED_VALUE"""),0.381320643460526)</f>
        <v>0.3813206435</v>
      </c>
      <c r="N110" s="15">
        <v>430.0</v>
      </c>
      <c r="O110" s="4"/>
      <c r="P110" s="14" t="s">
        <v>439</v>
      </c>
      <c r="Q110" s="4">
        <f>IFERROR(__xludf.DUMMYFUNCTION("SPLIT(P:P, "" "")"),0.201531079123138)</f>
        <v>0.2015310791</v>
      </c>
      <c r="R110" s="4">
        <f>IFERROR(__xludf.DUMMYFUNCTION("""COMPUTED_VALUE"""),0.356679012240565)</f>
        <v>0.3566790122</v>
      </c>
      <c r="S110" s="15">
        <v>864.0</v>
      </c>
      <c r="T110" s="4"/>
      <c r="U110" s="4"/>
    </row>
    <row r="111">
      <c r="A111" s="14" t="s">
        <v>440</v>
      </c>
      <c r="B111" s="17">
        <f>IFERROR(__xludf.DUMMYFUNCTION("SPLIT(E, "" "")"),0.191399755015049)</f>
        <v>0.191399755</v>
      </c>
      <c r="C111" s="4">
        <f>IFERROR(__xludf.DUMMYFUNCTION("""COMPUTED_VALUE"""),0.502744799221696)</f>
        <v>0.5027447992</v>
      </c>
      <c r="D111" s="15">
        <v>220.0</v>
      </c>
      <c r="E111" s="4"/>
      <c r="F111" s="14" t="s">
        <v>441</v>
      </c>
      <c r="G111" s="17">
        <f>IFERROR(__xludf.DUMMYFUNCTION("SPLIT(F:F, "" "")"),0.160279353346377)</f>
        <v>0.1602793533</v>
      </c>
      <c r="H111" s="4">
        <f>IFERROR(__xludf.DUMMYFUNCTION("""COMPUTED_VALUE"""),0.560261162402476)</f>
        <v>0.5602611624</v>
      </c>
      <c r="I111" s="15">
        <v>434.0</v>
      </c>
      <c r="J111" s="4"/>
      <c r="K111" s="14" t="s">
        <v>442</v>
      </c>
      <c r="L111" s="17">
        <f>IFERROR(__xludf.DUMMYFUNCTION("SPLIT(K:K, "" "")"),0.162108413118782)</f>
        <v>0.1621084131</v>
      </c>
      <c r="M111" s="4">
        <f>IFERROR(__xludf.DUMMYFUNCTION("""COMPUTED_VALUE"""),0.382973652386983)</f>
        <v>0.3829736524</v>
      </c>
      <c r="N111" s="15">
        <v>434.0</v>
      </c>
      <c r="O111" s="4"/>
      <c r="P111" s="14" t="s">
        <v>443</v>
      </c>
      <c r="Q111" s="4">
        <f>IFERROR(__xludf.DUMMYFUNCTION("SPLIT(P:P, "" "")"),0.201344526724785)</f>
        <v>0.2013445267</v>
      </c>
      <c r="R111" s="4">
        <f>IFERROR(__xludf.DUMMYFUNCTION("""COMPUTED_VALUE"""),0.36174112806788)</f>
        <v>0.3617411281</v>
      </c>
      <c r="S111" s="15">
        <v>872.0</v>
      </c>
      <c r="T111" s="4"/>
      <c r="U111" s="4"/>
    </row>
    <row r="112">
      <c r="A112" s="14" t="s">
        <v>444</v>
      </c>
      <c r="B112" s="17">
        <f>IFERROR(__xludf.DUMMYFUNCTION("SPLIT(E, "" "")"),0.190531416489771)</f>
        <v>0.1905314165</v>
      </c>
      <c r="C112" s="4">
        <f>IFERROR(__xludf.DUMMYFUNCTION("""COMPUTED_VALUE"""),0.506298243939761)</f>
        <v>0.5062982439</v>
      </c>
      <c r="D112" s="15">
        <v>222.0</v>
      </c>
      <c r="E112" s="4"/>
      <c r="F112" s="14" t="s">
        <v>445</v>
      </c>
      <c r="G112" s="17">
        <f>IFERROR(__xludf.DUMMYFUNCTION("SPLIT(F:F, "" "")"),0.160815621962274)</f>
        <v>0.160815622</v>
      </c>
      <c r="H112" s="4">
        <f>IFERROR(__xludf.DUMMYFUNCTION("""COMPUTED_VALUE"""),0.558022049114899)</f>
        <v>0.5580220491</v>
      </c>
      <c r="I112" s="15">
        <v>438.0</v>
      </c>
      <c r="J112" s="4"/>
      <c r="K112" s="14" t="s">
        <v>446</v>
      </c>
      <c r="L112" s="17">
        <f>IFERROR(__xludf.DUMMYFUNCTION("SPLIT(K:K, "" "")"),0.160320525347832)</f>
        <v>0.1603205253</v>
      </c>
      <c r="M112" s="4">
        <f>IFERROR(__xludf.DUMMYFUNCTION("""COMPUTED_VALUE"""),0.370773768800335)</f>
        <v>0.3707737688</v>
      </c>
      <c r="N112" s="15">
        <v>438.0</v>
      </c>
      <c r="O112" s="4"/>
      <c r="P112" s="14" t="s">
        <v>447</v>
      </c>
      <c r="Q112" s="4">
        <f>IFERROR(__xludf.DUMMYFUNCTION("SPLIT(P:P, "" "")"),0.202204688673233)</f>
        <v>0.2022046887</v>
      </c>
      <c r="R112" s="4">
        <f>IFERROR(__xludf.DUMMYFUNCTION("""COMPUTED_VALUE"""),0.371722647274943)</f>
        <v>0.3717226473</v>
      </c>
      <c r="S112" s="15">
        <v>880.0</v>
      </c>
      <c r="T112" s="4"/>
      <c r="U112" s="4"/>
    </row>
    <row r="113">
      <c r="A113" s="14" t="s">
        <v>448</v>
      </c>
      <c r="B113" s="17">
        <f>IFERROR(__xludf.DUMMYFUNCTION("SPLIT(E, "" "")"),0.192359636909384)</f>
        <v>0.1923596369</v>
      </c>
      <c r="C113" s="4">
        <f>IFERROR(__xludf.DUMMYFUNCTION("""COMPUTED_VALUE"""),0.500179375135496)</f>
        <v>0.5001793751</v>
      </c>
      <c r="D113" s="15">
        <v>224.0</v>
      </c>
      <c r="E113" s="4"/>
      <c r="F113" s="14" t="s">
        <v>449</v>
      </c>
      <c r="G113" s="17">
        <f>IFERROR(__xludf.DUMMYFUNCTION("SPLIT(F:F, "" "")"),0.160925146762808)</f>
        <v>0.1609251468</v>
      </c>
      <c r="H113" s="4">
        <f>IFERROR(__xludf.DUMMYFUNCTION("""COMPUTED_VALUE"""),0.551127420558255)</f>
        <v>0.5511274206</v>
      </c>
      <c r="I113" s="15">
        <v>442.0</v>
      </c>
      <c r="J113" s="4"/>
      <c r="K113" s="14" t="s">
        <v>450</v>
      </c>
      <c r="L113" s="17">
        <f>IFERROR(__xludf.DUMMYFUNCTION("SPLIT(K:K, "" "")"),0.160525144486731)</f>
        <v>0.1605251445</v>
      </c>
      <c r="M113" s="4">
        <f>IFERROR(__xludf.DUMMYFUNCTION("""COMPUTED_VALUE"""),0.379850737506621)</f>
        <v>0.3798507375</v>
      </c>
      <c r="N113" s="15">
        <v>442.0</v>
      </c>
      <c r="O113" s="4"/>
      <c r="P113" s="14" t="s">
        <v>451</v>
      </c>
      <c r="Q113" s="4">
        <f>IFERROR(__xludf.DUMMYFUNCTION("SPLIT(P:P, "" "")"),0.203326518725802)</f>
        <v>0.2033265187</v>
      </c>
      <c r="R113" s="4">
        <f>IFERROR(__xludf.DUMMYFUNCTION("""COMPUTED_VALUE"""),0.363584618773016)</f>
        <v>0.3635846188</v>
      </c>
      <c r="S113" s="15">
        <v>888.0</v>
      </c>
      <c r="T113" s="4"/>
      <c r="U113" s="4"/>
    </row>
    <row r="114">
      <c r="A114" s="14" t="s">
        <v>452</v>
      </c>
      <c r="B114" s="17">
        <f>IFERROR(__xludf.DUMMYFUNCTION("SPLIT(E, "" "")"),0.186572163156184)</f>
        <v>0.1865721632</v>
      </c>
      <c r="C114" s="4">
        <f>IFERROR(__xludf.DUMMYFUNCTION("""COMPUTED_VALUE"""),0.488481722756247)</f>
        <v>0.4884817228</v>
      </c>
      <c r="D114" s="15">
        <v>226.0</v>
      </c>
      <c r="E114" s="4"/>
      <c r="F114" s="14" t="s">
        <v>453</v>
      </c>
      <c r="G114" s="17">
        <f>IFERROR(__xludf.DUMMYFUNCTION("SPLIT(F:F, "" "")"),0.157881466427609)</f>
        <v>0.1578814664</v>
      </c>
      <c r="H114" s="4">
        <f>IFERROR(__xludf.DUMMYFUNCTION("""COMPUTED_VALUE"""),0.545206486339254)</f>
        <v>0.5452064863</v>
      </c>
      <c r="I114" s="15">
        <v>446.0</v>
      </c>
      <c r="J114" s="4"/>
      <c r="K114" s="14" t="s">
        <v>454</v>
      </c>
      <c r="L114" s="17">
        <f>IFERROR(__xludf.DUMMYFUNCTION("SPLIT(K:K, "" "")"),0.158946719442067)</f>
        <v>0.1589467194</v>
      </c>
      <c r="M114" s="4">
        <f>IFERROR(__xludf.DUMMYFUNCTION("""COMPUTED_VALUE"""),0.379027816338856)</f>
        <v>0.3790278163</v>
      </c>
      <c r="N114" s="15">
        <v>446.0</v>
      </c>
      <c r="O114" s="4"/>
      <c r="P114" s="14" t="s">
        <v>455</v>
      </c>
      <c r="Q114" s="4">
        <f>IFERROR(__xludf.DUMMYFUNCTION("SPLIT(P:P, "" "")"),0.20138748587368)</f>
        <v>0.2013874859</v>
      </c>
      <c r="R114" s="4">
        <f>IFERROR(__xludf.DUMMYFUNCTION("""COMPUTED_VALUE"""),0.360023481998873)</f>
        <v>0.360023482</v>
      </c>
      <c r="S114" s="15">
        <v>896.0</v>
      </c>
      <c r="T114" s="4"/>
      <c r="U114" s="4"/>
    </row>
    <row r="115">
      <c r="A115" s="14" t="s">
        <v>456</v>
      </c>
      <c r="B115" s="17">
        <f>IFERROR(__xludf.DUMMYFUNCTION("SPLIT(E, "" "")"),0.192450757109244)</f>
        <v>0.1924507571</v>
      </c>
      <c r="C115" s="4">
        <f>IFERROR(__xludf.DUMMYFUNCTION("""COMPUTED_VALUE"""),0.500009719659704)</f>
        <v>0.5000097197</v>
      </c>
      <c r="D115" s="15">
        <v>228.0</v>
      </c>
      <c r="E115" s="4"/>
      <c r="F115" s="14" t="s">
        <v>457</v>
      </c>
      <c r="G115" s="17">
        <f>IFERROR(__xludf.DUMMYFUNCTION("SPLIT(F:F, "" "")"),0.156511385578322)</f>
        <v>0.1565113856</v>
      </c>
      <c r="H115" s="4">
        <f>IFERROR(__xludf.DUMMYFUNCTION("""COMPUTED_VALUE"""),0.550450057104998)</f>
        <v>0.5504500571</v>
      </c>
      <c r="I115" s="15">
        <v>450.0</v>
      </c>
      <c r="J115" s="4"/>
      <c r="K115" s="14" t="s">
        <v>458</v>
      </c>
      <c r="L115" s="17">
        <f>IFERROR(__xludf.DUMMYFUNCTION("SPLIT(K:K, "" "")"),0.158937493702871)</f>
        <v>0.1589374937</v>
      </c>
      <c r="M115" s="4">
        <f>IFERROR(__xludf.DUMMYFUNCTION("""COMPUTED_VALUE"""),0.378739482584925)</f>
        <v>0.3787394826</v>
      </c>
      <c r="N115" s="15">
        <v>450.0</v>
      </c>
      <c r="O115" s="4"/>
      <c r="P115" s="14" t="s">
        <v>459</v>
      </c>
      <c r="Q115" s="4">
        <f>IFERROR(__xludf.DUMMYFUNCTION("SPLIT(P:P, "" "")"),0.198584538519855)</f>
        <v>0.1985845385</v>
      </c>
      <c r="R115" s="4">
        <f>IFERROR(__xludf.DUMMYFUNCTION("""COMPUTED_VALUE"""),0.362234147874525)</f>
        <v>0.3622341479</v>
      </c>
      <c r="S115" s="15">
        <v>904.0</v>
      </c>
      <c r="T115" s="4"/>
      <c r="U115" s="4"/>
    </row>
    <row r="116">
      <c r="A116" s="14" t="s">
        <v>460</v>
      </c>
      <c r="B116" s="17">
        <f>IFERROR(__xludf.DUMMYFUNCTION("SPLIT(E, "" "")"),0.184228538760815)</f>
        <v>0.1842285388</v>
      </c>
      <c r="C116" s="4">
        <f>IFERROR(__xludf.DUMMYFUNCTION("""COMPUTED_VALUE"""),0.483819259670596)</f>
        <v>0.4838192597</v>
      </c>
      <c r="D116" s="15">
        <v>230.0</v>
      </c>
      <c r="E116" s="4"/>
      <c r="F116" s="14" t="s">
        <v>461</v>
      </c>
      <c r="G116" s="17">
        <f>IFERROR(__xludf.DUMMYFUNCTION("SPLIT(F:F, "" "")"),0.159755483063329)</f>
        <v>0.1597554831</v>
      </c>
      <c r="H116" s="4">
        <f>IFERROR(__xludf.DUMMYFUNCTION("""COMPUTED_VALUE"""),0.562698018969751)</f>
        <v>0.562698019</v>
      </c>
      <c r="I116" s="15">
        <v>454.0</v>
      </c>
      <c r="J116" s="4"/>
      <c r="K116" s="14" t="s">
        <v>462</v>
      </c>
      <c r="L116" s="17">
        <f>IFERROR(__xludf.DUMMYFUNCTION("SPLIT(K:K, "" "")"),0.160565971591775)</f>
        <v>0.1605659716</v>
      </c>
      <c r="M116" s="4">
        <f>IFERROR(__xludf.DUMMYFUNCTION("""COMPUTED_VALUE"""),0.370639651761584)</f>
        <v>0.3706396518</v>
      </c>
      <c r="N116" s="15">
        <v>454.0</v>
      </c>
      <c r="O116" s="4"/>
      <c r="P116" s="14" t="s">
        <v>463</v>
      </c>
      <c r="Q116" s="4">
        <f>IFERROR(__xludf.DUMMYFUNCTION("SPLIT(P:P, "" "")"),0.205508938229616)</f>
        <v>0.2055089382</v>
      </c>
      <c r="R116" s="4">
        <f>IFERROR(__xludf.DUMMYFUNCTION("""COMPUTED_VALUE"""),0.37072788065698)</f>
        <v>0.3707278807</v>
      </c>
      <c r="S116" s="15">
        <v>912.0</v>
      </c>
      <c r="T116" s="4"/>
      <c r="U116" s="4"/>
    </row>
    <row r="117">
      <c r="A117" s="14" t="s">
        <v>464</v>
      </c>
      <c r="B117" s="17">
        <f>IFERROR(__xludf.DUMMYFUNCTION("SPLIT(E, "" "")"),0.186038331143874)</f>
        <v>0.1860383311</v>
      </c>
      <c r="C117" s="4">
        <f>IFERROR(__xludf.DUMMYFUNCTION("""COMPUTED_VALUE"""),0.492254080993269)</f>
        <v>0.492254081</v>
      </c>
      <c r="D117" s="15">
        <v>232.0</v>
      </c>
      <c r="E117" s="4"/>
      <c r="F117" s="14" t="s">
        <v>465</v>
      </c>
      <c r="G117" s="17">
        <f>IFERROR(__xludf.DUMMYFUNCTION("SPLIT(F:F, "" "")"),0.157672757663974)</f>
        <v>0.1576727577</v>
      </c>
      <c r="H117" s="4">
        <f>IFERROR(__xludf.DUMMYFUNCTION("""COMPUTED_VALUE"""),0.548357734420885)</f>
        <v>0.5483577344</v>
      </c>
      <c r="I117" s="15">
        <v>458.0</v>
      </c>
      <c r="J117" s="4"/>
      <c r="K117" s="14" t="s">
        <v>466</v>
      </c>
      <c r="L117" s="17">
        <f>IFERROR(__xludf.DUMMYFUNCTION("SPLIT(K:K, "" "")"),0.155567081658526)</f>
        <v>0.1555670817</v>
      </c>
      <c r="M117" s="4">
        <f>IFERROR(__xludf.DUMMYFUNCTION("""COMPUTED_VALUE"""),0.371170829760371)</f>
        <v>0.3711708298</v>
      </c>
      <c r="N117" s="15">
        <v>458.0</v>
      </c>
      <c r="O117" s="4"/>
      <c r="P117" s="14" t="s">
        <v>467</v>
      </c>
      <c r="Q117" s="4">
        <f>IFERROR(__xludf.DUMMYFUNCTION("SPLIT(P:P, "" "")"),0.20026458430295)</f>
        <v>0.2002645843</v>
      </c>
      <c r="R117" s="4">
        <f>IFERROR(__xludf.DUMMYFUNCTION("""COMPUTED_VALUE"""),0.364343858399907)</f>
        <v>0.3643438584</v>
      </c>
      <c r="S117" s="15">
        <v>920.0</v>
      </c>
      <c r="T117" s="4"/>
      <c r="U117" s="4"/>
    </row>
    <row r="118">
      <c r="A118" s="14" t="s">
        <v>468</v>
      </c>
      <c r="B118" s="17">
        <f>IFERROR(__xludf.DUMMYFUNCTION("SPLIT(E, "" "")"),0.186559262939109)</f>
        <v>0.1865592629</v>
      </c>
      <c r="C118" s="4">
        <f>IFERROR(__xludf.DUMMYFUNCTION("""COMPUTED_VALUE"""),0.49386734062902)</f>
        <v>0.4938673406</v>
      </c>
      <c r="D118" s="15">
        <v>234.0</v>
      </c>
      <c r="E118" s="4"/>
      <c r="F118" s="14" t="s">
        <v>469</v>
      </c>
      <c r="G118" s="17">
        <f>IFERROR(__xludf.DUMMYFUNCTION("SPLIT(F:F, "" "")"),0.158179987081401)</f>
        <v>0.1581799871</v>
      </c>
      <c r="H118" s="4">
        <f>IFERROR(__xludf.DUMMYFUNCTION("""COMPUTED_VALUE"""),0.556190987002336)</f>
        <v>0.556190987</v>
      </c>
      <c r="I118" s="15">
        <v>462.0</v>
      </c>
      <c r="J118" s="4"/>
      <c r="K118" s="14" t="s">
        <v>470</v>
      </c>
      <c r="L118" s="17">
        <f>IFERROR(__xludf.DUMMYFUNCTION("SPLIT(K:K, "" "")"),0.15551798147029)</f>
        <v>0.1555179815</v>
      </c>
      <c r="M118" s="4">
        <f>IFERROR(__xludf.DUMMYFUNCTION("""COMPUTED_VALUE"""),0.3763403559704)</f>
        <v>0.376340356</v>
      </c>
      <c r="N118" s="15">
        <v>462.0</v>
      </c>
      <c r="O118" s="4"/>
      <c r="P118" s="14" t="s">
        <v>471</v>
      </c>
      <c r="Q118" s="4">
        <f>IFERROR(__xludf.DUMMYFUNCTION("SPLIT(P:P, "" "")"),0.198314381712148)</f>
        <v>0.1983143817</v>
      </c>
      <c r="R118" s="4">
        <f>IFERROR(__xludf.DUMMYFUNCTION("""COMPUTED_VALUE"""),0.362592655981791)</f>
        <v>0.362592656</v>
      </c>
      <c r="S118" s="15">
        <v>928.0</v>
      </c>
      <c r="T118" s="4"/>
      <c r="U118" s="4"/>
    </row>
    <row r="119">
      <c r="A119" s="14" t="s">
        <v>472</v>
      </c>
      <c r="B119" s="17">
        <f>IFERROR(__xludf.DUMMYFUNCTION("SPLIT(E, "" "")"),0.182071734566748)</f>
        <v>0.1820717346</v>
      </c>
      <c r="C119" s="4">
        <f>IFERROR(__xludf.DUMMYFUNCTION("""COMPUTED_VALUE"""),0.499707981429416)</f>
        <v>0.4997079814</v>
      </c>
      <c r="D119" s="15">
        <v>236.0</v>
      </c>
      <c r="E119" s="4"/>
      <c r="F119" s="14" t="s">
        <v>473</v>
      </c>
      <c r="G119" s="17">
        <f>IFERROR(__xludf.DUMMYFUNCTION("SPLIT(F:F, "" "")"),0.155734889249253)</f>
        <v>0.1557348892</v>
      </c>
      <c r="H119" s="4">
        <f>IFERROR(__xludf.DUMMYFUNCTION("""COMPUTED_VALUE"""),0.549386515940843)</f>
        <v>0.5493865159</v>
      </c>
      <c r="I119" s="15">
        <v>466.0</v>
      </c>
      <c r="J119" s="4"/>
      <c r="K119" s="14" t="s">
        <v>474</v>
      </c>
      <c r="L119" s="17">
        <f>IFERROR(__xludf.DUMMYFUNCTION("SPLIT(K:K, "" "")"),0.154947619367806)</f>
        <v>0.1549476194</v>
      </c>
      <c r="M119" s="4">
        <f>IFERROR(__xludf.DUMMYFUNCTION("""COMPUTED_VALUE"""),0.37067582899279)</f>
        <v>0.370675829</v>
      </c>
      <c r="N119" s="15">
        <v>466.0</v>
      </c>
      <c r="O119" s="4"/>
      <c r="P119" s="14" t="s">
        <v>475</v>
      </c>
      <c r="Q119" s="4">
        <f>IFERROR(__xludf.DUMMYFUNCTION("SPLIT(P:P, "" "")"),0.199637211728198)</f>
        <v>0.1996372117</v>
      </c>
      <c r="R119" s="4">
        <f>IFERROR(__xludf.DUMMYFUNCTION("""COMPUTED_VALUE"""),0.360281397313542)</f>
        <v>0.3602813973</v>
      </c>
      <c r="S119" s="15">
        <v>936.0</v>
      </c>
      <c r="T119" s="4"/>
      <c r="U119" s="4"/>
    </row>
    <row r="120">
      <c r="A120" s="14" t="s">
        <v>476</v>
      </c>
      <c r="B120" s="17">
        <f>IFERROR(__xludf.DUMMYFUNCTION("SPLIT(E, "" "")"),0.183769880555882)</f>
        <v>0.1837698806</v>
      </c>
      <c r="C120" s="4">
        <f>IFERROR(__xludf.DUMMYFUNCTION("""COMPUTED_VALUE"""),0.4909554271977)</f>
        <v>0.4909554272</v>
      </c>
      <c r="D120" s="15">
        <v>238.0</v>
      </c>
      <c r="E120" s="4"/>
      <c r="F120" s="14" t="s">
        <v>477</v>
      </c>
      <c r="G120" s="17">
        <f>IFERROR(__xludf.DUMMYFUNCTION("SPLIT(F:F, "" "")"),0.156133320950392)</f>
        <v>0.156133321</v>
      </c>
      <c r="H120" s="4">
        <f>IFERROR(__xludf.DUMMYFUNCTION("""COMPUTED_VALUE"""),0.545434840870492)</f>
        <v>0.5454348409</v>
      </c>
      <c r="I120" s="15">
        <v>470.0</v>
      </c>
      <c r="J120" s="4"/>
      <c r="K120" s="14" t="s">
        <v>478</v>
      </c>
      <c r="L120" s="17">
        <f>IFERROR(__xludf.DUMMYFUNCTION("SPLIT(K:K, "" "")"),0.156552765988424)</f>
        <v>0.156552766</v>
      </c>
      <c r="M120" s="4">
        <f>IFERROR(__xludf.DUMMYFUNCTION("""COMPUTED_VALUE"""),0.379956830908662)</f>
        <v>0.3799568309</v>
      </c>
      <c r="N120" s="15">
        <v>470.0</v>
      </c>
      <c r="O120" s="4"/>
      <c r="P120" s="14" t="s">
        <v>479</v>
      </c>
      <c r="Q120" s="4">
        <f>IFERROR(__xludf.DUMMYFUNCTION("SPLIT(P:P, "" "")"),0.198575992145801)</f>
        <v>0.1985759921</v>
      </c>
      <c r="R120" s="4">
        <f>IFERROR(__xludf.DUMMYFUNCTION("""COMPUTED_VALUE"""),0.365907946719171)</f>
        <v>0.3659079467</v>
      </c>
      <c r="S120" s="15">
        <v>944.0</v>
      </c>
      <c r="T120" s="4"/>
      <c r="U120" s="4"/>
    </row>
    <row r="121">
      <c r="A121" s="14" t="s">
        <v>480</v>
      </c>
      <c r="B121" s="17">
        <f>IFERROR(__xludf.DUMMYFUNCTION("SPLIT(E, "" "")"),0.191455434973425)</f>
        <v>0.191455435</v>
      </c>
      <c r="C121" s="4">
        <f>IFERROR(__xludf.DUMMYFUNCTION("""COMPUTED_VALUE"""),0.498370394603845)</f>
        <v>0.4983703946</v>
      </c>
      <c r="D121" s="15">
        <v>240.0</v>
      </c>
      <c r="E121" s="4"/>
      <c r="F121" s="14" t="s">
        <v>481</v>
      </c>
      <c r="G121" s="17">
        <f>IFERROR(__xludf.DUMMYFUNCTION("SPLIT(F:F, "" "")"),0.158095236393059)</f>
        <v>0.1580952364</v>
      </c>
      <c r="H121" s="4">
        <f>IFERROR(__xludf.DUMMYFUNCTION("""COMPUTED_VALUE"""),0.556056565334372)</f>
        <v>0.5560565653</v>
      </c>
      <c r="I121" s="15">
        <v>474.0</v>
      </c>
      <c r="J121" s="4"/>
      <c r="K121" s="14" t="s">
        <v>482</v>
      </c>
      <c r="L121" s="17">
        <f>IFERROR(__xludf.DUMMYFUNCTION("SPLIT(K:K, "" "")"),0.156330402315762)</f>
        <v>0.1563304023</v>
      </c>
      <c r="M121" s="4">
        <f>IFERROR(__xludf.DUMMYFUNCTION("""COMPUTED_VALUE"""),0.378088747810282)</f>
        <v>0.3780887478</v>
      </c>
      <c r="N121" s="15">
        <v>474.0</v>
      </c>
      <c r="O121" s="4"/>
      <c r="P121" s="14" t="s">
        <v>483</v>
      </c>
      <c r="Q121" s="4">
        <f>IFERROR(__xludf.DUMMYFUNCTION("SPLIT(P:P, "" "")"),0.201490092402703)</f>
        <v>0.2014900924</v>
      </c>
      <c r="R121" s="4">
        <f>IFERROR(__xludf.DUMMYFUNCTION("""COMPUTED_VALUE"""),0.363576807742199)</f>
        <v>0.3635768077</v>
      </c>
      <c r="S121" s="15">
        <v>952.0</v>
      </c>
      <c r="T121" s="4"/>
      <c r="U121" s="4"/>
    </row>
    <row r="122">
      <c r="A122" s="14" t="s">
        <v>484</v>
      </c>
      <c r="B122" s="17">
        <f>IFERROR(__xludf.DUMMYFUNCTION("SPLIT(E, "" "")"),0.183730034678402)</f>
        <v>0.1837300347</v>
      </c>
      <c r="C122" s="4">
        <f>IFERROR(__xludf.DUMMYFUNCTION("""COMPUTED_VALUE"""),0.496427893620528)</f>
        <v>0.4964278936</v>
      </c>
      <c r="D122" s="15">
        <v>242.0</v>
      </c>
      <c r="E122" s="4"/>
      <c r="F122" s="14" t="s">
        <v>485</v>
      </c>
      <c r="G122" s="17">
        <f>IFERROR(__xludf.DUMMYFUNCTION("SPLIT(F:F, "" "")"),0.154747634739811)</f>
        <v>0.1547476347</v>
      </c>
      <c r="H122" s="4">
        <f>IFERROR(__xludf.DUMMYFUNCTION("""COMPUTED_VALUE"""),0.560893758753657)</f>
        <v>0.5608937588</v>
      </c>
      <c r="I122" s="15">
        <v>478.0</v>
      </c>
      <c r="J122" s="4"/>
      <c r="K122" s="14" t="s">
        <v>486</v>
      </c>
      <c r="L122" s="17">
        <f>IFERROR(__xludf.DUMMYFUNCTION("SPLIT(K:K, "" "")"),0.150948693529854)</f>
        <v>0.1509486935</v>
      </c>
      <c r="M122" s="4">
        <f>IFERROR(__xludf.DUMMYFUNCTION("""COMPUTED_VALUE"""),0.379258006320012)</f>
        <v>0.3792580063</v>
      </c>
      <c r="N122" s="15">
        <v>478.0</v>
      </c>
      <c r="O122" s="4"/>
      <c r="P122" s="14" t="s">
        <v>487</v>
      </c>
      <c r="Q122" s="4">
        <f>IFERROR(__xludf.DUMMYFUNCTION("SPLIT(P:P, "" "")"),0.200792782494502)</f>
        <v>0.2007927825</v>
      </c>
      <c r="R122" s="4">
        <f>IFERROR(__xludf.DUMMYFUNCTION("""COMPUTED_VALUE"""),0.373738148710491)</f>
        <v>0.3737381487</v>
      </c>
      <c r="S122" s="15">
        <v>960.0</v>
      </c>
      <c r="T122" s="4"/>
      <c r="U122" s="4"/>
    </row>
    <row r="123">
      <c r="A123" s="14" t="s">
        <v>488</v>
      </c>
      <c r="B123" s="17">
        <f>IFERROR(__xludf.DUMMYFUNCTION("SPLIT(E, "" "")"),0.187123452733017)</f>
        <v>0.1871234527</v>
      </c>
      <c r="C123" s="4">
        <f>IFERROR(__xludf.DUMMYFUNCTION("""COMPUTED_VALUE"""),0.506228186552056)</f>
        <v>0.5062281866</v>
      </c>
      <c r="D123" s="15">
        <v>244.0</v>
      </c>
      <c r="E123" s="4"/>
      <c r="F123" s="14" t="s">
        <v>489</v>
      </c>
      <c r="G123" s="17">
        <f>IFERROR(__xludf.DUMMYFUNCTION("SPLIT(F:F, "" "")"),0.157773219591689)</f>
        <v>0.1577732196</v>
      </c>
      <c r="H123" s="4">
        <f>IFERROR(__xludf.DUMMYFUNCTION("""COMPUTED_VALUE"""),0.557972911011286)</f>
        <v>0.557972911</v>
      </c>
      <c r="I123" s="15">
        <v>482.0</v>
      </c>
      <c r="J123" s="4"/>
      <c r="K123" s="14" t="s">
        <v>490</v>
      </c>
      <c r="L123" s="17">
        <f>IFERROR(__xludf.DUMMYFUNCTION("SPLIT(K:K, "" "")"),0.152616774921216)</f>
        <v>0.1526167749</v>
      </c>
      <c r="M123" s="4">
        <f>IFERROR(__xludf.DUMMYFUNCTION("""COMPUTED_VALUE"""),0.375692816896803)</f>
        <v>0.3756928169</v>
      </c>
      <c r="N123" s="15">
        <v>482.0</v>
      </c>
      <c r="O123" s="4"/>
      <c r="P123" s="14" t="s">
        <v>491</v>
      </c>
      <c r="Q123" s="4">
        <f>IFERROR(__xludf.DUMMYFUNCTION("SPLIT(P:P, "" "")"),0.201234233005313)</f>
        <v>0.201234233</v>
      </c>
      <c r="R123" s="4">
        <f>IFERROR(__xludf.DUMMYFUNCTION("""COMPUTED_VALUE"""),0.370146635028816)</f>
        <v>0.370146635</v>
      </c>
      <c r="S123" s="15">
        <v>968.0</v>
      </c>
      <c r="T123" s="4"/>
      <c r="U123" s="4"/>
    </row>
    <row r="124">
      <c r="A124" s="14" t="s">
        <v>492</v>
      </c>
      <c r="B124" s="17">
        <f>IFERROR(__xludf.DUMMYFUNCTION("SPLIT(E, "" "")"),0.178852365992268)</f>
        <v>0.178852366</v>
      </c>
      <c r="C124" s="4">
        <f>IFERROR(__xludf.DUMMYFUNCTION("""COMPUTED_VALUE"""),0.499232019015817)</f>
        <v>0.499232019</v>
      </c>
      <c r="D124" s="15">
        <v>246.0</v>
      </c>
      <c r="E124" s="4"/>
      <c r="F124" s="14" t="s">
        <v>493</v>
      </c>
      <c r="G124" s="17">
        <f>IFERROR(__xludf.DUMMYFUNCTION("SPLIT(F:F, "" "")"),0.153482923403867)</f>
        <v>0.1534829234</v>
      </c>
      <c r="H124" s="4">
        <f>IFERROR(__xludf.DUMMYFUNCTION("""COMPUTED_VALUE"""),0.554162308166618)</f>
        <v>0.5541623082</v>
      </c>
      <c r="I124" s="15">
        <v>486.0</v>
      </c>
      <c r="J124" s="4"/>
      <c r="K124" s="14" t="s">
        <v>494</v>
      </c>
      <c r="L124" s="17">
        <f>IFERROR(__xludf.DUMMYFUNCTION("SPLIT(K:K, "" "")"),0.154126056864861)</f>
        <v>0.1541260569</v>
      </c>
      <c r="M124" s="4">
        <f>IFERROR(__xludf.DUMMYFUNCTION("""COMPUTED_VALUE"""),0.376945757990885)</f>
        <v>0.376945758</v>
      </c>
      <c r="N124" s="15">
        <v>486.0</v>
      </c>
      <c r="O124" s="4"/>
      <c r="P124" s="14" t="s">
        <v>495</v>
      </c>
      <c r="Q124" s="4">
        <f>IFERROR(__xludf.DUMMYFUNCTION("SPLIT(P:P, "" "")"),0.197664526193804)</f>
        <v>0.1976645262</v>
      </c>
      <c r="R124" s="4">
        <f>IFERROR(__xludf.DUMMYFUNCTION("""COMPUTED_VALUE"""),0.36967941412609)</f>
        <v>0.3696794141</v>
      </c>
      <c r="S124" s="15">
        <v>976.0</v>
      </c>
      <c r="T124" s="4"/>
      <c r="U124" s="4"/>
    </row>
    <row r="125">
      <c r="A125" s="14" t="s">
        <v>496</v>
      </c>
      <c r="B125" s="17">
        <f>IFERROR(__xludf.DUMMYFUNCTION("SPLIT(E, "" "")"),0.182015960089307)</f>
        <v>0.1820159601</v>
      </c>
      <c r="C125" s="4">
        <f>IFERROR(__xludf.DUMMYFUNCTION("""COMPUTED_VALUE"""),0.496722539748516)</f>
        <v>0.4967225397</v>
      </c>
      <c r="D125" s="15">
        <v>248.0</v>
      </c>
      <c r="E125" s="4"/>
      <c r="F125" s="14" t="s">
        <v>497</v>
      </c>
      <c r="G125" s="17">
        <f>IFERROR(__xludf.DUMMYFUNCTION("SPLIT(F:F, "" "")"),0.153293639883608)</f>
        <v>0.1532936399</v>
      </c>
      <c r="H125" s="4">
        <f>IFERROR(__xludf.DUMMYFUNCTION("""COMPUTED_VALUE"""),0.560468513317549)</f>
        <v>0.5604685133</v>
      </c>
      <c r="I125" s="15">
        <v>490.0</v>
      </c>
      <c r="J125" s="4"/>
      <c r="K125" s="14" t="s">
        <v>498</v>
      </c>
      <c r="L125" s="17">
        <f>IFERROR(__xludf.DUMMYFUNCTION("SPLIT(K:K, "" "")"),0.151013097188352)</f>
        <v>0.1510130972</v>
      </c>
      <c r="M125" s="4">
        <f>IFERROR(__xludf.DUMMYFUNCTION("""COMPUTED_VALUE"""),0.369858192109048)</f>
        <v>0.3698581921</v>
      </c>
      <c r="N125" s="15">
        <v>490.0</v>
      </c>
      <c r="O125" s="4"/>
      <c r="P125" s="14" t="s">
        <v>499</v>
      </c>
      <c r="Q125" s="4">
        <f>IFERROR(__xludf.DUMMYFUNCTION("SPLIT(P:P, "" "")"),0.205427786709535)</f>
        <v>0.2054277867</v>
      </c>
      <c r="R125" s="4">
        <f>IFERROR(__xludf.DUMMYFUNCTION("""COMPUTED_VALUE"""),0.384545566123744)</f>
        <v>0.3845455661</v>
      </c>
      <c r="S125" s="15">
        <v>984.0</v>
      </c>
      <c r="T125" s="4"/>
      <c r="U125" s="4"/>
    </row>
    <row r="126">
      <c r="A126" s="14" t="s">
        <v>500</v>
      </c>
      <c r="B126" s="17">
        <f>IFERROR(__xludf.DUMMYFUNCTION("SPLIT(E, "" "")"),0.18084906975827)</f>
        <v>0.1808490698</v>
      </c>
      <c r="C126" s="4">
        <f>IFERROR(__xludf.DUMMYFUNCTION("""COMPUTED_VALUE"""),0.498702209335246)</f>
        <v>0.4987022093</v>
      </c>
      <c r="D126" s="15">
        <v>250.0</v>
      </c>
      <c r="E126" s="4"/>
      <c r="F126" s="14" t="s">
        <v>501</v>
      </c>
      <c r="G126" s="17">
        <f>IFERROR(__xludf.DUMMYFUNCTION("SPLIT(F:F, "" "")"),0.153286668208047)</f>
        <v>0.1532866682</v>
      </c>
      <c r="H126" s="4">
        <f>IFERROR(__xludf.DUMMYFUNCTION("""COMPUTED_VALUE"""),0.554604473574488)</f>
        <v>0.5546044736</v>
      </c>
      <c r="I126" s="15">
        <v>494.0</v>
      </c>
      <c r="J126" s="4"/>
      <c r="K126" s="14" t="s">
        <v>502</v>
      </c>
      <c r="L126" s="17">
        <f>IFERROR(__xludf.DUMMYFUNCTION("SPLIT(K:K, "" "")"),0.152471828347447)</f>
        <v>0.1524718283</v>
      </c>
      <c r="M126" s="4">
        <f>IFERROR(__xludf.DUMMYFUNCTION("""COMPUTED_VALUE"""),0.379787632797955)</f>
        <v>0.3797876328</v>
      </c>
      <c r="N126" s="15">
        <v>494.0</v>
      </c>
      <c r="O126" s="4"/>
      <c r="P126" s="14" t="s">
        <v>503</v>
      </c>
      <c r="Q126" s="4">
        <f>IFERROR(__xludf.DUMMYFUNCTION("SPLIT(P:P, "" "")"),0.199182788892183)</f>
        <v>0.1991827889</v>
      </c>
      <c r="R126" s="4">
        <f>IFERROR(__xludf.DUMMYFUNCTION("""COMPUTED_VALUE"""),0.373937131518023)</f>
        <v>0.3739371315</v>
      </c>
      <c r="S126" s="15">
        <v>992.0</v>
      </c>
      <c r="T126" s="4"/>
      <c r="U126" s="4"/>
    </row>
    <row r="127">
      <c r="A127" s="14" t="s">
        <v>504</v>
      </c>
      <c r="B127" s="17">
        <f>IFERROR(__xludf.DUMMYFUNCTION("SPLIT(E, "" "")"),0.177306991913442)</f>
        <v>0.1773069919</v>
      </c>
      <c r="C127" s="4">
        <f>IFERROR(__xludf.DUMMYFUNCTION("""COMPUTED_VALUE"""),0.48281658619469)</f>
        <v>0.4828165862</v>
      </c>
      <c r="D127" s="15">
        <v>252.0</v>
      </c>
      <c r="E127" s="4"/>
      <c r="F127" s="14" t="s">
        <v>505</v>
      </c>
      <c r="G127" s="17">
        <f>IFERROR(__xludf.DUMMYFUNCTION("SPLIT(F:F, "" "")"),0.152120534403367)</f>
        <v>0.1521205344</v>
      </c>
      <c r="H127" s="4">
        <f>IFERROR(__xludf.DUMMYFUNCTION("""COMPUTED_VALUE"""),0.551392350933443)</f>
        <v>0.5513923509</v>
      </c>
      <c r="I127" s="15">
        <v>498.0</v>
      </c>
      <c r="J127" s="4"/>
      <c r="K127" s="14" t="s">
        <v>506</v>
      </c>
      <c r="L127" s="17">
        <f>IFERROR(__xludf.DUMMYFUNCTION("SPLIT(K:K, "" "")"),0.153522766617387)</f>
        <v>0.1535227666</v>
      </c>
      <c r="M127" s="4">
        <f>IFERROR(__xludf.DUMMYFUNCTION("""COMPUTED_VALUE"""),0.38037438858177)</f>
        <v>0.3803743886</v>
      </c>
      <c r="N127" s="15">
        <v>498.0</v>
      </c>
      <c r="O127" s="4"/>
      <c r="P127" s="14" t="s">
        <v>507</v>
      </c>
      <c r="Q127" s="4">
        <f>IFERROR(__xludf.DUMMYFUNCTION("SPLIT(P:P, "" "")"),0.196722289834364)</f>
        <v>0.1967222898</v>
      </c>
      <c r="R127" s="4">
        <f>IFERROR(__xludf.DUMMYFUNCTION("""COMPUTED_VALUE"""),0.367754763709883)</f>
        <v>0.3677547637</v>
      </c>
      <c r="S127" s="15">
        <v>1000.0</v>
      </c>
      <c r="T127" s="4"/>
      <c r="U127" s="4"/>
    </row>
    <row r="128">
      <c r="A128" s="14" t="s">
        <v>508</v>
      </c>
      <c r="B128" s="17">
        <f>IFERROR(__xludf.DUMMYFUNCTION("SPLIT(E, "" "")"),0.17853126385798)</f>
        <v>0.1785312639</v>
      </c>
      <c r="C128" s="4">
        <f>IFERROR(__xludf.DUMMYFUNCTION("""COMPUTED_VALUE"""),0.494871484782524)</f>
        <v>0.4948714848</v>
      </c>
      <c r="D128" s="15">
        <v>254.0</v>
      </c>
      <c r="E128" s="4"/>
      <c r="F128" s="14" t="s">
        <v>509</v>
      </c>
      <c r="G128" s="17">
        <f>IFERROR(__xludf.DUMMYFUNCTION("SPLIT(F:F, "" "")"),0.153565683045202)</f>
        <v>0.153565683</v>
      </c>
      <c r="H128" s="4">
        <f>IFERROR(__xludf.DUMMYFUNCTION("""COMPUTED_VALUE"""),0.569523979263108)</f>
        <v>0.5695239793</v>
      </c>
      <c r="I128" s="15">
        <v>502.0</v>
      </c>
      <c r="J128" s="4"/>
      <c r="K128" s="14" t="s">
        <v>510</v>
      </c>
      <c r="L128" s="17">
        <f>IFERROR(__xludf.DUMMYFUNCTION("SPLIT(K:K, "" "")"),0.150980617287636)</f>
        <v>0.1509806173</v>
      </c>
      <c r="M128" s="4">
        <f>IFERROR(__xludf.DUMMYFUNCTION("""COMPUTED_VALUE"""),0.378280321424089)</f>
        <v>0.3782803214</v>
      </c>
      <c r="N128" s="15">
        <v>502.0</v>
      </c>
      <c r="O128" s="4"/>
      <c r="P128" s="14" t="s">
        <v>511</v>
      </c>
      <c r="Q128" s="4">
        <f>IFERROR(__xludf.DUMMYFUNCTION("SPLIT(P:P, "" "")"),0.196259557257536)</f>
        <v>0.1962595573</v>
      </c>
      <c r="R128" s="4">
        <f>IFERROR(__xludf.DUMMYFUNCTION("""COMPUTED_VALUE"""),0.367498570760971)</f>
        <v>0.3674985708</v>
      </c>
      <c r="S128" s="15">
        <v>1008.0</v>
      </c>
      <c r="T128" s="4"/>
      <c r="U128" s="4"/>
    </row>
    <row r="129">
      <c r="A129" s="14" t="s">
        <v>512</v>
      </c>
      <c r="B129" s="17">
        <f>IFERROR(__xludf.DUMMYFUNCTION("SPLIT(E, "" "")"),0.18245940799894)</f>
        <v>0.182459408</v>
      </c>
      <c r="C129" s="4">
        <f>IFERROR(__xludf.DUMMYFUNCTION("""COMPUTED_VALUE"""),0.505945346032794)</f>
        <v>0.505945346</v>
      </c>
      <c r="D129" s="15">
        <v>256.0</v>
      </c>
      <c r="E129" s="4"/>
      <c r="F129" s="14" t="s">
        <v>513</v>
      </c>
      <c r="G129" s="17">
        <f>IFERROR(__xludf.DUMMYFUNCTION("SPLIT(F:F, "" "")"),0.152197371126372)</f>
        <v>0.1521973711</v>
      </c>
      <c r="H129" s="4">
        <f>IFERROR(__xludf.DUMMYFUNCTION("""COMPUTED_VALUE"""),0.562692540213144)</f>
        <v>0.5626925402</v>
      </c>
      <c r="I129" s="15">
        <v>506.0</v>
      </c>
      <c r="J129" s="4"/>
      <c r="K129" s="14" t="s">
        <v>514</v>
      </c>
      <c r="L129" s="17">
        <f>IFERROR(__xludf.DUMMYFUNCTION("SPLIT(K:K, "" "")"),0.148681475367928)</f>
        <v>0.1486814754</v>
      </c>
      <c r="M129" s="4">
        <f>IFERROR(__xludf.DUMMYFUNCTION("""COMPUTED_VALUE"""),0.370372248702814)</f>
        <v>0.3703722487</v>
      </c>
      <c r="N129" s="15">
        <v>506.0</v>
      </c>
      <c r="O129" s="4"/>
      <c r="P129" s="14" t="s">
        <v>515</v>
      </c>
      <c r="Q129" s="4">
        <f>IFERROR(__xludf.DUMMYFUNCTION("SPLIT(P:P, "" "")"),0.197502273900847)</f>
        <v>0.1975022739</v>
      </c>
      <c r="R129" s="4">
        <f>IFERROR(__xludf.DUMMYFUNCTION("""COMPUTED_VALUE"""),0.370879256660964)</f>
        <v>0.3708792567</v>
      </c>
      <c r="S129" s="15">
        <v>1016.0</v>
      </c>
      <c r="T129" s="4"/>
      <c r="U129" s="4"/>
    </row>
    <row r="130">
      <c r="A130" s="14" t="s">
        <v>516</v>
      </c>
      <c r="B130" s="17">
        <f>IFERROR(__xludf.DUMMYFUNCTION("SPLIT(E, "" "")"),0.175018352649066)</f>
        <v>0.1750183526</v>
      </c>
      <c r="C130" s="4">
        <f>IFERROR(__xludf.DUMMYFUNCTION("""COMPUTED_VALUE"""),0.494596857460985)</f>
        <v>0.4945968575</v>
      </c>
      <c r="D130" s="15">
        <v>258.0</v>
      </c>
      <c r="E130" s="4"/>
      <c r="F130" s="14" t="s">
        <v>517</v>
      </c>
      <c r="G130" s="17">
        <f>IFERROR(__xludf.DUMMYFUNCTION("SPLIT(F:F, "" "")"),0.152012223018741)</f>
        <v>0.152012223</v>
      </c>
      <c r="H130" s="4">
        <f>IFERROR(__xludf.DUMMYFUNCTION("""COMPUTED_VALUE"""),0.55607383283166)</f>
        <v>0.5560738328</v>
      </c>
      <c r="I130" s="15">
        <v>510.0</v>
      </c>
      <c r="J130" s="4"/>
      <c r="K130" s="14" t="s">
        <v>518</v>
      </c>
      <c r="L130" s="17">
        <f>IFERROR(__xludf.DUMMYFUNCTION("SPLIT(K:K, "" "")"),0.152932808270776)</f>
        <v>0.1529328083</v>
      </c>
      <c r="M130" s="4">
        <f>IFERROR(__xludf.DUMMYFUNCTION("""COMPUTED_VALUE"""),0.386268732497877)</f>
        <v>0.3862687325</v>
      </c>
      <c r="N130" s="15">
        <v>510.0</v>
      </c>
      <c r="O130" s="4"/>
      <c r="P130" s="14" t="s">
        <v>519</v>
      </c>
      <c r="Q130" s="4">
        <f>IFERROR(__xludf.DUMMYFUNCTION("SPLIT(P:P, "" "")"),0.198030555637724)</f>
        <v>0.1980305556</v>
      </c>
      <c r="R130" s="4">
        <f>IFERROR(__xludf.DUMMYFUNCTION("""COMPUTED_VALUE"""),0.3700559613452)</f>
        <v>0.3700559613</v>
      </c>
      <c r="S130" s="15">
        <v>1024.0</v>
      </c>
      <c r="T130" s="4"/>
      <c r="U130" s="4"/>
    </row>
    <row r="131">
      <c r="A131" s="14" t="s">
        <v>520</v>
      </c>
      <c r="B131" s="17">
        <f>IFERROR(__xludf.DUMMYFUNCTION("SPLIT(E, "" "")"),0.176163984798079)</f>
        <v>0.1761639848</v>
      </c>
      <c r="C131" s="4">
        <f>IFERROR(__xludf.DUMMYFUNCTION("""COMPUTED_VALUE"""),0.500998940714194)</f>
        <v>0.5009989407</v>
      </c>
      <c r="D131" s="15">
        <v>260.0</v>
      </c>
      <c r="E131" s="4"/>
      <c r="F131" s="14" t="s">
        <v>521</v>
      </c>
      <c r="G131" s="17">
        <f>IFERROR(__xludf.DUMMYFUNCTION("SPLIT(F:F, "" "")"),0.15251365572941)</f>
        <v>0.1525136557</v>
      </c>
      <c r="H131" s="4">
        <f>IFERROR(__xludf.DUMMYFUNCTION("""COMPUTED_VALUE"""),0.58400968264067)</f>
        <v>0.5840096826</v>
      </c>
      <c r="I131" s="15">
        <v>514.0</v>
      </c>
      <c r="J131" s="4"/>
      <c r="K131" s="14" t="s">
        <v>522</v>
      </c>
      <c r="L131" s="17">
        <f>IFERROR(__xludf.DUMMYFUNCTION("SPLIT(K:K, "" "")"),0.149622465224281)</f>
        <v>0.1496224652</v>
      </c>
      <c r="M131" s="4">
        <f>IFERROR(__xludf.DUMMYFUNCTION("""COMPUTED_VALUE"""),0.371939041327043)</f>
        <v>0.3719390413</v>
      </c>
      <c r="N131" s="15">
        <v>514.0</v>
      </c>
      <c r="O131" s="4"/>
      <c r="P131" s="14" t="s">
        <v>523</v>
      </c>
      <c r="Q131" s="4">
        <f>IFERROR(__xludf.DUMMYFUNCTION("SPLIT(P:P, "" "")"),0.198111771324911)</f>
        <v>0.1981117713</v>
      </c>
      <c r="R131" s="4">
        <f>IFERROR(__xludf.DUMMYFUNCTION("""COMPUTED_VALUE"""),0.373557562669056)</f>
        <v>0.3735575627</v>
      </c>
      <c r="S131" s="15">
        <v>1032.0</v>
      </c>
      <c r="T131" s="4"/>
      <c r="U131" s="4"/>
    </row>
    <row r="132">
      <c r="A132" s="14" t="s">
        <v>524</v>
      </c>
      <c r="B132" s="17">
        <f>IFERROR(__xludf.DUMMYFUNCTION("SPLIT(E, "" "")"),0.174750054845835)</f>
        <v>0.1747500548</v>
      </c>
      <c r="C132" s="4">
        <f>IFERROR(__xludf.DUMMYFUNCTION("""COMPUTED_VALUE"""),0.489778348747787)</f>
        <v>0.4897783487</v>
      </c>
      <c r="D132" s="15">
        <v>262.0</v>
      </c>
      <c r="E132" s="4"/>
      <c r="F132" s="14" t="s">
        <v>525</v>
      </c>
      <c r="G132" s="17">
        <f>IFERROR(__xludf.DUMMYFUNCTION("SPLIT(F:F, "" "")"),0.150293734347885)</f>
        <v>0.1502937343</v>
      </c>
      <c r="H132" s="4">
        <f>IFERROR(__xludf.DUMMYFUNCTION("""COMPUTED_VALUE"""),0.565511704985816)</f>
        <v>0.565511705</v>
      </c>
      <c r="I132" s="15">
        <v>518.0</v>
      </c>
      <c r="J132" s="4"/>
      <c r="K132" s="14" t="s">
        <v>526</v>
      </c>
      <c r="L132" s="17">
        <f>IFERROR(__xludf.DUMMYFUNCTION("SPLIT(K:K, "" "")"),0.14876508327381)</f>
        <v>0.1487650833</v>
      </c>
      <c r="M132" s="4">
        <f>IFERROR(__xludf.DUMMYFUNCTION("""COMPUTED_VALUE"""),0.37016069113813)</f>
        <v>0.3701606911</v>
      </c>
      <c r="N132" s="15">
        <v>518.0</v>
      </c>
      <c r="O132" s="4"/>
      <c r="P132" s="14" t="s">
        <v>527</v>
      </c>
      <c r="Q132" s="4">
        <f>IFERROR(__xludf.DUMMYFUNCTION("SPLIT(P:P, "" "")"),0.201559527991888)</f>
        <v>0.201559528</v>
      </c>
      <c r="R132" s="4">
        <f>IFERROR(__xludf.DUMMYFUNCTION("""COMPUTED_VALUE"""),0.377368608178829)</f>
        <v>0.3773686082</v>
      </c>
      <c r="S132" s="15">
        <v>1040.0</v>
      </c>
      <c r="T132" s="4"/>
      <c r="U132" s="4"/>
    </row>
    <row r="133">
      <c r="A133" s="14" t="s">
        <v>528</v>
      </c>
      <c r="B133" s="17">
        <f>IFERROR(__xludf.DUMMYFUNCTION("SPLIT(E, "" "")"),0.175854451111693)</f>
        <v>0.1758544511</v>
      </c>
      <c r="C133" s="4">
        <f>IFERROR(__xludf.DUMMYFUNCTION("""COMPUTED_VALUE"""),0.490108903468343)</f>
        <v>0.4901089035</v>
      </c>
      <c r="D133" s="15">
        <v>264.0</v>
      </c>
      <c r="E133" s="4"/>
      <c r="F133" s="14" t="s">
        <v>529</v>
      </c>
      <c r="G133" s="17">
        <f>IFERROR(__xludf.DUMMYFUNCTION("SPLIT(F:F, "" "")"),0.14880767780436)</f>
        <v>0.1488076778</v>
      </c>
      <c r="H133" s="4">
        <f>IFERROR(__xludf.DUMMYFUNCTION("""COMPUTED_VALUE"""),0.568487543303653)</f>
        <v>0.5684875433</v>
      </c>
      <c r="I133" s="15">
        <v>522.0</v>
      </c>
      <c r="J133" s="4"/>
      <c r="K133" s="14" t="s">
        <v>530</v>
      </c>
      <c r="L133" s="17">
        <f>IFERROR(__xludf.DUMMYFUNCTION("SPLIT(K:K, "" "")"),0.152619619843554)</f>
        <v>0.1526196198</v>
      </c>
      <c r="M133" s="4">
        <f>IFERROR(__xludf.DUMMYFUNCTION("""COMPUTED_VALUE"""),0.381805361690195)</f>
        <v>0.3818053617</v>
      </c>
      <c r="N133" s="15">
        <v>522.0</v>
      </c>
      <c r="O133" s="4"/>
      <c r="P133" s="14" t="s">
        <v>531</v>
      </c>
      <c r="Q133" s="4">
        <f>IFERROR(__xludf.DUMMYFUNCTION("SPLIT(P:P, "" "")"),0.198948927014518)</f>
        <v>0.198948927</v>
      </c>
      <c r="R133" s="4">
        <f>IFERROR(__xludf.DUMMYFUNCTION("""COMPUTED_VALUE"""),0.370142287126672)</f>
        <v>0.3701422871</v>
      </c>
      <c r="S133" s="15">
        <v>1048.0</v>
      </c>
      <c r="T133" s="4"/>
      <c r="U133" s="4"/>
    </row>
    <row r="134">
      <c r="A134" s="14" t="s">
        <v>532</v>
      </c>
      <c r="B134" s="17">
        <f>IFERROR(__xludf.DUMMYFUNCTION("SPLIT(E, "" "")"),0.178731397414606)</f>
        <v>0.1787313974</v>
      </c>
      <c r="C134" s="4">
        <f>IFERROR(__xludf.DUMMYFUNCTION("""COMPUTED_VALUE"""),0.506341665252313)</f>
        <v>0.5063416653</v>
      </c>
      <c r="D134" s="15">
        <v>266.0</v>
      </c>
      <c r="E134" s="4"/>
      <c r="F134" s="14" t="s">
        <v>533</v>
      </c>
      <c r="G134" s="17">
        <f>IFERROR(__xludf.DUMMYFUNCTION("SPLIT(F:F, "" "")"),0.153345015817813)</f>
        <v>0.1533450158</v>
      </c>
      <c r="H134" s="4">
        <f>IFERROR(__xludf.DUMMYFUNCTION("""COMPUTED_VALUE"""),0.580169719741569)</f>
        <v>0.5801697197</v>
      </c>
      <c r="I134" s="15">
        <v>526.0</v>
      </c>
      <c r="J134" s="4"/>
      <c r="K134" s="14" t="s">
        <v>534</v>
      </c>
      <c r="L134" s="17">
        <f>IFERROR(__xludf.DUMMYFUNCTION("SPLIT(K:K, "" "")"),0.148338433627834)</f>
        <v>0.1483384336</v>
      </c>
      <c r="M134" s="4">
        <f>IFERROR(__xludf.DUMMYFUNCTION("""COMPUTED_VALUE"""),0.377271348148964)</f>
        <v>0.3772713481</v>
      </c>
      <c r="N134" s="15">
        <v>526.0</v>
      </c>
      <c r="O134" s="4"/>
      <c r="P134" s="14" t="s">
        <v>535</v>
      </c>
      <c r="Q134" s="4">
        <f>IFERROR(__xludf.DUMMYFUNCTION("SPLIT(P:P, "" "")"),0.197654112862654)</f>
        <v>0.1976541129</v>
      </c>
      <c r="R134" s="4">
        <f>IFERROR(__xludf.DUMMYFUNCTION("""COMPUTED_VALUE"""),0.367507868932056)</f>
        <v>0.3675078689</v>
      </c>
      <c r="S134" s="15">
        <v>1056.0</v>
      </c>
      <c r="T134" s="4"/>
      <c r="U134" s="4"/>
    </row>
    <row r="135">
      <c r="A135" s="14" t="s">
        <v>536</v>
      </c>
      <c r="B135" s="17">
        <f>IFERROR(__xludf.DUMMYFUNCTION("SPLIT(E, "" "")"),0.176617472224624)</f>
        <v>0.1766174722</v>
      </c>
      <c r="C135" s="4">
        <f>IFERROR(__xludf.DUMMYFUNCTION("""COMPUTED_VALUE"""),0.504840638866742)</f>
        <v>0.5048406389</v>
      </c>
      <c r="D135" s="15">
        <v>268.0</v>
      </c>
      <c r="E135" s="4"/>
      <c r="F135" s="14" t="s">
        <v>537</v>
      </c>
      <c r="G135" s="17">
        <f>IFERROR(__xludf.DUMMYFUNCTION("SPLIT(F:F, "" "")"),0.148637880416596)</f>
        <v>0.1486378804</v>
      </c>
      <c r="H135" s="4">
        <f>IFERROR(__xludf.DUMMYFUNCTION("""COMPUTED_VALUE"""),0.572283220099415)</f>
        <v>0.5722832201</v>
      </c>
      <c r="I135" s="15">
        <v>530.0</v>
      </c>
      <c r="J135" s="4"/>
      <c r="K135" s="14" t="s">
        <v>538</v>
      </c>
      <c r="L135" s="17">
        <f>IFERROR(__xludf.DUMMYFUNCTION("SPLIT(K:K, "" "")"),0.146941119398482)</f>
        <v>0.1469411194</v>
      </c>
      <c r="M135" s="4">
        <f>IFERROR(__xludf.DUMMYFUNCTION("""COMPUTED_VALUE"""),0.375803524499303)</f>
        <v>0.3758035245</v>
      </c>
      <c r="N135" s="15">
        <v>530.0</v>
      </c>
      <c r="O135" s="4"/>
      <c r="P135" s="14" t="s">
        <v>539</v>
      </c>
      <c r="Q135" s="4">
        <f>IFERROR(__xludf.DUMMYFUNCTION("SPLIT(P:P, "" "")"),0.200280336136026)</f>
        <v>0.2002803361</v>
      </c>
      <c r="R135" s="4">
        <f>IFERROR(__xludf.DUMMYFUNCTION("""COMPUTED_VALUE"""),0.374435041306942)</f>
        <v>0.3744350413</v>
      </c>
      <c r="S135" s="15">
        <v>1064.0</v>
      </c>
      <c r="T135" s="4"/>
      <c r="U135" s="4"/>
    </row>
    <row r="136">
      <c r="A136" s="14" t="s">
        <v>540</v>
      </c>
      <c r="B136" s="17">
        <f>IFERROR(__xludf.DUMMYFUNCTION("SPLIT(E, "" "")"),0.175925830788694)</f>
        <v>0.1759258308</v>
      </c>
      <c r="C136" s="4">
        <f>IFERROR(__xludf.DUMMYFUNCTION("""COMPUTED_VALUE"""),0.501040024867773)</f>
        <v>0.5010400249</v>
      </c>
      <c r="D136" s="15">
        <v>270.0</v>
      </c>
      <c r="E136" s="4"/>
      <c r="F136" s="14" t="s">
        <v>541</v>
      </c>
      <c r="G136" s="17">
        <f>IFERROR(__xludf.DUMMYFUNCTION("SPLIT(F:F, "" "")"),0.146939950280993)</f>
        <v>0.1469399503</v>
      </c>
      <c r="H136" s="4">
        <f>IFERROR(__xludf.DUMMYFUNCTION("""COMPUTED_VALUE"""),0.561796028003361)</f>
        <v>0.561796028</v>
      </c>
      <c r="I136" s="15">
        <v>534.0</v>
      </c>
      <c r="J136" s="4"/>
      <c r="K136" s="14" t="s">
        <v>542</v>
      </c>
      <c r="L136" s="17">
        <f>IFERROR(__xludf.DUMMYFUNCTION("SPLIT(K:K, "" "")"),0.14720083601627)</f>
        <v>0.147200836</v>
      </c>
      <c r="M136" s="4">
        <f>IFERROR(__xludf.DUMMYFUNCTION("""COMPUTED_VALUE"""),0.37327483741736)</f>
        <v>0.3732748374</v>
      </c>
      <c r="N136" s="15">
        <v>534.0</v>
      </c>
      <c r="O136" s="4"/>
      <c r="P136" s="14" t="s">
        <v>543</v>
      </c>
      <c r="Q136" s="4">
        <f>IFERROR(__xludf.DUMMYFUNCTION("SPLIT(P:P, "" "")"),0.196489485945847)</f>
        <v>0.1964894859</v>
      </c>
      <c r="R136" s="4">
        <f>IFERROR(__xludf.DUMMYFUNCTION("""COMPUTED_VALUE"""),0.367195970287117)</f>
        <v>0.3671959703</v>
      </c>
      <c r="S136" s="15">
        <v>1072.0</v>
      </c>
      <c r="T136" s="4"/>
      <c r="U136" s="4"/>
    </row>
    <row r="137">
      <c r="A137" s="14" t="s">
        <v>544</v>
      </c>
      <c r="B137" s="17">
        <f>IFERROR(__xludf.DUMMYFUNCTION("SPLIT(E, "" "")"),0.172895616052841)</f>
        <v>0.1728956161</v>
      </c>
      <c r="C137" s="4">
        <f>IFERROR(__xludf.DUMMYFUNCTION("""COMPUTED_VALUE"""),0.506752439838319)</f>
        <v>0.5067524398</v>
      </c>
      <c r="D137" s="15">
        <v>272.0</v>
      </c>
      <c r="E137" s="4"/>
      <c r="F137" s="14" t="s">
        <v>545</v>
      </c>
      <c r="G137" s="17">
        <f>IFERROR(__xludf.DUMMYFUNCTION("SPLIT(F:F, "" "")"),0.14643731526826)</f>
        <v>0.1464373153</v>
      </c>
      <c r="H137" s="4">
        <f>IFERROR(__xludf.DUMMYFUNCTION("""COMPUTED_VALUE"""),0.570875917992072)</f>
        <v>0.570875918</v>
      </c>
      <c r="I137" s="15">
        <v>538.0</v>
      </c>
      <c r="J137" s="4"/>
      <c r="K137" s="14" t="s">
        <v>546</v>
      </c>
      <c r="L137" s="17">
        <f>IFERROR(__xludf.DUMMYFUNCTION("SPLIT(K:K, "" "")"),0.145076462111501)</f>
        <v>0.1450764621</v>
      </c>
      <c r="M137" s="4">
        <f>IFERROR(__xludf.DUMMYFUNCTION("""COMPUTED_VALUE"""),0.371215338481389)</f>
        <v>0.3712153385</v>
      </c>
      <c r="N137" s="15">
        <v>538.0</v>
      </c>
      <c r="O137" s="4"/>
      <c r="P137" s="14" t="s">
        <v>547</v>
      </c>
      <c r="Q137" s="4">
        <f>IFERROR(__xludf.DUMMYFUNCTION("SPLIT(P:P, "" "")"),0.200337921042822)</f>
        <v>0.200337921</v>
      </c>
      <c r="R137" s="4">
        <f>IFERROR(__xludf.DUMMYFUNCTION("""COMPUTED_VALUE"""),0.365284833155464)</f>
        <v>0.3652848332</v>
      </c>
      <c r="S137" s="15">
        <v>1080.0</v>
      </c>
      <c r="T137" s="4"/>
      <c r="U137" s="4"/>
    </row>
    <row r="138">
      <c r="A138" s="14" t="s">
        <v>548</v>
      </c>
      <c r="B138" s="17">
        <f>IFERROR(__xludf.DUMMYFUNCTION("SPLIT(E, "" "")"),0.172729227978515)</f>
        <v>0.172729228</v>
      </c>
      <c r="C138" s="4">
        <f>IFERROR(__xludf.DUMMYFUNCTION("""COMPUTED_VALUE"""),0.495470850404188)</f>
        <v>0.4954708504</v>
      </c>
      <c r="D138" s="15">
        <v>274.0</v>
      </c>
      <c r="E138" s="4"/>
      <c r="F138" s="14" t="s">
        <v>549</v>
      </c>
      <c r="G138" s="17">
        <f>IFERROR(__xludf.DUMMYFUNCTION("SPLIT(F:F, "" "")"),0.145789781248412)</f>
        <v>0.1457897812</v>
      </c>
      <c r="H138" s="4">
        <f>IFERROR(__xludf.DUMMYFUNCTION("""COMPUTED_VALUE"""),0.563866390606742)</f>
        <v>0.5638663906</v>
      </c>
      <c r="I138" s="15">
        <v>542.0</v>
      </c>
      <c r="J138" s="4"/>
      <c r="K138" s="14" t="s">
        <v>550</v>
      </c>
      <c r="L138" s="17">
        <f>IFERROR(__xludf.DUMMYFUNCTION("SPLIT(K:K, "" "")"),0.144734195286079)</f>
        <v>0.1447341953</v>
      </c>
      <c r="M138" s="4">
        <f>IFERROR(__xludf.DUMMYFUNCTION("""COMPUTED_VALUE"""),0.374726848318542)</f>
        <v>0.3747268483</v>
      </c>
      <c r="N138" s="15">
        <v>542.0</v>
      </c>
      <c r="O138" s="4"/>
      <c r="P138" s="14" t="s">
        <v>551</v>
      </c>
      <c r="Q138" s="4">
        <f>IFERROR(__xludf.DUMMYFUNCTION("SPLIT(P:P, "" "")"),0.199293487899914)</f>
        <v>0.1992934879</v>
      </c>
      <c r="R138" s="4">
        <f>IFERROR(__xludf.DUMMYFUNCTION("""COMPUTED_VALUE"""),0.376148177304791)</f>
        <v>0.3761481773</v>
      </c>
      <c r="S138" s="15">
        <v>1088.0</v>
      </c>
      <c r="T138" s="4"/>
      <c r="U138" s="4"/>
    </row>
    <row r="139">
      <c r="A139" s="14" t="s">
        <v>552</v>
      </c>
      <c r="B139" s="17">
        <f>IFERROR(__xludf.DUMMYFUNCTION("SPLIT(E, "" "")"),0.173125737824472)</f>
        <v>0.1731257378</v>
      </c>
      <c r="C139" s="4">
        <f>IFERROR(__xludf.DUMMYFUNCTION("""COMPUTED_VALUE"""),0.499614796425272)</f>
        <v>0.4996147964</v>
      </c>
      <c r="D139" s="15">
        <v>276.0</v>
      </c>
      <c r="E139" s="4"/>
      <c r="F139" s="14" t="s">
        <v>553</v>
      </c>
      <c r="G139" s="17">
        <f>IFERROR(__xludf.DUMMYFUNCTION("SPLIT(F:F, "" "")"),0.14672408319877)</f>
        <v>0.1467240832</v>
      </c>
      <c r="H139" s="4">
        <f>IFERROR(__xludf.DUMMYFUNCTION("""COMPUTED_VALUE"""),0.564603854515141)</f>
        <v>0.5646038545</v>
      </c>
      <c r="I139" s="15">
        <v>546.0</v>
      </c>
      <c r="J139" s="4"/>
      <c r="K139" s="14" t="s">
        <v>554</v>
      </c>
      <c r="L139" s="17">
        <f>IFERROR(__xludf.DUMMYFUNCTION("SPLIT(K:K, "" "")"),0.145777972635398)</f>
        <v>0.1457779726</v>
      </c>
      <c r="M139" s="4">
        <f>IFERROR(__xludf.DUMMYFUNCTION("""COMPUTED_VALUE"""),0.376448542352045)</f>
        <v>0.3764485424</v>
      </c>
      <c r="N139" s="15">
        <v>546.0</v>
      </c>
      <c r="O139" s="4"/>
      <c r="P139" s="14" t="s">
        <v>555</v>
      </c>
      <c r="Q139" s="4">
        <f>IFERROR(__xludf.DUMMYFUNCTION("SPLIT(P:P, "" "")"),0.198081994640711)</f>
        <v>0.1980819946</v>
      </c>
      <c r="R139" s="4">
        <f>IFERROR(__xludf.DUMMYFUNCTION("""COMPUTED_VALUE"""),0.365957206810569)</f>
        <v>0.3659572068</v>
      </c>
      <c r="S139" s="15">
        <v>1096.0</v>
      </c>
      <c r="T139" s="4"/>
      <c r="U139" s="4"/>
    </row>
    <row r="140">
      <c r="A140" s="14" t="s">
        <v>556</v>
      </c>
      <c r="B140" s="17">
        <f>IFERROR(__xludf.DUMMYFUNCTION("SPLIT(E, "" "")"),0.174079612937634)</f>
        <v>0.1740796129</v>
      </c>
      <c r="C140" s="4">
        <f>IFERROR(__xludf.DUMMYFUNCTION("""COMPUTED_VALUE"""),0.5009659569053)</f>
        <v>0.5009659569</v>
      </c>
      <c r="D140" s="15">
        <v>278.0</v>
      </c>
      <c r="E140" s="4"/>
      <c r="F140" s="14" t="s">
        <v>557</v>
      </c>
      <c r="G140" s="17">
        <f>IFERROR(__xludf.DUMMYFUNCTION("SPLIT(F:F, "" "")"),0.149603118744245)</f>
        <v>0.1496031187</v>
      </c>
      <c r="H140" s="4">
        <f>IFERROR(__xludf.DUMMYFUNCTION("""COMPUTED_VALUE"""),0.569866785711781)</f>
        <v>0.5698667857</v>
      </c>
      <c r="I140" s="15">
        <v>550.0</v>
      </c>
      <c r="J140" s="4"/>
      <c r="K140" s="14" t="s">
        <v>558</v>
      </c>
      <c r="L140" s="17">
        <f>IFERROR(__xludf.DUMMYFUNCTION("SPLIT(K:K, "" "")"),0.145593172796162)</f>
        <v>0.1455931728</v>
      </c>
      <c r="M140" s="4">
        <f>IFERROR(__xludf.DUMMYFUNCTION("""COMPUTED_VALUE"""),0.369794434300461)</f>
        <v>0.3697944343</v>
      </c>
      <c r="N140" s="15">
        <v>550.0</v>
      </c>
      <c r="O140" s="4"/>
      <c r="P140" s="14" t="s">
        <v>559</v>
      </c>
      <c r="Q140" s="4">
        <f>IFERROR(__xludf.DUMMYFUNCTION("SPLIT(P:P, "" "")"),0.194992217908961)</f>
        <v>0.1949922179</v>
      </c>
      <c r="R140" s="4">
        <f>IFERROR(__xludf.DUMMYFUNCTION("""COMPUTED_VALUE"""),0.364606136353644)</f>
        <v>0.3646061364</v>
      </c>
      <c r="S140" s="15">
        <v>1104.0</v>
      </c>
      <c r="T140" s="4"/>
      <c r="U140" s="4"/>
    </row>
    <row r="141">
      <c r="A141" s="14" t="s">
        <v>560</v>
      </c>
      <c r="B141" s="17">
        <f>IFERROR(__xludf.DUMMYFUNCTION("SPLIT(E, "" "")"),0.171655684677589)</f>
        <v>0.1716556847</v>
      </c>
      <c r="C141" s="4">
        <f>IFERROR(__xludf.DUMMYFUNCTION("""COMPUTED_VALUE"""),0.494716975509466)</f>
        <v>0.4947169755</v>
      </c>
      <c r="D141" s="15">
        <v>280.0</v>
      </c>
      <c r="E141" s="4"/>
      <c r="F141" s="14" t="s">
        <v>561</v>
      </c>
      <c r="G141" s="17">
        <f>IFERROR(__xludf.DUMMYFUNCTION("SPLIT(F:F, "" "")"),0.150817272679711)</f>
        <v>0.1508172727</v>
      </c>
      <c r="H141" s="4">
        <f>IFERROR(__xludf.DUMMYFUNCTION("""COMPUTED_VALUE"""),0.553277283214895)</f>
        <v>0.5532772832</v>
      </c>
      <c r="I141" s="15">
        <v>554.0</v>
      </c>
      <c r="J141" s="4"/>
      <c r="K141" s="14" t="s">
        <v>562</v>
      </c>
      <c r="L141" s="17">
        <f>IFERROR(__xludf.DUMMYFUNCTION("SPLIT(K:K, "" "")"),0.146503467973219)</f>
        <v>0.146503468</v>
      </c>
      <c r="M141" s="4">
        <f>IFERROR(__xludf.DUMMYFUNCTION("""COMPUTED_VALUE"""),0.366840707264899)</f>
        <v>0.3668407073</v>
      </c>
      <c r="N141" s="15">
        <v>554.0</v>
      </c>
      <c r="O141" s="4"/>
      <c r="P141" s="14" t="s">
        <v>563</v>
      </c>
      <c r="Q141" s="4">
        <f>IFERROR(__xludf.DUMMYFUNCTION("SPLIT(P:P, "" "")"),0.198413787071229)</f>
        <v>0.1984137871</v>
      </c>
      <c r="R141" s="4">
        <f>IFERROR(__xludf.DUMMYFUNCTION("""COMPUTED_VALUE"""),0.369732678762493)</f>
        <v>0.3697326788</v>
      </c>
      <c r="S141" s="15">
        <v>1112.0</v>
      </c>
      <c r="T141" s="4"/>
      <c r="U141" s="4"/>
    </row>
    <row r="142">
      <c r="A142" s="14" t="s">
        <v>564</v>
      </c>
      <c r="B142" s="17">
        <f>IFERROR(__xludf.DUMMYFUNCTION("SPLIT(E, "" "")"),0.177110764918679)</f>
        <v>0.1771107649</v>
      </c>
      <c r="C142" s="4">
        <f>IFERROR(__xludf.DUMMYFUNCTION("""COMPUTED_VALUE"""),0.508985212499517)</f>
        <v>0.5089852125</v>
      </c>
      <c r="D142" s="15">
        <v>282.0</v>
      </c>
      <c r="E142" s="4"/>
      <c r="F142" s="14" t="s">
        <v>565</v>
      </c>
      <c r="G142" s="17">
        <f>IFERROR(__xludf.DUMMYFUNCTION("SPLIT(F:F, "" "")"),0.146758367008507)</f>
        <v>0.146758367</v>
      </c>
      <c r="H142" s="4">
        <f>IFERROR(__xludf.DUMMYFUNCTION("""COMPUTED_VALUE"""),0.568474691868127)</f>
        <v>0.5684746919</v>
      </c>
      <c r="I142" s="15">
        <v>558.0</v>
      </c>
      <c r="J142" s="4"/>
      <c r="K142" s="14" t="s">
        <v>566</v>
      </c>
      <c r="L142" s="17">
        <f>IFERROR(__xludf.DUMMYFUNCTION("SPLIT(K:K, "" "")"),0.14536552285799)</f>
        <v>0.1453655229</v>
      </c>
      <c r="M142" s="4">
        <f>IFERROR(__xludf.DUMMYFUNCTION("""COMPUTED_VALUE"""),0.374154674085161)</f>
        <v>0.3741546741</v>
      </c>
      <c r="N142" s="15">
        <v>558.0</v>
      </c>
      <c r="O142" s="4"/>
      <c r="P142" s="14" t="s">
        <v>567</v>
      </c>
      <c r="Q142" s="4">
        <f>IFERROR(__xludf.DUMMYFUNCTION("SPLIT(P:P, "" "")"),0.19512965178982)</f>
        <v>0.1951296518</v>
      </c>
      <c r="R142" s="4">
        <f>IFERROR(__xludf.DUMMYFUNCTION("""COMPUTED_VALUE"""),0.372820157082924)</f>
        <v>0.3728201571</v>
      </c>
      <c r="S142" s="15">
        <v>1120.0</v>
      </c>
      <c r="T142" s="4"/>
      <c r="U142" s="4"/>
    </row>
    <row r="143">
      <c r="A143" s="14" t="s">
        <v>568</v>
      </c>
      <c r="B143" s="17">
        <f>IFERROR(__xludf.DUMMYFUNCTION("SPLIT(E, "" "")"),0.170696201492027)</f>
        <v>0.1706962015</v>
      </c>
      <c r="C143" s="4">
        <f>IFERROR(__xludf.DUMMYFUNCTION("""COMPUTED_VALUE"""),0.502177961279361)</f>
        <v>0.5021779613</v>
      </c>
      <c r="D143" s="15">
        <v>284.0</v>
      </c>
      <c r="E143" s="4"/>
      <c r="F143" s="14" t="s">
        <v>569</v>
      </c>
      <c r="G143" s="17">
        <f>IFERROR(__xludf.DUMMYFUNCTION("SPLIT(F:F, "" "")"),0.143299260724381)</f>
        <v>0.1432992607</v>
      </c>
      <c r="H143" s="4">
        <f>IFERROR(__xludf.DUMMYFUNCTION("""COMPUTED_VALUE"""),0.571406828686307)</f>
        <v>0.5714068287</v>
      </c>
      <c r="I143" s="15">
        <v>562.0</v>
      </c>
      <c r="J143" s="4"/>
      <c r="K143" s="14" t="s">
        <v>570</v>
      </c>
      <c r="L143" s="17">
        <f>IFERROR(__xludf.DUMMYFUNCTION("SPLIT(K:K, "" "")"),0.143742451179157)</f>
        <v>0.1437424512</v>
      </c>
      <c r="M143" s="4">
        <f>IFERROR(__xludf.DUMMYFUNCTION("""COMPUTED_VALUE"""),0.37413573382419)</f>
        <v>0.3741357338</v>
      </c>
      <c r="N143" s="15">
        <v>562.0</v>
      </c>
      <c r="O143" s="4"/>
      <c r="P143" s="14" t="s">
        <v>571</v>
      </c>
      <c r="Q143" s="4">
        <f>IFERROR(__xludf.DUMMYFUNCTION("SPLIT(P:P, "" "")"),0.195479933200516)</f>
        <v>0.1954799332</v>
      </c>
      <c r="R143" s="4">
        <f>IFERROR(__xludf.DUMMYFUNCTION("""COMPUTED_VALUE"""),0.370312570353445)</f>
        <v>0.3703125704</v>
      </c>
      <c r="S143" s="15">
        <v>1128.0</v>
      </c>
      <c r="T143" s="4"/>
      <c r="U143" s="4"/>
    </row>
    <row r="144">
      <c r="A144" s="14" t="s">
        <v>572</v>
      </c>
      <c r="B144" s="17">
        <f>IFERROR(__xludf.DUMMYFUNCTION("SPLIT(E, "" "")"),0.168728444559084)</f>
        <v>0.1687284446</v>
      </c>
      <c r="C144" s="4">
        <f>IFERROR(__xludf.DUMMYFUNCTION("""COMPUTED_VALUE"""),0.498864887631644)</f>
        <v>0.4988648876</v>
      </c>
      <c r="D144" s="15">
        <v>286.0</v>
      </c>
      <c r="E144" s="4"/>
      <c r="F144" s="14" t="s">
        <v>573</v>
      </c>
      <c r="G144" s="17">
        <f>IFERROR(__xludf.DUMMYFUNCTION("SPLIT(F:F, "" "")"),0.144237000890571)</f>
        <v>0.1442370009</v>
      </c>
      <c r="H144" s="4">
        <f>IFERROR(__xludf.DUMMYFUNCTION("""COMPUTED_VALUE"""),0.57730109641268)</f>
        <v>0.5773010964</v>
      </c>
      <c r="I144" s="15">
        <v>566.0</v>
      </c>
      <c r="J144" s="4"/>
      <c r="K144" s="14" t="s">
        <v>574</v>
      </c>
      <c r="L144" s="17">
        <f>IFERROR(__xludf.DUMMYFUNCTION("SPLIT(K:K, "" "")"),0.144055126698062)</f>
        <v>0.1440551267</v>
      </c>
      <c r="M144" s="4">
        <f>IFERROR(__xludf.DUMMYFUNCTION("""COMPUTED_VALUE"""),0.375751212583232)</f>
        <v>0.3757512126</v>
      </c>
      <c r="N144" s="15">
        <v>566.0</v>
      </c>
      <c r="O144" s="4"/>
      <c r="P144" s="14" t="s">
        <v>575</v>
      </c>
      <c r="Q144" s="4">
        <f>IFERROR(__xludf.DUMMYFUNCTION("SPLIT(P:P, "" "")"),0.196195234810259)</f>
        <v>0.1961952348</v>
      </c>
      <c r="R144" s="4">
        <f>IFERROR(__xludf.DUMMYFUNCTION("""COMPUTED_VALUE"""),0.37291557836838)</f>
        <v>0.3729155784</v>
      </c>
      <c r="S144" s="15">
        <v>1136.0</v>
      </c>
      <c r="T144" s="4"/>
      <c r="U144" s="4"/>
    </row>
    <row r="145">
      <c r="A145" s="14" t="s">
        <v>576</v>
      </c>
      <c r="B145" s="17">
        <f>IFERROR(__xludf.DUMMYFUNCTION("SPLIT(E, "" "")"),0.168509432331348)</f>
        <v>0.1685094323</v>
      </c>
      <c r="C145" s="4">
        <f>IFERROR(__xludf.DUMMYFUNCTION("""COMPUTED_VALUE"""),0.501954767423445)</f>
        <v>0.5019547674</v>
      </c>
      <c r="D145" s="15">
        <v>288.0</v>
      </c>
      <c r="E145" s="4"/>
      <c r="F145" s="14" t="s">
        <v>577</v>
      </c>
      <c r="G145" s="17">
        <f>IFERROR(__xludf.DUMMYFUNCTION("SPLIT(F:F, "" "")"),0.144009180979349)</f>
        <v>0.144009181</v>
      </c>
      <c r="H145" s="4">
        <f>IFERROR(__xludf.DUMMYFUNCTION("""COMPUTED_VALUE"""),0.573650894247681)</f>
        <v>0.5736508942</v>
      </c>
      <c r="I145" s="15">
        <v>570.0</v>
      </c>
      <c r="J145" s="4"/>
      <c r="K145" s="14" t="s">
        <v>578</v>
      </c>
      <c r="L145" s="17">
        <f>IFERROR(__xludf.DUMMYFUNCTION("SPLIT(K:K, "" "")"),0.142396879073405)</f>
        <v>0.1423968791</v>
      </c>
      <c r="M145" s="4">
        <f>IFERROR(__xludf.DUMMYFUNCTION("""COMPUTED_VALUE"""),0.374255204030833)</f>
        <v>0.374255204</v>
      </c>
      <c r="N145" s="15">
        <v>570.0</v>
      </c>
      <c r="O145" s="4"/>
      <c r="P145" s="14" t="s">
        <v>579</v>
      </c>
      <c r="Q145" s="4">
        <f>IFERROR(__xludf.DUMMYFUNCTION("SPLIT(P:P, "" "")"),0.196890560241706)</f>
        <v>0.1968905602</v>
      </c>
      <c r="R145" s="4">
        <f>IFERROR(__xludf.DUMMYFUNCTION("""COMPUTED_VALUE"""),0.373340738181062)</f>
        <v>0.3733407382</v>
      </c>
      <c r="S145" s="15">
        <v>1144.0</v>
      </c>
      <c r="T145" s="4"/>
      <c r="U145" s="4"/>
    </row>
    <row r="146">
      <c r="A146" s="14" t="s">
        <v>580</v>
      </c>
      <c r="B146" s="17">
        <f>IFERROR(__xludf.DUMMYFUNCTION("SPLIT(E, "" "")"),0.168627775213182)</f>
        <v>0.1686277752</v>
      </c>
      <c r="C146" s="4">
        <f>IFERROR(__xludf.DUMMYFUNCTION("""COMPUTED_VALUE"""),0.49712293996471)</f>
        <v>0.49712294</v>
      </c>
      <c r="D146" s="15">
        <v>290.0</v>
      </c>
      <c r="E146" s="4"/>
      <c r="F146" s="14" t="s">
        <v>581</v>
      </c>
      <c r="G146" s="17">
        <f>IFERROR(__xludf.DUMMYFUNCTION("SPLIT(F:F, "" "")"),0.146272907165829)</f>
        <v>0.1462729072</v>
      </c>
      <c r="H146" s="4">
        <f>IFERROR(__xludf.DUMMYFUNCTION("""COMPUTED_VALUE"""),0.581271559764284)</f>
        <v>0.5812715598</v>
      </c>
      <c r="I146" s="15">
        <v>574.0</v>
      </c>
      <c r="J146" s="4"/>
      <c r="K146" s="14" t="s">
        <v>582</v>
      </c>
      <c r="L146" s="17">
        <f>IFERROR(__xludf.DUMMYFUNCTION("SPLIT(K:K, "" "")"),0.141677856159904)</f>
        <v>0.1416778562</v>
      </c>
      <c r="M146" s="4">
        <f>IFERROR(__xludf.DUMMYFUNCTION("""COMPUTED_VALUE"""),0.368568400222108)</f>
        <v>0.3685684002</v>
      </c>
      <c r="N146" s="15">
        <v>574.0</v>
      </c>
      <c r="O146" s="4"/>
      <c r="P146" s="14" t="s">
        <v>583</v>
      </c>
      <c r="Q146" s="4">
        <f>IFERROR(__xludf.DUMMYFUNCTION("SPLIT(P:P, "" "")"),0.194641623571214)</f>
        <v>0.1946416236</v>
      </c>
      <c r="R146" s="4">
        <f>IFERROR(__xludf.DUMMYFUNCTION("""COMPUTED_VALUE"""),0.372047555403979)</f>
        <v>0.3720475554</v>
      </c>
      <c r="S146" s="15">
        <v>1152.0</v>
      </c>
      <c r="T146" s="4"/>
      <c r="U146" s="4"/>
    </row>
    <row r="147">
      <c r="A147" s="14" t="s">
        <v>584</v>
      </c>
      <c r="B147" s="17">
        <f>IFERROR(__xludf.DUMMYFUNCTION("SPLIT(E, "" "")"),0.170695216159805)</f>
        <v>0.1706952162</v>
      </c>
      <c r="C147" s="4">
        <f>IFERROR(__xludf.DUMMYFUNCTION("""COMPUTED_VALUE"""),0.492563722973208)</f>
        <v>0.492563723</v>
      </c>
      <c r="D147" s="15">
        <v>292.0</v>
      </c>
      <c r="E147" s="4"/>
      <c r="F147" s="14" t="s">
        <v>585</v>
      </c>
      <c r="G147" s="17">
        <f>IFERROR(__xludf.DUMMYFUNCTION("SPLIT(F:F, "" "")"),0.141911668689984)</f>
        <v>0.1419116687</v>
      </c>
      <c r="H147" s="4">
        <f>IFERROR(__xludf.DUMMYFUNCTION("""COMPUTED_VALUE"""),0.579217059417478)</f>
        <v>0.5792170594</v>
      </c>
      <c r="I147" s="15">
        <v>578.0</v>
      </c>
      <c r="J147" s="4"/>
      <c r="K147" s="14" t="s">
        <v>586</v>
      </c>
      <c r="L147" s="17">
        <f>IFERROR(__xludf.DUMMYFUNCTION("SPLIT(K:K, "" "")"),0.142138318040772)</f>
        <v>0.142138318</v>
      </c>
      <c r="M147" s="4">
        <f>IFERROR(__xludf.DUMMYFUNCTION("""COMPUTED_VALUE"""),0.377056514029515)</f>
        <v>0.377056514</v>
      </c>
      <c r="N147" s="15">
        <v>578.0</v>
      </c>
      <c r="O147" s="4"/>
      <c r="P147" s="14" t="s">
        <v>587</v>
      </c>
      <c r="Q147" s="4">
        <f>IFERROR(__xludf.DUMMYFUNCTION("SPLIT(P:P, "" "")"),0.199368997510219)</f>
        <v>0.1993689975</v>
      </c>
      <c r="R147" s="4">
        <f>IFERROR(__xludf.DUMMYFUNCTION("""COMPUTED_VALUE"""),0.387420859383556)</f>
        <v>0.3874208594</v>
      </c>
      <c r="S147" s="15">
        <v>1160.0</v>
      </c>
      <c r="T147" s="4"/>
      <c r="U147" s="4"/>
    </row>
    <row r="148">
      <c r="A148" s="14" t="s">
        <v>588</v>
      </c>
      <c r="B148" s="17">
        <f>IFERROR(__xludf.DUMMYFUNCTION("SPLIT(E, "" "")"),0.166964112705414)</f>
        <v>0.1669641127</v>
      </c>
      <c r="C148" s="4">
        <f>IFERROR(__xludf.DUMMYFUNCTION("""COMPUTED_VALUE"""),0.502041990805937)</f>
        <v>0.5020419908</v>
      </c>
      <c r="D148" s="15">
        <v>294.0</v>
      </c>
      <c r="E148" s="4"/>
      <c r="F148" s="14" t="s">
        <v>589</v>
      </c>
      <c r="G148" s="17">
        <f>IFERROR(__xludf.DUMMYFUNCTION("SPLIT(F:F, "" "")"),0.142801459151181)</f>
        <v>0.1428014592</v>
      </c>
      <c r="H148" s="4">
        <f>IFERROR(__xludf.DUMMYFUNCTION("""COMPUTED_VALUE"""),0.578583923772738)</f>
        <v>0.5785839238</v>
      </c>
      <c r="I148" s="15">
        <v>582.0</v>
      </c>
      <c r="J148" s="4"/>
      <c r="K148" s="14" t="s">
        <v>590</v>
      </c>
      <c r="L148" s="17">
        <f>IFERROR(__xludf.DUMMYFUNCTION("SPLIT(K:K, "" "")"),0.143724079682958)</f>
        <v>0.1437240797</v>
      </c>
      <c r="M148" s="4">
        <f>IFERROR(__xludf.DUMMYFUNCTION("""COMPUTED_VALUE"""),0.375971148065091)</f>
        <v>0.3759711481</v>
      </c>
      <c r="N148" s="15">
        <v>582.0</v>
      </c>
      <c r="O148" s="4"/>
      <c r="P148" s="14" t="s">
        <v>591</v>
      </c>
      <c r="Q148" s="4">
        <f>IFERROR(__xludf.DUMMYFUNCTION("SPLIT(P:P, "" "")"),0.194316055813376)</f>
        <v>0.1943160558</v>
      </c>
      <c r="R148" s="4">
        <f>IFERROR(__xludf.DUMMYFUNCTION("""COMPUTED_VALUE"""),0.370633433670454)</f>
        <v>0.3706334337</v>
      </c>
      <c r="S148" s="15">
        <v>1168.0</v>
      </c>
      <c r="T148" s="4"/>
      <c r="U148" s="4"/>
    </row>
    <row r="149">
      <c r="A149" s="14" t="s">
        <v>592</v>
      </c>
      <c r="B149" s="17">
        <f>IFERROR(__xludf.DUMMYFUNCTION("SPLIT(E, "" "")"),0.166681811925379)</f>
        <v>0.1666818119</v>
      </c>
      <c r="C149" s="4">
        <f>IFERROR(__xludf.DUMMYFUNCTION("""COMPUTED_VALUE"""),0.499127797499864)</f>
        <v>0.4991277975</v>
      </c>
      <c r="D149" s="15">
        <v>296.0</v>
      </c>
      <c r="E149" s="4"/>
      <c r="F149" s="14" t="s">
        <v>593</v>
      </c>
      <c r="G149" s="17">
        <f>IFERROR(__xludf.DUMMYFUNCTION("SPLIT(F:F, "" "")"),0.144670923116452)</f>
        <v>0.1446709231</v>
      </c>
      <c r="H149" s="4">
        <f>IFERROR(__xludf.DUMMYFUNCTION("""COMPUTED_VALUE"""),0.599511118948821)</f>
        <v>0.5995111189</v>
      </c>
      <c r="I149" s="15">
        <v>586.0</v>
      </c>
      <c r="J149" s="4"/>
      <c r="K149" s="14" t="s">
        <v>594</v>
      </c>
      <c r="L149" s="17">
        <f>IFERROR(__xludf.DUMMYFUNCTION("SPLIT(K:K, "" "")"),0.142248740904296)</f>
        <v>0.1422487409</v>
      </c>
      <c r="M149" s="4">
        <f>IFERROR(__xludf.DUMMYFUNCTION("""COMPUTED_VALUE"""),0.373356878969)</f>
        <v>0.373356879</v>
      </c>
      <c r="N149" s="15">
        <v>586.0</v>
      </c>
      <c r="O149" s="4"/>
      <c r="P149" s="14" t="s">
        <v>595</v>
      </c>
      <c r="Q149" s="4">
        <f>IFERROR(__xludf.DUMMYFUNCTION("SPLIT(P:P, "" "")"),0.193497135491903)</f>
        <v>0.1934971355</v>
      </c>
      <c r="R149" s="4">
        <f>IFERROR(__xludf.DUMMYFUNCTION("""COMPUTED_VALUE"""),0.368476677992995)</f>
        <v>0.368476678</v>
      </c>
      <c r="S149" s="15">
        <v>1176.0</v>
      </c>
      <c r="T149" s="4"/>
      <c r="U149" s="4"/>
    </row>
    <row r="150">
      <c r="A150" s="14" t="s">
        <v>596</v>
      </c>
      <c r="B150" s="17">
        <f>IFERROR(__xludf.DUMMYFUNCTION("SPLIT(E, "" "")"),0.174385908279628)</f>
        <v>0.1743859083</v>
      </c>
      <c r="C150" s="4">
        <f>IFERROR(__xludf.DUMMYFUNCTION("""COMPUTED_VALUE"""),0.503313599186825)</f>
        <v>0.5033135992</v>
      </c>
      <c r="D150" s="15">
        <v>298.0</v>
      </c>
      <c r="E150" s="4"/>
      <c r="F150" s="14" t="s">
        <v>597</v>
      </c>
      <c r="G150" s="17">
        <f>IFERROR(__xludf.DUMMYFUNCTION("SPLIT(F:F, "" "")"),0.140768090972691)</f>
        <v>0.140768091</v>
      </c>
      <c r="H150" s="4">
        <f>IFERROR(__xludf.DUMMYFUNCTION("""COMPUTED_VALUE"""),0.574194654035802)</f>
        <v>0.574194654</v>
      </c>
      <c r="I150" s="15">
        <v>590.0</v>
      </c>
      <c r="J150" s="4"/>
      <c r="K150" s="14" t="s">
        <v>598</v>
      </c>
      <c r="L150" s="17">
        <f>IFERROR(__xludf.DUMMYFUNCTION("SPLIT(K:K, "" "")"),0.141004564080179)</f>
        <v>0.1410045641</v>
      </c>
      <c r="M150" s="4">
        <f>IFERROR(__xludf.DUMMYFUNCTION("""COMPUTED_VALUE"""),0.369501257018677)</f>
        <v>0.369501257</v>
      </c>
      <c r="N150" s="15">
        <v>590.0</v>
      </c>
      <c r="O150" s="4"/>
      <c r="P150" s="14" t="s">
        <v>599</v>
      </c>
      <c r="Q150" s="4">
        <f>IFERROR(__xludf.DUMMYFUNCTION("SPLIT(P:P, "" "")"),0.194679557033016)</f>
        <v>0.194679557</v>
      </c>
      <c r="R150" s="4">
        <f>IFERROR(__xludf.DUMMYFUNCTION("""COMPUTED_VALUE"""),0.372407806521593)</f>
        <v>0.3724078065</v>
      </c>
      <c r="S150" s="15">
        <v>1184.0</v>
      </c>
      <c r="T150" s="4"/>
      <c r="U150" s="4"/>
    </row>
    <row r="151">
      <c r="A151" s="14" t="s">
        <v>600</v>
      </c>
      <c r="B151" s="17">
        <f>IFERROR(__xludf.DUMMYFUNCTION("SPLIT(E, "" "")"),0.171159184489971)</f>
        <v>0.1711591845</v>
      </c>
      <c r="C151" s="4">
        <f>IFERROR(__xludf.DUMMYFUNCTION("""COMPUTED_VALUE"""),0.502665008330404)</f>
        <v>0.5026650083</v>
      </c>
      <c r="D151" s="15">
        <v>300.0</v>
      </c>
      <c r="E151" s="4"/>
      <c r="F151" s="14" t="s">
        <v>601</v>
      </c>
      <c r="G151" s="17">
        <f>IFERROR(__xludf.DUMMYFUNCTION("SPLIT(F:F, "" "")"),0.141343578428219)</f>
        <v>0.1413435784</v>
      </c>
      <c r="H151" s="4">
        <f>IFERROR(__xludf.DUMMYFUNCTION("""COMPUTED_VALUE"""),0.579627237115421)</f>
        <v>0.5796272371</v>
      </c>
      <c r="I151" s="15">
        <v>594.0</v>
      </c>
      <c r="J151" s="4"/>
      <c r="K151" s="14" t="s">
        <v>602</v>
      </c>
      <c r="L151" s="17">
        <f>IFERROR(__xludf.DUMMYFUNCTION("SPLIT(K:K, "" "")"),0.142227473699268)</f>
        <v>0.1422274737</v>
      </c>
      <c r="M151" s="4">
        <f>IFERROR(__xludf.DUMMYFUNCTION("""COMPUTED_VALUE"""),0.369120603942448)</f>
        <v>0.3691206039</v>
      </c>
      <c r="N151" s="15">
        <v>594.0</v>
      </c>
      <c r="O151" s="4"/>
      <c r="P151" s="14" t="s">
        <v>603</v>
      </c>
      <c r="Q151" s="4">
        <f>IFERROR(__xludf.DUMMYFUNCTION("SPLIT(P:P, "" "")"),0.195387963357791)</f>
        <v>0.1953879634</v>
      </c>
      <c r="R151" s="4">
        <f>IFERROR(__xludf.DUMMYFUNCTION("""COMPUTED_VALUE"""),0.374275731337797)</f>
        <v>0.3742757313</v>
      </c>
      <c r="S151" s="15">
        <v>1192.0</v>
      </c>
      <c r="T151" s="4"/>
      <c r="U151" s="4"/>
    </row>
    <row r="152">
      <c r="A152" s="14" t="s">
        <v>604</v>
      </c>
      <c r="B152" s="17">
        <f>IFERROR(__xludf.DUMMYFUNCTION("SPLIT(E, "" "")"),0.165286323170093)</f>
        <v>0.1652863232</v>
      </c>
      <c r="C152" s="4">
        <f>IFERROR(__xludf.DUMMYFUNCTION("""COMPUTED_VALUE"""),0.503025553990457)</f>
        <v>0.503025554</v>
      </c>
      <c r="D152" s="15">
        <v>302.0</v>
      </c>
      <c r="E152" s="4"/>
      <c r="F152" s="14" t="s">
        <v>605</v>
      </c>
      <c r="G152" s="17">
        <f>IFERROR(__xludf.DUMMYFUNCTION("SPLIT(F:F, "" "")"),0.144558828929626)</f>
        <v>0.1445588289</v>
      </c>
      <c r="H152" s="4">
        <f>IFERROR(__xludf.DUMMYFUNCTION("""COMPUTED_VALUE"""),0.57622988317638)</f>
        <v>0.5762298832</v>
      </c>
      <c r="I152" s="15">
        <v>598.0</v>
      </c>
      <c r="J152" s="4"/>
      <c r="K152" s="14" t="s">
        <v>606</v>
      </c>
      <c r="L152" s="17">
        <f>IFERROR(__xludf.DUMMYFUNCTION("SPLIT(K:K, "" "")"),0.139969394938256)</f>
        <v>0.1399693949</v>
      </c>
      <c r="M152" s="4">
        <f>IFERROR(__xludf.DUMMYFUNCTION("""COMPUTED_VALUE"""),0.374569332150464)</f>
        <v>0.3745693322</v>
      </c>
      <c r="N152" s="15">
        <v>598.0</v>
      </c>
      <c r="O152" s="4"/>
      <c r="P152" s="14" t="s">
        <v>607</v>
      </c>
      <c r="Q152" s="4">
        <f>IFERROR(__xludf.DUMMYFUNCTION("SPLIT(P:P, "" "")"),0.194296227783421)</f>
        <v>0.1942962278</v>
      </c>
      <c r="R152" s="4">
        <f>IFERROR(__xludf.DUMMYFUNCTION("""COMPUTED_VALUE"""),0.371855347485126)</f>
        <v>0.3718553475</v>
      </c>
      <c r="S152" s="15">
        <v>1200.0</v>
      </c>
      <c r="T152" s="4"/>
      <c r="U152" s="4"/>
    </row>
    <row r="153">
      <c r="A153" s="14" t="s">
        <v>608</v>
      </c>
      <c r="B153" s="17">
        <f>IFERROR(__xludf.DUMMYFUNCTION("SPLIT(E, "" "")"),0.164680698382219)</f>
        <v>0.1646806984</v>
      </c>
      <c r="C153" s="4">
        <f>IFERROR(__xludf.DUMMYFUNCTION("""COMPUTED_VALUE"""),0.489726732437224)</f>
        <v>0.4897267324</v>
      </c>
      <c r="D153" s="15">
        <v>304.0</v>
      </c>
      <c r="E153" s="4"/>
      <c r="F153" s="14" t="s">
        <v>609</v>
      </c>
      <c r="G153" s="17">
        <f>IFERROR(__xludf.DUMMYFUNCTION("SPLIT(F:F, "" "")"),0.141541804085772)</f>
        <v>0.1415418041</v>
      </c>
      <c r="H153" s="4">
        <f>IFERROR(__xludf.DUMMYFUNCTION("""COMPUTED_VALUE"""),0.600903375705201)</f>
        <v>0.6009033757</v>
      </c>
      <c r="I153" s="15">
        <v>602.0</v>
      </c>
      <c r="J153" s="4"/>
      <c r="K153" s="14" t="s">
        <v>610</v>
      </c>
      <c r="L153" s="17">
        <f>IFERROR(__xludf.DUMMYFUNCTION("SPLIT(K:K, "" "")"),0.142364258423981)</f>
        <v>0.1423642584</v>
      </c>
      <c r="M153" s="4">
        <f>IFERROR(__xludf.DUMMYFUNCTION("""COMPUTED_VALUE"""),0.380771550514916)</f>
        <v>0.3807715505</v>
      </c>
      <c r="N153" s="15">
        <v>602.0</v>
      </c>
      <c r="O153" s="4"/>
      <c r="P153" s="14" t="s">
        <v>611</v>
      </c>
      <c r="Q153" s="4">
        <f>IFERROR(__xludf.DUMMYFUNCTION("SPLIT(P:P, "" "")"),0.199849851440528)</f>
        <v>0.1998498514</v>
      </c>
      <c r="R153" s="4">
        <f>IFERROR(__xludf.DUMMYFUNCTION("""COMPUTED_VALUE"""),0.382511858894961)</f>
        <v>0.3825118589</v>
      </c>
      <c r="S153" s="15">
        <v>1208.0</v>
      </c>
      <c r="T153" s="4"/>
      <c r="U153" s="4"/>
    </row>
    <row r="154">
      <c r="A154" s="14" t="s">
        <v>612</v>
      </c>
      <c r="B154" s="17">
        <f>IFERROR(__xludf.DUMMYFUNCTION("SPLIT(E, "" "")"),0.165444692515973)</f>
        <v>0.1654446925</v>
      </c>
      <c r="C154" s="4">
        <f>IFERROR(__xludf.DUMMYFUNCTION("""COMPUTED_VALUE"""),0.489888522294827)</f>
        <v>0.4898885223</v>
      </c>
      <c r="D154" s="15">
        <v>306.0</v>
      </c>
      <c r="E154" s="4"/>
      <c r="F154" s="24" t="s">
        <v>613</v>
      </c>
      <c r="G154" s="25">
        <f>IFERROR(__xludf.DUMMYFUNCTION("SPLIT(F:F, "" "")"),0.139647182658405)</f>
        <v>0.1396471827</v>
      </c>
      <c r="H154" s="26">
        <f>IFERROR(__xludf.DUMMYFUNCTION("""COMPUTED_VALUE"""),0.582685754858381)</f>
        <v>0.5826857549</v>
      </c>
      <c r="I154" s="27">
        <v>606.0</v>
      </c>
      <c r="J154" s="4"/>
      <c r="K154" s="14" t="s">
        <v>614</v>
      </c>
      <c r="L154" s="17">
        <f>IFERROR(__xludf.DUMMYFUNCTION("SPLIT(K:K, "" "")"),0.141011643163993)</f>
        <v>0.1410116432</v>
      </c>
      <c r="M154" s="4">
        <f>IFERROR(__xludf.DUMMYFUNCTION("""COMPUTED_VALUE"""),0.373365313033758)</f>
        <v>0.373365313</v>
      </c>
      <c r="N154" s="15">
        <v>606.0</v>
      </c>
      <c r="O154" s="4"/>
      <c r="P154" s="14" t="s">
        <v>615</v>
      </c>
      <c r="Q154" s="4">
        <f>IFERROR(__xludf.DUMMYFUNCTION("SPLIT(P:P, "" "")"),0.203320455873376)</f>
        <v>0.2033204559</v>
      </c>
      <c r="R154" s="4">
        <f>IFERROR(__xludf.DUMMYFUNCTION("""COMPUTED_VALUE"""),0.38482311359998)</f>
        <v>0.3848231136</v>
      </c>
      <c r="S154" s="15">
        <v>1216.0</v>
      </c>
      <c r="T154" s="4"/>
      <c r="U154" s="4"/>
    </row>
    <row r="155">
      <c r="A155" s="14" t="s">
        <v>616</v>
      </c>
      <c r="B155" s="17">
        <f>IFERROR(__xludf.DUMMYFUNCTION("SPLIT(E, "" "")"),0.166537619740528)</f>
        <v>0.1665376197</v>
      </c>
      <c r="C155" s="4">
        <f>IFERROR(__xludf.DUMMYFUNCTION("""COMPUTED_VALUE"""),0.502425271740444)</f>
        <v>0.5024252717</v>
      </c>
      <c r="D155" s="15">
        <v>308.0</v>
      </c>
      <c r="E155" s="4"/>
      <c r="G155" s="4"/>
      <c r="H155" s="4"/>
      <c r="I155" s="4"/>
      <c r="J155" s="4"/>
      <c r="K155" s="14" t="s">
        <v>617</v>
      </c>
      <c r="L155" s="17">
        <f>IFERROR(__xludf.DUMMYFUNCTION("SPLIT(K:K, "" "")"),0.138429410282611)</f>
        <v>0.1384294103</v>
      </c>
      <c r="M155" s="4">
        <f>IFERROR(__xludf.DUMMYFUNCTION("""COMPUTED_VALUE"""),0.368507334905991)</f>
        <v>0.3685073349</v>
      </c>
      <c r="N155" s="15">
        <v>610.0</v>
      </c>
      <c r="O155" s="4"/>
      <c r="P155" s="14" t="s">
        <v>618</v>
      </c>
      <c r="Q155" s="4">
        <f>IFERROR(__xludf.DUMMYFUNCTION("SPLIT(P:P, "" "")"),0.19449466674197)</f>
        <v>0.1944946667</v>
      </c>
      <c r="R155" s="4">
        <f>IFERROR(__xludf.DUMMYFUNCTION("""COMPUTED_VALUE"""),0.379563964362225)</f>
        <v>0.3795639644</v>
      </c>
      <c r="S155" s="15">
        <v>1224.0</v>
      </c>
      <c r="T155" s="4"/>
      <c r="U155" s="4"/>
    </row>
    <row r="156">
      <c r="A156" s="14" t="s">
        <v>619</v>
      </c>
      <c r="B156" s="17">
        <f>IFERROR(__xludf.DUMMYFUNCTION("SPLIT(E, "" "")"),0.169502015086204)</f>
        <v>0.1695020151</v>
      </c>
      <c r="C156" s="4">
        <f>IFERROR(__xludf.DUMMYFUNCTION("""COMPUTED_VALUE"""),0.506003424872425)</f>
        <v>0.5060034249</v>
      </c>
      <c r="D156" s="15">
        <v>310.0</v>
      </c>
      <c r="E156" s="4"/>
      <c r="F156" s="4"/>
      <c r="G156" s="4"/>
      <c r="H156" s="4"/>
      <c r="I156" s="4"/>
      <c r="J156" s="4"/>
      <c r="K156" s="14" t="s">
        <v>620</v>
      </c>
      <c r="L156" s="17">
        <f>IFERROR(__xludf.DUMMYFUNCTION("SPLIT(K:K, "" "")"),0.139977450056071)</f>
        <v>0.1399774501</v>
      </c>
      <c r="M156" s="4">
        <f>IFERROR(__xludf.DUMMYFUNCTION("""COMPUTED_VALUE"""),0.377989057483752)</f>
        <v>0.3779890575</v>
      </c>
      <c r="N156" s="15">
        <v>614.0</v>
      </c>
      <c r="O156" s="4"/>
      <c r="P156" s="14" t="s">
        <v>621</v>
      </c>
      <c r="Q156" s="4">
        <f>IFERROR(__xludf.DUMMYFUNCTION("SPLIT(P:P, "" "")"),0.198685119173037)</f>
        <v>0.1986851192</v>
      </c>
      <c r="R156" s="4">
        <f>IFERROR(__xludf.DUMMYFUNCTION("""COMPUTED_VALUE"""),0.384424786566068)</f>
        <v>0.3844247866</v>
      </c>
      <c r="S156" s="15">
        <v>1232.0</v>
      </c>
      <c r="T156" s="4"/>
      <c r="U156" s="4"/>
    </row>
    <row r="157">
      <c r="A157" s="14" t="s">
        <v>622</v>
      </c>
      <c r="B157" s="17">
        <f>IFERROR(__xludf.DUMMYFUNCTION("SPLIT(E, "" "")"),0.167854013213097)</f>
        <v>0.1678540132</v>
      </c>
      <c r="C157" s="4">
        <f>IFERROR(__xludf.DUMMYFUNCTION("""COMPUTED_VALUE"""),0.500718851094567)</f>
        <v>0.5007188511</v>
      </c>
      <c r="D157" s="15">
        <v>312.0</v>
      </c>
      <c r="E157" s="4"/>
      <c r="F157" s="4"/>
      <c r="G157" s="4"/>
      <c r="H157" s="4"/>
      <c r="I157" s="4"/>
      <c r="J157" s="4"/>
      <c r="K157" s="14" t="s">
        <v>623</v>
      </c>
      <c r="L157" s="17">
        <f>IFERROR(__xludf.DUMMYFUNCTION("SPLIT(K:K, "" "")"),0.137810525790613)</f>
        <v>0.1378105258</v>
      </c>
      <c r="M157" s="4">
        <f>IFERROR(__xludf.DUMMYFUNCTION("""COMPUTED_VALUE"""),0.370973239074589)</f>
        <v>0.3709732391</v>
      </c>
      <c r="N157" s="15">
        <v>618.0</v>
      </c>
      <c r="O157" s="4"/>
      <c r="P157" s="14" t="s">
        <v>624</v>
      </c>
      <c r="Q157" s="4">
        <f>IFERROR(__xludf.DUMMYFUNCTION("SPLIT(P:P, "" "")"),0.193895829726718)</f>
        <v>0.1938958297</v>
      </c>
      <c r="R157" s="4">
        <f>IFERROR(__xludf.DUMMYFUNCTION("""COMPUTED_VALUE"""),0.374971752975052)</f>
        <v>0.374971753</v>
      </c>
      <c r="S157" s="15">
        <v>1240.0</v>
      </c>
      <c r="T157" s="4"/>
      <c r="U157" s="4"/>
    </row>
    <row r="158">
      <c r="A158" s="14" t="s">
        <v>625</v>
      </c>
      <c r="B158" s="17">
        <f>IFERROR(__xludf.DUMMYFUNCTION("SPLIT(E, "" "")"),0.165575218900704)</f>
        <v>0.1655752189</v>
      </c>
      <c r="C158" s="4">
        <f>IFERROR(__xludf.DUMMYFUNCTION("""COMPUTED_VALUE"""),0.502786713864554)</f>
        <v>0.5027867139</v>
      </c>
      <c r="D158" s="15">
        <v>314.0</v>
      </c>
      <c r="E158" s="4"/>
      <c r="F158" s="4"/>
      <c r="G158" s="4"/>
      <c r="H158" s="4"/>
      <c r="I158" s="4"/>
      <c r="J158" s="4"/>
      <c r="K158" s="14" t="s">
        <v>626</v>
      </c>
      <c r="L158" s="17">
        <f>IFERROR(__xludf.DUMMYFUNCTION("SPLIT(K:K, "" "")"),0.138150396690863)</f>
        <v>0.1381503967</v>
      </c>
      <c r="M158" s="4">
        <f>IFERROR(__xludf.DUMMYFUNCTION("""COMPUTED_VALUE"""),0.378653098257555)</f>
        <v>0.3786530983</v>
      </c>
      <c r="N158" s="15">
        <v>622.0</v>
      </c>
      <c r="O158" s="4"/>
      <c r="P158" s="14" t="s">
        <v>627</v>
      </c>
      <c r="Q158" s="4">
        <f>IFERROR(__xludf.DUMMYFUNCTION("SPLIT(P:P, "" "")"),0.193851817530038)</f>
        <v>0.1938518175</v>
      </c>
      <c r="R158" s="4">
        <f>IFERROR(__xludf.DUMMYFUNCTION("""COMPUTED_VALUE"""),0.374407039476433)</f>
        <v>0.3744070395</v>
      </c>
      <c r="S158" s="15">
        <v>1248.0</v>
      </c>
      <c r="T158" s="4"/>
      <c r="U158" s="4"/>
    </row>
    <row r="159">
      <c r="A159" s="14" t="s">
        <v>628</v>
      </c>
      <c r="B159" s="17">
        <f>IFERROR(__xludf.DUMMYFUNCTION("SPLIT(E, "" "")"),0.164857865328681)</f>
        <v>0.1648578653</v>
      </c>
      <c r="C159" s="4">
        <f>IFERROR(__xludf.DUMMYFUNCTION("""COMPUTED_VALUE"""),0.509117905424732)</f>
        <v>0.5091179054</v>
      </c>
      <c r="D159" s="15">
        <v>316.0</v>
      </c>
      <c r="E159" s="4"/>
      <c r="F159" s="4"/>
      <c r="G159" s="4"/>
      <c r="H159" s="4"/>
      <c r="I159" s="4"/>
      <c r="J159" s="4"/>
      <c r="K159" s="14" t="s">
        <v>629</v>
      </c>
      <c r="L159" s="17">
        <f>IFERROR(__xludf.DUMMYFUNCTION("SPLIT(K:K, "" "")"),0.139007450640345)</f>
        <v>0.1390074506</v>
      </c>
      <c r="M159" s="4">
        <f>IFERROR(__xludf.DUMMYFUNCTION("""COMPUTED_VALUE"""),0.373235610705792)</f>
        <v>0.3732356107</v>
      </c>
      <c r="N159" s="15">
        <v>626.0</v>
      </c>
      <c r="O159" s="4"/>
      <c r="P159" s="14" t="s">
        <v>630</v>
      </c>
      <c r="Q159" s="4">
        <f>IFERROR(__xludf.DUMMYFUNCTION("SPLIT(P:P, "" "")"),0.192357685823776)</f>
        <v>0.1923576858</v>
      </c>
      <c r="R159" s="4">
        <f>IFERROR(__xludf.DUMMYFUNCTION("""COMPUTED_VALUE"""),0.371050702829702)</f>
        <v>0.3710507028</v>
      </c>
      <c r="S159" s="15">
        <v>1256.0</v>
      </c>
      <c r="T159" s="4"/>
      <c r="U159" s="4"/>
    </row>
    <row r="160">
      <c r="A160" s="14" t="s">
        <v>631</v>
      </c>
      <c r="B160" s="17">
        <f>IFERROR(__xludf.DUMMYFUNCTION("SPLIT(E, "" "")"),0.161721822120619)</f>
        <v>0.1617218221</v>
      </c>
      <c r="C160" s="4">
        <f>IFERROR(__xludf.DUMMYFUNCTION("""COMPUTED_VALUE"""),0.503960756811254)</f>
        <v>0.5039607568</v>
      </c>
      <c r="D160" s="15">
        <v>318.0</v>
      </c>
      <c r="E160" s="4"/>
      <c r="F160" s="4"/>
      <c r="G160" s="4"/>
      <c r="H160" s="4"/>
      <c r="I160" s="4"/>
      <c r="J160" s="4"/>
      <c r="K160" s="14" t="s">
        <v>632</v>
      </c>
      <c r="L160" s="17">
        <f>IFERROR(__xludf.DUMMYFUNCTION("SPLIT(K:K, "" "")"),0.137698083079666)</f>
        <v>0.1376980831</v>
      </c>
      <c r="M160" s="4">
        <f>IFERROR(__xludf.DUMMYFUNCTION("""COMPUTED_VALUE"""),0.37126565288251)</f>
        <v>0.3712656529</v>
      </c>
      <c r="N160" s="15">
        <v>630.0</v>
      </c>
      <c r="O160" s="4"/>
      <c r="P160" s="14" t="s">
        <v>633</v>
      </c>
      <c r="Q160" s="4">
        <f>IFERROR(__xludf.DUMMYFUNCTION("SPLIT(P:P, "" "")"),0.191861960975206)</f>
        <v>0.191861961</v>
      </c>
      <c r="R160" s="4">
        <f>IFERROR(__xludf.DUMMYFUNCTION("""COMPUTED_VALUE"""),0.377451482613352)</f>
        <v>0.3774514826</v>
      </c>
      <c r="S160" s="15">
        <v>1264.0</v>
      </c>
      <c r="T160" s="4"/>
      <c r="U160" s="4"/>
    </row>
    <row r="161">
      <c r="A161" s="14" t="s">
        <v>634</v>
      </c>
      <c r="B161" s="17">
        <f>IFERROR(__xludf.DUMMYFUNCTION("SPLIT(E, "" "")"),0.161254143870824)</f>
        <v>0.1612541439</v>
      </c>
      <c r="C161" s="4">
        <f>IFERROR(__xludf.DUMMYFUNCTION("""COMPUTED_VALUE"""),0.50476826838123)</f>
        <v>0.5047682684</v>
      </c>
      <c r="D161" s="15">
        <v>320.0</v>
      </c>
      <c r="E161" s="4"/>
      <c r="F161" s="4"/>
      <c r="G161" s="4"/>
      <c r="H161" s="4"/>
      <c r="I161" s="4"/>
      <c r="J161" s="4"/>
      <c r="K161" s="14" t="s">
        <v>635</v>
      </c>
      <c r="L161" s="17">
        <f>IFERROR(__xludf.DUMMYFUNCTION("SPLIT(K:K, "" "")"),0.140549694144103)</f>
        <v>0.1405496941</v>
      </c>
      <c r="M161" s="4">
        <f>IFERROR(__xludf.DUMMYFUNCTION("""COMPUTED_VALUE"""),0.370291376446754)</f>
        <v>0.3702913764</v>
      </c>
      <c r="N161" s="15">
        <v>634.0</v>
      </c>
      <c r="O161" s="4"/>
      <c r="P161" s="14" t="s">
        <v>636</v>
      </c>
      <c r="Q161" s="4">
        <f>IFERROR(__xludf.DUMMYFUNCTION("SPLIT(P:P, "" "")"),0.192909413479255)</f>
        <v>0.1929094135</v>
      </c>
      <c r="R161" s="4">
        <f>IFERROR(__xludf.DUMMYFUNCTION("""COMPUTED_VALUE"""),0.375381899929031)</f>
        <v>0.3753818999</v>
      </c>
      <c r="S161" s="15">
        <v>1272.0</v>
      </c>
      <c r="T161" s="4"/>
      <c r="U161" s="4"/>
    </row>
    <row r="162">
      <c r="A162" s="14" t="s">
        <v>637</v>
      </c>
      <c r="B162" s="17">
        <f>IFERROR(__xludf.DUMMYFUNCTION("SPLIT(E, "" "")"),0.159176132974366)</f>
        <v>0.159176133</v>
      </c>
      <c r="C162" s="4">
        <f>IFERROR(__xludf.DUMMYFUNCTION("""COMPUTED_VALUE"""),0.502818204202599)</f>
        <v>0.5028182042</v>
      </c>
      <c r="D162" s="15">
        <v>322.0</v>
      </c>
      <c r="E162" s="4"/>
      <c r="F162" s="4"/>
      <c r="G162" s="4"/>
      <c r="H162" s="4"/>
      <c r="I162" s="4"/>
      <c r="J162" s="4"/>
      <c r="K162" s="14" t="s">
        <v>638</v>
      </c>
      <c r="L162" s="17">
        <f>IFERROR(__xludf.DUMMYFUNCTION("SPLIT(K:K, "" "")"),0.13825296333731)</f>
        <v>0.1382529633</v>
      </c>
      <c r="M162" s="4">
        <f>IFERROR(__xludf.DUMMYFUNCTION("""COMPUTED_VALUE"""),0.373839510633681)</f>
        <v>0.3738395106</v>
      </c>
      <c r="N162" s="15">
        <v>638.0</v>
      </c>
      <c r="O162" s="4"/>
      <c r="P162" s="14" t="s">
        <v>639</v>
      </c>
      <c r="Q162" s="4">
        <f>IFERROR(__xludf.DUMMYFUNCTION("SPLIT(P:P, "" "")"),0.192289669005288)</f>
        <v>0.192289669</v>
      </c>
      <c r="R162" s="4">
        <f>IFERROR(__xludf.DUMMYFUNCTION("""COMPUTED_VALUE"""),0.370464533482289)</f>
        <v>0.3704645335</v>
      </c>
      <c r="S162" s="15">
        <v>1280.0</v>
      </c>
      <c r="T162" s="4"/>
      <c r="U162" s="4"/>
    </row>
    <row r="163">
      <c r="A163" s="14" t="s">
        <v>640</v>
      </c>
      <c r="B163" s="17">
        <f>IFERROR(__xludf.DUMMYFUNCTION("SPLIT(E, "" "")"),0.160758514770123)</f>
        <v>0.1607585148</v>
      </c>
      <c r="C163" s="4">
        <f>IFERROR(__xludf.DUMMYFUNCTION("""COMPUTED_VALUE"""),0.502300579498739)</f>
        <v>0.5023005795</v>
      </c>
      <c r="D163" s="15">
        <v>324.0</v>
      </c>
      <c r="E163" s="4"/>
      <c r="F163" s="4"/>
      <c r="G163" s="4"/>
      <c r="H163" s="4"/>
      <c r="I163" s="4"/>
      <c r="J163" s="4"/>
      <c r="K163" s="14" t="s">
        <v>641</v>
      </c>
      <c r="L163" s="17">
        <f>IFERROR(__xludf.DUMMYFUNCTION("SPLIT(K:K, "" "")"),0.136406483019948)</f>
        <v>0.136406483</v>
      </c>
      <c r="M163" s="4">
        <f>IFERROR(__xludf.DUMMYFUNCTION("""COMPUTED_VALUE"""),0.37659361951148)</f>
        <v>0.3765936195</v>
      </c>
      <c r="N163" s="15">
        <v>642.0</v>
      </c>
      <c r="O163" s="4"/>
      <c r="P163" s="14" t="s">
        <v>642</v>
      </c>
      <c r="Q163" s="4">
        <f>IFERROR(__xludf.DUMMYFUNCTION("SPLIT(P:P, "" "")"),0.195242258867733)</f>
        <v>0.1952422589</v>
      </c>
      <c r="R163" s="4">
        <f>IFERROR(__xludf.DUMMYFUNCTION("""COMPUTED_VALUE"""),0.389172544618968)</f>
        <v>0.3891725446</v>
      </c>
      <c r="S163" s="15">
        <v>1288.0</v>
      </c>
      <c r="T163" s="4"/>
      <c r="U163" s="4"/>
    </row>
    <row r="164">
      <c r="A164" s="14" t="s">
        <v>643</v>
      </c>
      <c r="B164" s="17">
        <f>IFERROR(__xludf.DUMMYFUNCTION("SPLIT(E, "" "")"),0.160968060452122)</f>
        <v>0.1609680605</v>
      </c>
      <c r="C164" s="4">
        <f>IFERROR(__xludf.DUMMYFUNCTION("""COMPUTED_VALUE"""),0.497439009258775)</f>
        <v>0.4974390093</v>
      </c>
      <c r="D164" s="15">
        <v>326.0</v>
      </c>
      <c r="E164" s="4"/>
      <c r="F164" s="4"/>
      <c r="G164" s="4"/>
      <c r="H164" s="4"/>
      <c r="I164" s="4"/>
      <c r="J164" s="4"/>
      <c r="K164" s="14" t="s">
        <v>644</v>
      </c>
      <c r="L164" s="17">
        <f>IFERROR(__xludf.DUMMYFUNCTION("SPLIT(K:K, "" "")"),0.136780742187574)</f>
        <v>0.1367807422</v>
      </c>
      <c r="M164" s="4">
        <f>IFERROR(__xludf.DUMMYFUNCTION("""COMPUTED_VALUE"""),0.379662324759865)</f>
        <v>0.3796623248</v>
      </c>
      <c r="N164" s="15">
        <v>646.0</v>
      </c>
      <c r="O164" s="4"/>
      <c r="P164" s="14" t="s">
        <v>645</v>
      </c>
      <c r="Q164" s="4">
        <f>IFERROR(__xludf.DUMMYFUNCTION("SPLIT(P:P, "" "")"),0.193699065612493)</f>
        <v>0.1936990656</v>
      </c>
      <c r="R164" s="4">
        <f>IFERROR(__xludf.DUMMYFUNCTION("""COMPUTED_VALUE"""),0.377892926349234)</f>
        <v>0.3778929263</v>
      </c>
      <c r="S164" s="15">
        <v>1296.0</v>
      </c>
      <c r="T164" s="4"/>
      <c r="U164" s="4"/>
    </row>
    <row r="165">
      <c r="A165" s="14" t="s">
        <v>646</v>
      </c>
      <c r="B165" s="17">
        <f>IFERROR(__xludf.DUMMYFUNCTION("SPLIT(E, "" "")"),0.158353598126594)</f>
        <v>0.1583535981</v>
      </c>
      <c r="C165" s="4">
        <f>IFERROR(__xludf.DUMMYFUNCTION("""COMPUTED_VALUE"""),0.508204196647057)</f>
        <v>0.5082041966</v>
      </c>
      <c r="D165" s="15">
        <v>328.0</v>
      </c>
      <c r="E165" s="4"/>
      <c r="F165" s="4"/>
      <c r="G165" s="4"/>
      <c r="H165" s="4"/>
      <c r="I165" s="4"/>
      <c r="J165" s="4"/>
      <c r="K165" s="14" t="s">
        <v>647</v>
      </c>
      <c r="L165" s="17">
        <f>IFERROR(__xludf.DUMMYFUNCTION("SPLIT(K:K, "" "")"),0.136470507021376)</f>
        <v>0.136470507</v>
      </c>
      <c r="M165" s="4">
        <f>IFERROR(__xludf.DUMMYFUNCTION("""COMPUTED_VALUE"""),0.374301791506769)</f>
        <v>0.3743017915</v>
      </c>
      <c r="N165" s="15">
        <v>650.0</v>
      </c>
      <c r="O165" s="4"/>
      <c r="P165" s="14" t="s">
        <v>648</v>
      </c>
      <c r="Q165" s="4">
        <f>IFERROR(__xludf.DUMMYFUNCTION("SPLIT(P:P, "" "")"),0.191551009934865)</f>
        <v>0.1915510099</v>
      </c>
      <c r="R165" s="4">
        <f>IFERROR(__xludf.DUMMYFUNCTION("""COMPUTED_VALUE"""),0.370872255327649)</f>
        <v>0.3708722553</v>
      </c>
      <c r="S165" s="15">
        <v>1304.0</v>
      </c>
      <c r="T165" s="4"/>
      <c r="U165" s="4"/>
    </row>
    <row r="166">
      <c r="A166" s="14" t="s">
        <v>649</v>
      </c>
      <c r="B166" s="17">
        <f>IFERROR(__xludf.DUMMYFUNCTION("SPLIT(E, "" "")"),0.166474895583229)</f>
        <v>0.1664748956</v>
      </c>
      <c r="C166" s="4">
        <f>IFERROR(__xludf.DUMMYFUNCTION("""COMPUTED_VALUE"""),0.504249663830978)</f>
        <v>0.5042496638</v>
      </c>
      <c r="D166" s="15">
        <v>330.0</v>
      </c>
      <c r="E166" s="4"/>
      <c r="F166" s="4"/>
      <c r="G166" s="4"/>
      <c r="H166" s="4"/>
      <c r="I166" s="4"/>
      <c r="J166" s="4"/>
      <c r="K166" s="14" t="s">
        <v>650</v>
      </c>
      <c r="L166" s="17">
        <f>IFERROR(__xludf.DUMMYFUNCTION("SPLIT(K:K, "" "")"),0.135102449259173)</f>
        <v>0.1351024493</v>
      </c>
      <c r="M166" s="4">
        <f>IFERROR(__xludf.DUMMYFUNCTION("""COMPUTED_VALUE"""),0.377511368656114)</f>
        <v>0.3775113687</v>
      </c>
      <c r="N166" s="15">
        <v>654.0</v>
      </c>
      <c r="O166" s="4"/>
      <c r="P166" s="14" t="s">
        <v>651</v>
      </c>
      <c r="Q166" s="4">
        <f>IFERROR(__xludf.DUMMYFUNCTION("SPLIT(P:P, "" "")"),0.191972952128145)</f>
        <v>0.1919729521</v>
      </c>
      <c r="R166" s="4">
        <f>IFERROR(__xludf.DUMMYFUNCTION("""COMPUTED_VALUE"""),0.3759059250207)</f>
        <v>0.375905925</v>
      </c>
      <c r="S166" s="15">
        <v>1312.0</v>
      </c>
      <c r="T166" s="4"/>
      <c r="U166" s="4"/>
    </row>
    <row r="167">
      <c r="A167" s="14" t="s">
        <v>652</v>
      </c>
      <c r="B167" s="17">
        <f>IFERROR(__xludf.DUMMYFUNCTION("SPLIT(E, "" "")"),0.16694098772814)</f>
        <v>0.1669409877</v>
      </c>
      <c r="C167" s="4">
        <f>IFERROR(__xludf.DUMMYFUNCTION("""COMPUTED_VALUE"""),0.513898681401844)</f>
        <v>0.5138986814</v>
      </c>
      <c r="D167" s="15">
        <v>332.0</v>
      </c>
      <c r="E167" s="4"/>
      <c r="F167" s="4"/>
      <c r="G167" s="4"/>
      <c r="H167" s="4"/>
      <c r="I167" s="4"/>
      <c r="J167" s="4"/>
      <c r="K167" s="14" t="s">
        <v>653</v>
      </c>
      <c r="L167" s="17">
        <f>IFERROR(__xludf.DUMMYFUNCTION("SPLIT(K:K, "" "")"),0.135035868745341)</f>
        <v>0.1350358687</v>
      </c>
      <c r="M167" s="4">
        <f>IFERROR(__xludf.DUMMYFUNCTION("""COMPUTED_VALUE"""),0.374899957365276)</f>
        <v>0.3748999574</v>
      </c>
      <c r="N167" s="15">
        <v>658.0</v>
      </c>
      <c r="O167" s="4"/>
      <c r="P167" s="14" t="s">
        <v>654</v>
      </c>
      <c r="Q167" s="4">
        <f>IFERROR(__xludf.DUMMYFUNCTION("SPLIT(P:P, "" "")"),0.194128967509437)</f>
        <v>0.1941289675</v>
      </c>
      <c r="R167" s="4">
        <f>IFERROR(__xludf.DUMMYFUNCTION("""COMPUTED_VALUE"""),0.383569497796363)</f>
        <v>0.3835694978</v>
      </c>
      <c r="S167" s="15">
        <v>1320.0</v>
      </c>
      <c r="T167" s="4"/>
      <c r="U167" s="4"/>
    </row>
    <row r="168">
      <c r="A168" s="14" t="s">
        <v>655</v>
      </c>
      <c r="B168" s="17">
        <f>IFERROR(__xludf.DUMMYFUNCTION("SPLIT(E, "" "")"),0.158759972718553)</f>
        <v>0.1587599727</v>
      </c>
      <c r="C168" s="4">
        <f>IFERROR(__xludf.DUMMYFUNCTION("""COMPUTED_VALUE"""),0.503577974139773)</f>
        <v>0.5035779741</v>
      </c>
      <c r="D168" s="15">
        <v>334.0</v>
      </c>
      <c r="E168" s="4"/>
      <c r="F168" s="4"/>
      <c r="G168" s="4"/>
      <c r="H168" s="4"/>
      <c r="I168" s="4"/>
      <c r="J168" s="4"/>
      <c r="K168" s="14" t="s">
        <v>656</v>
      </c>
      <c r="L168" s="17">
        <f>IFERROR(__xludf.DUMMYFUNCTION("SPLIT(K:K, "" "")"),0.135379789012128)</f>
        <v>0.135379789</v>
      </c>
      <c r="M168" s="4">
        <f>IFERROR(__xludf.DUMMYFUNCTION("""COMPUTED_VALUE"""),0.371862619210606)</f>
        <v>0.3718626192</v>
      </c>
      <c r="N168" s="15">
        <v>662.0</v>
      </c>
      <c r="O168" s="4"/>
      <c r="P168" s="14" t="s">
        <v>657</v>
      </c>
      <c r="Q168" s="4">
        <f>IFERROR(__xludf.DUMMYFUNCTION("SPLIT(P:P, "" "")"),0.191996588372593)</f>
        <v>0.1919965884</v>
      </c>
      <c r="R168" s="4">
        <f>IFERROR(__xludf.DUMMYFUNCTION("""COMPUTED_VALUE"""),0.372179438608223)</f>
        <v>0.3721794386</v>
      </c>
      <c r="S168" s="15">
        <v>1328.0</v>
      </c>
      <c r="T168" s="4"/>
      <c r="U168" s="4"/>
    </row>
    <row r="169">
      <c r="A169" s="14" t="s">
        <v>658</v>
      </c>
      <c r="B169" s="17">
        <f>IFERROR(__xludf.DUMMYFUNCTION("SPLIT(E, "" "")"),0.158236742627149)</f>
        <v>0.1582367426</v>
      </c>
      <c r="C169" s="4">
        <f>IFERROR(__xludf.DUMMYFUNCTION("""COMPUTED_VALUE"""),0.496793141016226)</f>
        <v>0.496793141</v>
      </c>
      <c r="D169" s="15">
        <v>336.0</v>
      </c>
      <c r="E169" s="4"/>
      <c r="F169" s="4"/>
      <c r="G169" s="4"/>
      <c r="H169" s="4"/>
      <c r="I169" s="4"/>
      <c r="J169" s="4"/>
      <c r="K169" s="14" t="s">
        <v>659</v>
      </c>
      <c r="L169" s="17">
        <f>IFERROR(__xludf.DUMMYFUNCTION("SPLIT(K:K, "" "")"),0.135231837067558)</f>
        <v>0.1352318371</v>
      </c>
      <c r="M169" s="4">
        <f>IFERROR(__xludf.DUMMYFUNCTION("""COMPUTED_VALUE"""),0.377497896145923)</f>
        <v>0.3774978961</v>
      </c>
      <c r="N169" s="15">
        <v>666.0</v>
      </c>
      <c r="O169" s="4"/>
      <c r="P169" s="14" t="s">
        <v>660</v>
      </c>
      <c r="Q169" s="4">
        <f>IFERROR(__xludf.DUMMYFUNCTION("SPLIT(P:P, "" "")"),0.192388033587233)</f>
        <v>0.1923880336</v>
      </c>
      <c r="R169" s="4">
        <f>IFERROR(__xludf.DUMMYFUNCTION("""COMPUTED_VALUE"""),0.369755473746661)</f>
        <v>0.3697554737</v>
      </c>
      <c r="S169" s="15">
        <v>1336.0</v>
      </c>
      <c r="T169" s="4"/>
      <c r="U169" s="4"/>
    </row>
    <row r="170">
      <c r="A170" s="14" t="s">
        <v>661</v>
      </c>
      <c r="B170" s="17">
        <f>IFERROR(__xludf.DUMMYFUNCTION("SPLIT(E, "" "")"),0.158131745541331)</f>
        <v>0.1581317455</v>
      </c>
      <c r="C170" s="4">
        <f>IFERROR(__xludf.DUMMYFUNCTION("""COMPUTED_VALUE"""),0.495253054000676)</f>
        <v>0.495253054</v>
      </c>
      <c r="D170" s="15">
        <v>338.0</v>
      </c>
      <c r="E170" s="4"/>
      <c r="F170" s="4"/>
      <c r="G170" s="4"/>
      <c r="H170" s="4"/>
      <c r="I170" s="4"/>
      <c r="J170" s="4"/>
      <c r="K170" s="14" t="s">
        <v>662</v>
      </c>
      <c r="L170" s="17">
        <f>IFERROR(__xludf.DUMMYFUNCTION("SPLIT(K:K, "" "")"),0.13688701788921)</f>
        <v>0.1368870179</v>
      </c>
      <c r="M170" s="4">
        <f>IFERROR(__xludf.DUMMYFUNCTION("""COMPUTED_VALUE"""),0.374389268371669)</f>
        <v>0.3743892684</v>
      </c>
      <c r="N170" s="15">
        <v>670.0</v>
      </c>
      <c r="O170" s="4"/>
      <c r="P170" s="14" t="s">
        <v>663</v>
      </c>
      <c r="Q170" s="4">
        <f>IFERROR(__xludf.DUMMYFUNCTION("SPLIT(P:P, "" "")"),0.192635691184622)</f>
        <v>0.1926356912</v>
      </c>
      <c r="R170" s="4">
        <f>IFERROR(__xludf.DUMMYFUNCTION("""COMPUTED_VALUE"""),0.388918201822469)</f>
        <v>0.3889182018</v>
      </c>
      <c r="S170" s="15">
        <v>1344.0</v>
      </c>
      <c r="T170" s="4"/>
      <c r="U170" s="4"/>
    </row>
    <row r="171">
      <c r="A171" s="14" t="s">
        <v>664</v>
      </c>
      <c r="B171" s="17">
        <f>IFERROR(__xludf.DUMMYFUNCTION("SPLIT(E, "" "")"),0.159688015173887)</f>
        <v>0.1596880152</v>
      </c>
      <c r="C171" s="4">
        <f>IFERROR(__xludf.DUMMYFUNCTION("""COMPUTED_VALUE"""),0.491660025266111)</f>
        <v>0.4916600253</v>
      </c>
      <c r="D171" s="15">
        <v>340.0</v>
      </c>
      <c r="E171" s="4"/>
      <c r="F171" s="4"/>
      <c r="G171" s="4"/>
      <c r="H171" s="4"/>
      <c r="I171" s="4"/>
      <c r="J171" s="4"/>
      <c r="K171" s="14" t="s">
        <v>665</v>
      </c>
      <c r="L171" s="17">
        <f>IFERROR(__xludf.DUMMYFUNCTION("SPLIT(K:K, "" "")"),0.136117767150837)</f>
        <v>0.1361177672</v>
      </c>
      <c r="M171" s="4">
        <f>IFERROR(__xludf.DUMMYFUNCTION("""COMPUTED_VALUE"""),0.380228611991729)</f>
        <v>0.380228612</v>
      </c>
      <c r="N171" s="15">
        <v>674.0</v>
      </c>
      <c r="O171" s="4"/>
      <c r="P171" s="14" t="s">
        <v>666</v>
      </c>
      <c r="Q171" s="4">
        <f>IFERROR(__xludf.DUMMYFUNCTION("SPLIT(P:P, "" "")"),0.192082512962376)</f>
        <v>0.192082513</v>
      </c>
      <c r="R171" s="4">
        <f>IFERROR(__xludf.DUMMYFUNCTION("""COMPUTED_VALUE"""),0.37543460666216)</f>
        <v>0.3754346067</v>
      </c>
      <c r="S171" s="15">
        <v>1352.0</v>
      </c>
      <c r="T171" s="4"/>
      <c r="U171" s="4"/>
    </row>
    <row r="172">
      <c r="A172" s="14" t="s">
        <v>667</v>
      </c>
      <c r="B172" s="17">
        <f>IFERROR(__xludf.DUMMYFUNCTION("SPLIT(E, "" "")"),0.166827433103872)</f>
        <v>0.1668274331</v>
      </c>
      <c r="C172" s="4">
        <f>IFERROR(__xludf.DUMMYFUNCTION("""COMPUTED_VALUE"""),0.502954061076402)</f>
        <v>0.5029540611</v>
      </c>
      <c r="D172" s="15">
        <v>342.0</v>
      </c>
      <c r="E172" s="4"/>
      <c r="F172" s="4"/>
      <c r="G172" s="4"/>
      <c r="H172" s="4"/>
      <c r="I172" s="4"/>
      <c r="J172" s="4"/>
      <c r="K172" s="14" t="s">
        <v>668</v>
      </c>
      <c r="L172" s="17">
        <f>IFERROR(__xludf.DUMMYFUNCTION("SPLIT(K:K, "" "")"),0.134225835772197)</f>
        <v>0.1342258358</v>
      </c>
      <c r="M172" s="4">
        <f>IFERROR(__xludf.DUMMYFUNCTION("""COMPUTED_VALUE"""),0.379155548679848)</f>
        <v>0.3791555487</v>
      </c>
      <c r="N172" s="15">
        <v>678.0</v>
      </c>
      <c r="O172" s="4"/>
      <c r="P172" s="14" t="s">
        <v>669</v>
      </c>
      <c r="Q172" s="4">
        <f>IFERROR(__xludf.DUMMYFUNCTION("SPLIT(P:P, "" "")"),0.192460916879386)</f>
        <v>0.1924609169</v>
      </c>
      <c r="R172" s="4">
        <f>IFERROR(__xludf.DUMMYFUNCTION("""COMPUTED_VALUE"""),0.373193435242273)</f>
        <v>0.3731934352</v>
      </c>
      <c r="S172" s="15">
        <v>1360.0</v>
      </c>
      <c r="T172" s="4"/>
      <c r="U172" s="4"/>
    </row>
    <row r="173">
      <c r="A173" s="14" t="s">
        <v>670</v>
      </c>
      <c r="B173" s="17">
        <f>IFERROR(__xludf.DUMMYFUNCTION("SPLIT(E, "" "")"),0.156516363650116)</f>
        <v>0.1565163637</v>
      </c>
      <c r="C173" s="4">
        <f>IFERROR(__xludf.DUMMYFUNCTION("""COMPUTED_VALUE"""),0.495740452378111)</f>
        <v>0.4957404524</v>
      </c>
      <c r="D173" s="15">
        <v>344.0</v>
      </c>
      <c r="E173" s="4"/>
      <c r="F173" s="4"/>
      <c r="G173" s="4"/>
      <c r="H173" s="4"/>
      <c r="I173" s="4"/>
      <c r="J173" s="4"/>
      <c r="K173" s="14" t="s">
        <v>671</v>
      </c>
      <c r="L173" s="17">
        <f>IFERROR(__xludf.DUMMYFUNCTION("SPLIT(K:K, "" "")"),0.133021366677222)</f>
        <v>0.1330213667</v>
      </c>
      <c r="M173" s="4">
        <f>IFERROR(__xludf.DUMMYFUNCTION("""COMPUTED_VALUE"""),0.375569199114284)</f>
        <v>0.3755691991</v>
      </c>
      <c r="N173" s="15">
        <v>682.0</v>
      </c>
      <c r="O173" s="4"/>
      <c r="P173" s="14" t="s">
        <v>672</v>
      </c>
      <c r="Q173" s="4">
        <f>IFERROR(__xludf.DUMMYFUNCTION("SPLIT(P:P, "" "")"),0.190304957805982)</f>
        <v>0.1903049578</v>
      </c>
      <c r="R173" s="4">
        <f>IFERROR(__xludf.DUMMYFUNCTION("""COMPUTED_VALUE"""),0.373664162586703)</f>
        <v>0.3736641626</v>
      </c>
      <c r="S173" s="15">
        <v>1368.0</v>
      </c>
      <c r="T173" s="4"/>
      <c r="U173" s="4"/>
    </row>
    <row r="174">
      <c r="A174" s="14" t="s">
        <v>673</v>
      </c>
      <c r="B174" s="17">
        <f>IFERROR(__xludf.DUMMYFUNCTION("SPLIT(E, "" "")"),0.158882093431916)</f>
        <v>0.1588820934</v>
      </c>
      <c r="C174" s="4">
        <f>IFERROR(__xludf.DUMMYFUNCTION("""COMPUTED_VALUE"""),0.50732655027037)</f>
        <v>0.5073265503</v>
      </c>
      <c r="D174" s="15">
        <v>346.0</v>
      </c>
      <c r="E174" s="4"/>
      <c r="F174" s="4"/>
      <c r="G174" s="4"/>
      <c r="H174" s="4"/>
      <c r="I174" s="4"/>
      <c r="J174" s="4"/>
      <c r="K174" s="14" t="s">
        <v>674</v>
      </c>
      <c r="L174" s="17">
        <f>IFERROR(__xludf.DUMMYFUNCTION("SPLIT(K:K, "" "")"),0.132896726022357)</f>
        <v>0.132896726</v>
      </c>
      <c r="M174" s="4">
        <f>IFERROR(__xludf.DUMMYFUNCTION("""COMPUTED_VALUE"""),0.37144619779126)</f>
        <v>0.3714461978</v>
      </c>
      <c r="N174" s="15">
        <v>686.0</v>
      </c>
      <c r="O174" s="4"/>
      <c r="P174" s="14" t="s">
        <v>675</v>
      </c>
      <c r="Q174" s="4">
        <f>IFERROR(__xludf.DUMMYFUNCTION("SPLIT(P:P, "" "")"),0.1896115431227)</f>
        <v>0.1896115431</v>
      </c>
      <c r="R174" s="4">
        <f>IFERROR(__xludf.DUMMYFUNCTION("""COMPUTED_VALUE"""),0.376237089219346)</f>
        <v>0.3762370892</v>
      </c>
      <c r="S174" s="15">
        <v>1376.0</v>
      </c>
      <c r="T174" s="4"/>
      <c r="U174" s="4"/>
    </row>
    <row r="175">
      <c r="A175" s="14" t="s">
        <v>676</v>
      </c>
      <c r="B175" s="17">
        <f>IFERROR(__xludf.DUMMYFUNCTION("SPLIT(E, "" "")"),0.155643364220892)</f>
        <v>0.1556433642</v>
      </c>
      <c r="C175" s="4">
        <f>IFERROR(__xludf.DUMMYFUNCTION("""COMPUTED_VALUE"""),0.496937145993326)</f>
        <v>0.496937146</v>
      </c>
      <c r="D175" s="15">
        <v>348.0</v>
      </c>
      <c r="E175" s="4"/>
      <c r="F175" s="4"/>
      <c r="G175" s="4"/>
      <c r="H175" s="4"/>
      <c r="I175" s="4"/>
      <c r="J175" s="4"/>
      <c r="K175" s="14" t="s">
        <v>677</v>
      </c>
      <c r="L175" s="17">
        <f>IFERROR(__xludf.DUMMYFUNCTION("SPLIT(K:K, "" "")"),0.134356421415724)</f>
        <v>0.1343564214</v>
      </c>
      <c r="M175" s="4">
        <f>IFERROR(__xludf.DUMMYFUNCTION("""COMPUTED_VALUE"""),0.377932794292262)</f>
        <v>0.3779327943</v>
      </c>
      <c r="N175" s="15">
        <v>690.0</v>
      </c>
      <c r="O175" s="4"/>
      <c r="P175" s="14" t="s">
        <v>678</v>
      </c>
      <c r="Q175" s="4">
        <f>IFERROR(__xludf.DUMMYFUNCTION("SPLIT(P:P, "" "")"),0.189180341434842)</f>
        <v>0.1891803414</v>
      </c>
      <c r="R175" s="4">
        <f>IFERROR(__xludf.DUMMYFUNCTION("""COMPUTED_VALUE"""),0.381309549885762)</f>
        <v>0.3813095499</v>
      </c>
      <c r="S175" s="15">
        <v>1384.0</v>
      </c>
      <c r="T175" s="4"/>
      <c r="U175" s="4"/>
    </row>
    <row r="176">
      <c r="A176" s="14" t="s">
        <v>679</v>
      </c>
      <c r="B176" s="17">
        <f>IFERROR(__xludf.DUMMYFUNCTION("SPLIT(E, "" "")"),0.155368379195162)</f>
        <v>0.1553683792</v>
      </c>
      <c r="C176" s="4">
        <f>IFERROR(__xludf.DUMMYFUNCTION("""COMPUTED_VALUE"""),0.500765175803889)</f>
        <v>0.5007651758</v>
      </c>
      <c r="D176" s="15">
        <v>350.0</v>
      </c>
      <c r="E176" s="4"/>
      <c r="F176" s="4"/>
      <c r="G176" s="4"/>
      <c r="H176" s="4"/>
      <c r="I176" s="4"/>
      <c r="J176" s="4"/>
      <c r="K176" s="14" t="s">
        <v>680</v>
      </c>
      <c r="L176" s="17">
        <f>IFERROR(__xludf.DUMMYFUNCTION("SPLIT(K:K, "" "")"),0.133318591599381)</f>
        <v>0.1333185916</v>
      </c>
      <c r="M176" s="4">
        <f>IFERROR(__xludf.DUMMYFUNCTION("""COMPUTED_VALUE"""),0.374472726400129)</f>
        <v>0.3744727264</v>
      </c>
      <c r="N176" s="15">
        <v>694.0</v>
      </c>
      <c r="O176" s="4"/>
      <c r="P176" s="14" t="s">
        <v>681</v>
      </c>
      <c r="Q176" s="4">
        <f>IFERROR(__xludf.DUMMYFUNCTION("SPLIT(P:P, "" "")"),0.197112910085183)</f>
        <v>0.1971129101</v>
      </c>
      <c r="R176" s="4">
        <f>IFERROR(__xludf.DUMMYFUNCTION("""COMPUTED_VALUE"""),0.392822797315105)</f>
        <v>0.3928227973</v>
      </c>
      <c r="S176" s="15">
        <v>1392.0</v>
      </c>
      <c r="T176" s="4"/>
      <c r="U176" s="4"/>
    </row>
    <row r="177">
      <c r="A177" s="14" t="s">
        <v>682</v>
      </c>
      <c r="B177" s="17">
        <f>IFERROR(__xludf.DUMMYFUNCTION("SPLIT(E, "" "")"),0.154948302935939)</f>
        <v>0.1549483029</v>
      </c>
      <c r="C177" s="4">
        <f>IFERROR(__xludf.DUMMYFUNCTION("""COMPUTED_VALUE"""),0.504961208958994)</f>
        <v>0.504961209</v>
      </c>
      <c r="D177" s="15">
        <v>352.0</v>
      </c>
      <c r="E177" s="4"/>
      <c r="F177" s="4"/>
      <c r="G177" s="4"/>
      <c r="H177" s="4"/>
      <c r="I177" s="4"/>
      <c r="J177" s="4"/>
      <c r="K177" s="14" t="s">
        <v>683</v>
      </c>
      <c r="L177" s="17">
        <f>IFERROR(__xludf.DUMMYFUNCTION("SPLIT(K:K, "" "")"),0.132301728392277)</f>
        <v>0.1323017284</v>
      </c>
      <c r="M177" s="4">
        <f>IFERROR(__xludf.DUMMYFUNCTION("""COMPUTED_VALUE"""),0.374450194166057)</f>
        <v>0.3744501942</v>
      </c>
      <c r="N177" s="15">
        <v>698.0</v>
      </c>
      <c r="O177" s="4"/>
      <c r="P177" s="14" t="s">
        <v>684</v>
      </c>
      <c r="Q177" s="4">
        <f>IFERROR(__xludf.DUMMYFUNCTION("SPLIT(P:P, "" "")"),0.191057892982295)</f>
        <v>0.191057893</v>
      </c>
      <c r="R177" s="4">
        <f>IFERROR(__xludf.DUMMYFUNCTION("""COMPUTED_VALUE"""),0.378417115475427)</f>
        <v>0.3784171155</v>
      </c>
      <c r="S177" s="15">
        <v>1400.0</v>
      </c>
      <c r="T177" s="4"/>
      <c r="U177" s="4"/>
    </row>
    <row r="178">
      <c r="A178" s="14" t="s">
        <v>685</v>
      </c>
      <c r="B178" s="17">
        <f>IFERROR(__xludf.DUMMYFUNCTION("SPLIT(E, "" "")"),0.154843952090575)</f>
        <v>0.1548439521</v>
      </c>
      <c r="C178" s="4">
        <f>IFERROR(__xludf.DUMMYFUNCTION("""COMPUTED_VALUE"""),0.48946315505452)</f>
        <v>0.4894631551</v>
      </c>
      <c r="D178" s="15">
        <v>354.0</v>
      </c>
      <c r="E178" s="4"/>
      <c r="F178" s="4"/>
      <c r="G178" s="4"/>
      <c r="H178" s="4"/>
      <c r="I178" s="4"/>
      <c r="J178" s="4"/>
      <c r="K178" s="14" t="s">
        <v>686</v>
      </c>
      <c r="L178" s="17">
        <f>IFERROR(__xludf.DUMMYFUNCTION("SPLIT(K:K, "" "")"),0.134278425370091)</f>
        <v>0.1342784254</v>
      </c>
      <c r="M178" s="4">
        <f>IFERROR(__xludf.DUMMYFUNCTION("""COMPUTED_VALUE"""),0.384117435386241)</f>
        <v>0.3841174354</v>
      </c>
      <c r="N178" s="15">
        <v>702.0</v>
      </c>
      <c r="O178" s="4"/>
      <c r="P178" s="14" t="s">
        <v>687</v>
      </c>
      <c r="Q178" s="4">
        <f>IFERROR(__xludf.DUMMYFUNCTION("SPLIT(P:P, "" "")"),0.192000669006101)</f>
        <v>0.192000669</v>
      </c>
      <c r="R178" s="4">
        <f>IFERROR(__xludf.DUMMYFUNCTION("""COMPUTED_VALUE"""),0.386536978605635)</f>
        <v>0.3865369786</v>
      </c>
      <c r="S178" s="15">
        <v>1408.0</v>
      </c>
      <c r="T178" s="4"/>
      <c r="U178" s="4"/>
    </row>
    <row r="179">
      <c r="A179" s="14" t="s">
        <v>688</v>
      </c>
      <c r="B179" s="17">
        <f>IFERROR(__xludf.DUMMYFUNCTION("SPLIT(E, "" "")"),0.153787294364258)</f>
        <v>0.1537872944</v>
      </c>
      <c r="C179" s="4">
        <f>IFERROR(__xludf.DUMMYFUNCTION("""COMPUTED_VALUE"""),0.494563863215761)</f>
        <v>0.4945638632</v>
      </c>
      <c r="D179" s="15">
        <v>356.0</v>
      </c>
      <c r="E179" s="4"/>
      <c r="F179" s="4"/>
      <c r="G179" s="4"/>
      <c r="H179" s="4"/>
      <c r="I179" s="4"/>
      <c r="J179" s="4"/>
      <c r="K179" s="14" t="s">
        <v>689</v>
      </c>
      <c r="L179" s="17">
        <f>IFERROR(__xludf.DUMMYFUNCTION("SPLIT(K:K, "" "")"),0.132953929137654)</f>
        <v>0.1329539291</v>
      </c>
      <c r="M179" s="4">
        <f>IFERROR(__xludf.DUMMYFUNCTION("""COMPUTED_VALUE"""),0.383128604577448)</f>
        <v>0.3831286046</v>
      </c>
      <c r="N179" s="15">
        <v>706.0</v>
      </c>
      <c r="O179" s="4"/>
      <c r="P179" s="14" t="s">
        <v>690</v>
      </c>
      <c r="Q179" s="4">
        <f>IFERROR(__xludf.DUMMYFUNCTION("SPLIT(P:P, "" "")"),0.19107726425323)</f>
        <v>0.1910772643</v>
      </c>
      <c r="R179" s="4">
        <f>IFERROR(__xludf.DUMMYFUNCTION("""COMPUTED_VALUE"""),0.380643714118161)</f>
        <v>0.3806437141</v>
      </c>
      <c r="S179" s="15">
        <v>1416.0</v>
      </c>
      <c r="T179" s="4"/>
      <c r="U179" s="4"/>
    </row>
    <row r="180">
      <c r="A180" s="14" t="s">
        <v>691</v>
      </c>
      <c r="B180" s="17">
        <f>IFERROR(__xludf.DUMMYFUNCTION("SPLIT(E, "" "")"),0.152787761483825)</f>
        <v>0.1527877615</v>
      </c>
      <c r="C180" s="4">
        <f>IFERROR(__xludf.DUMMYFUNCTION("""COMPUTED_VALUE"""),0.499864452623704)</f>
        <v>0.4998644526</v>
      </c>
      <c r="D180" s="15">
        <v>358.0</v>
      </c>
      <c r="E180" s="4"/>
      <c r="F180" s="4"/>
      <c r="G180" s="4"/>
      <c r="H180" s="4"/>
      <c r="I180" s="4"/>
      <c r="J180" s="4"/>
      <c r="K180" s="14" t="s">
        <v>692</v>
      </c>
      <c r="L180" s="17">
        <f>IFERROR(__xludf.DUMMYFUNCTION("SPLIT(K:K, "" "")"),0.131596470257211)</f>
        <v>0.1315964703</v>
      </c>
      <c r="M180" s="4">
        <f>IFERROR(__xludf.DUMMYFUNCTION("""COMPUTED_VALUE"""),0.377571031349163)</f>
        <v>0.3775710313</v>
      </c>
      <c r="N180" s="15">
        <v>710.0</v>
      </c>
      <c r="O180" s="4"/>
      <c r="P180" s="14" t="s">
        <v>693</v>
      </c>
      <c r="Q180" s="4">
        <f>IFERROR(__xludf.DUMMYFUNCTION("SPLIT(P:P, "" "")"),0.192927804741065)</f>
        <v>0.1929278047</v>
      </c>
      <c r="R180" s="4">
        <f>IFERROR(__xludf.DUMMYFUNCTION("""COMPUTED_VALUE"""),0.385378130087415)</f>
        <v>0.3853781301</v>
      </c>
      <c r="S180" s="15">
        <v>1424.0</v>
      </c>
      <c r="T180" s="4"/>
      <c r="U180" s="4"/>
    </row>
    <row r="181">
      <c r="A181" s="14" t="s">
        <v>694</v>
      </c>
      <c r="B181" s="17">
        <f>IFERROR(__xludf.DUMMYFUNCTION("SPLIT(E, "" "")"),0.154959869303246)</f>
        <v>0.1549598693</v>
      </c>
      <c r="C181" s="4">
        <f>IFERROR(__xludf.DUMMYFUNCTION("""COMPUTED_VALUE"""),0.501655390415572)</f>
        <v>0.5016553904</v>
      </c>
      <c r="D181" s="15">
        <v>360.0</v>
      </c>
      <c r="E181" s="4"/>
      <c r="F181" s="4"/>
      <c r="G181" s="4"/>
      <c r="H181" s="4"/>
      <c r="I181" s="4"/>
      <c r="J181" s="4"/>
      <c r="K181" s="14" t="s">
        <v>695</v>
      </c>
      <c r="L181" s="17">
        <f>IFERROR(__xludf.DUMMYFUNCTION("SPLIT(K:K, "" "")"),0.136920712712829)</f>
        <v>0.1369207127</v>
      </c>
      <c r="M181" s="4">
        <f>IFERROR(__xludf.DUMMYFUNCTION("""COMPUTED_VALUE"""),0.389586398928056)</f>
        <v>0.3895863989</v>
      </c>
      <c r="N181" s="15">
        <v>714.0</v>
      </c>
      <c r="O181" s="4"/>
      <c r="P181" s="14" t="s">
        <v>696</v>
      </c>
      <c r="Q181" s="4">
        <f>IFERROR(__xludf.DUMMYFUNCTION("SPLIT(P:P, "" "")"),0.189824887778328)</f>
        <v>0.1898248878</v>
      </c>
      <c r="R181" s="4">
        <f>IFERROR(__xludf.DUMMYFUNCTION("""COMPUTED_VALUE"""),0.382863784298745)</f>
        <v>0.3828637843</v>
      </c>
      <c r="S181" s="15">
        <v>1432.0</v>
      </c>
      <c r="T181" s="4"/>
      <c r="U181" s="4"/>
    </row>
    <row r="182">
      <c r="A182" s="14" t="s">
        <v>697</v>
      </c>
      <c r="B182" s="17">
        <f>IFERROR(__xludf.DUMMYFUNCTION("SPLIT(E, "" "")"),0.152275092727718)</f>
        <v>0.1522750927</v>
      </c>
      <c r="C182" s="4">
        <f>IFERROR(__xludf.DUMMYFUNCTION("""COMPUTED_VALUE"""),0.496313375355708)</f>
        <v>0.4963133754</v>
      </c>
      <c r="D182" s="15">
        <v>362.0</v>
      </c>
      <c r="E182" s="4"/>
      <c r="F182" s="4"/>
      <c r="G182" s="4"/>
      <c r="H182" s="4"/>
      <c r="I182" s="4"/>
      <c r="J182" s="4"/>
      <c r="K182" s="14" t="s">
        <v>698</v>
      </c>
      <c r="L182" s="17">
        <f>IFERROR(__xludf.DUMMYFUNCTION("SPLIT(K:K, "" "")"),0.133044527576592)</f>
        <v>0.1330445276</v>
      </c>
      <c r="M182" s="4">
        <f>IFERROR(__xludf.DUMMYFUNCTION("""COMPUTED_VALUE"""),0.377129773923792)</f>
        <v>0.3771297739</v>
      </c>
      <c r="N182" s="15">
        <v>718.0</v>
      </c>
      <c r="O182" s="4"/>
      <c r="P182" s="14" t="s">
        <v>699</v>
      </c>
      <c r="Q182" s="4">
        <f>IFERROR(__xludf.DUMMYFUNCTION("SPLIT(P:P, "" "")"),0.191774884841828)</f>
        <v>0.1917748848</v>
      </c>
      <c r="R182" s="4">
        <f>IFERROR(__xludf.DUMMYFUNCTION("""COMPUTED_VALUE"""),0.383154640972175)</f>
        <v>0.383154641</v>
      </c>
      <c r="S182" s="15">
        <v>1440.0</v>
      </c>
      <c r="T182" s="4"/>
      <c r="U182" s="4"/>
    </row>
    <row r="183">
      <c r="A183" s="14" t="s">
        <v>700</v>
      </c>
      <c r="B183" s="17">
        <f>IFERROR(__xludf.DUMMYFUNCTION("SPLIT(E, "" "")"),0.152523371646586)</f>
        <v>0.1525233716</v>
      </c>
      <c r="C183" s="4">
        <f>IFERROR(__xludf.DUMMYFUNCTION("""COMPUTED_VALUE"""),0.49360226414153)</f>
        <v>0.4936022641</v>
      </c>
      <c r="D183" s="15">
        <v>364.0</v>
      </c>
      <c r="E183" s="4"/>
      <c r="F183" s="4"/>
      <c r="G183" s="4"/>
      <c r="H183" s="4"/>
      <c r="I183" s="4"/>
      <c r="J183" s="4"/>
      <c r="K183" s="14" t="s">
        <v>701</v>
      </c>
      <c r="L183" s="17">
        <f>IFERROR(__xludf.DUMMYFUNCTION("SPLIT(K:K, "" "")"),0.1318728576306)</f>
        <v>0.1318728576</v>
      </c>
      <c r="M183" s="4">
        <f>IFERROR(__xludf.DUMMYFUNCTION("""COMPUTED_VALUE"""),0.381767511940969)</f>
        <v>0.3817675119</v>
      </c>
      <c r="N183" s="15">
        <v>722.0</v>
      </c>
      <c r="O183" s="4"/>
      <c r="P183" s="14" t="s">
        <v>702</v>
      </c>
      <c r="Q183" s="4">
        <f>IFERROR(__xludf.DUMMYFUNCTION("SPLIT(P:P, "" "")"),0.194948988574971)</f>
        <v>0.1949489886</v>
      </c>
      <c r="R183" s="4">
        <f>IFERROR(__xludf.DUMMYFUNCTION("""COMPUTED_VALUE"""),0.392322425490633)</f>
        <v>0.3923224255</v>
      </c>
      <c r="S183" s="15">
        <v>1448.0</v>
      </c>
      <c r="T183" s="4"/>
      <c r="U183" s="4"/>
    </row>
    <row r="184">
      <c r="A184" s="14" t="s">
        <v>703</v>
      </c>
      <c r="B184" s="17">
        <f>IFERROR(__xludf.DUMMYFUNCTION("SPLIT(E, "" "")"),0.152033838800145)</f>
        <v>0.1520338388</v>
      </c>
      <c r="C184" s="4">
        <f>IFERROR(__xludf.DUMMYFUNCTION("""COMPUTED_VALUE"""),0.491930077876654)</f>
        <v>0.4919300779</v>
      </c>
      <c r="D184" s="15">
        <v>366.0</v>
      </c>
      <c r="E184" s="4"/>
      <c r="F184" s="4"/>
      <c r="G184" s="4"/>
      <c r="H184" s="4"/>
      <c r="I184" s="4"/>
      <c r="J184" s="4"/>
      <c r="K184" s="14" t="s">
        <v>704</v>
      </c>
      <c r="L184" s="17">
        <f>IFERROR(__xludf.DUMMYFUNCTION("SPLIT(K:K, "" "")"),0.132218904469329)</f>
        <v>0.1322189045</v>
      </c>
      <c r="M184" s="4">
        <f>IFERROR(__xludf.DUMMYFUNCTION("""COMPUTED_VALUE"""),0.384768880433375)</f>
        <v>0.3847688804</v>
      </c>
      <c r="N184" s="15">
        <v>726.0</v>
      </c>
      <c r="O184" s="4"/>
      <c r="P184" s="14" t="s">
        <v>705</v>
      </c>
      <c r="Q184" s="4">
        <f>IFERROR(__xludf.DUMMYFUNCTION("SPLIT(P:P, "" "")"),0.191741838597974)</f>
        <v>0.1917418386</v>
      </c>
      <c r="R184" s="4">
        <f>IFERROR(__xludf.DUMMYFUNCTION("""COMPUTED_VALUE"""),0.384293320061395)</f>
        <v>0.3842933201</v>
      </c>
      <c r="S184" s="15">
        <v>1456.0</v>
      </c>
      <c r="T184" s="4"/>
      <c r="U184" s="4"/>
    </row>
    <row r="185">
      <c r="A185" s="14" t="s">
        <v>706</v>
      </c>
      <c r="B185" s="17">
        <f>IFERROR(__xludf.DUMMYFUNCTION("SPLIT(E, "" "")"),0.152230770128839)</f>
        <v>0.1522307701</v>
      </c>
      <c r="C185" s="4">
        <f>IFERROR(__xludf.DUMMYFUNCTION("""COMPUTED_VALUE"""),0.488518449840543)</f>
        <v>0.4885184498</v>
      </c>
      <c r="D185" s="15">
        <v>368.0</v>
      </c>
      <c r="E185" s="4"/>
      <c r="F185" s="4"/>
      <c r="G185" s="4"/>
      <c r="H185" s="4"/>
      <c r="I185" s="4"/>
      <c r="J185" s="4"/>
      <c r="K185" s="14" t="s">
        <v>707</v>
      </c>
      <c r="L185" s="17">
        <f>IFERROR(__xludf.DUMMYFUNCTION("SPLIT(K:K, "" "")"),0.130269899952011)</f>
        <v>0.1302699</v>
      </c>
      <c r="M185" s="4">
        <f>IFERROR(__xludf.DUMMYFUNCTION("""COMPUTED_VALUE"""),0.379804091929369)</f>
        <v>0.3798040919</v>
      </c>
      <c r="N185" s="15">
        <v>730.0</v>
      </c>
      <c r="O185" s="4"/>
      <c r="P185" s="14" t="s">
        <v>708</v>
      </c>
      <c r="Q185" s="4">
        <f>IFERROR(__xludf.DUMMYFUNCTION("SPLIT(P:P, "" "")"),0.190736206799031)</f>
        <v>0.1907362068</v>
      </c>
      <c r="R185" s="4">
        <f>IFERROR(__xludf.DUMMYFUNCTION("""COMPUTED_VALUE"""),0.381671424813278)</f>
        <v>0.3816714248</v>
      </c>
      <c r="S185" s="15">
        <v>1464.0</v>
      </c>
      <c r="T185" s="4"/>
      <c r="U185" s="4"/>
    </row>
    <row r="186">
      <c r="A186" s="14" t="s">
        <v>709</v>
      </c>
      <c r="B186" s="17">
        <f>IFERROR(__xludf.DUMMYFUNCTION("SPLIT(E, "" "")"),0.150554063296743)</f>
        <v>0.1505540633</v>
      </c>
      <c r="C186" s="4">
        <f>IFERROR(__xludf.DUMMYFUNCTION("""COMPUTED_VALUE"""),0.492588605372006)</f>
        <v>0.4925886054</v>
      </c>
      <c r="D186" s="15">
        <v>370.0</v>
      </c>
      <c r="E186" s="4"/>
      <c r="F186" s="4"/>
      <c r="G186" s="4"/>
      <c r="H186" s="4"/>
      <c r="I186" s="4"/>
      <c r="J186" s="4"/>
      <c r="K186" s="14" t="s">
        <v>710</v>
      </c>
      <c r="L186" s="17">
        <f>IFERROR(__xludf.DUMMYFUNCTION("SPLIT(K:K, "" "")"),0.130963283331091)</f>
        <v>0.1309632833</v>
      </c>
      <c r="M186" s="4">
        <f>IFERROR(__xludf.DUMMYFUNCTION("""COMPUTED_VALUE"""),0.386170360496156)</f>
        <v>0.3861703605</v>
      </c>
      <c r="N186" s="15">
        <v>734.0</v>
      </c>
      <c r="O186" s="4"/>
      <c r="P186" s="14" t="s">
        <v>711</v>
      </c>
      <c r="Q186" s="4">
        <f>IFERROR(__xludf.DUMMYFUNCTION("SPLIT(P:P, "" "")"),0.189672235840437)</f>
        <v>0.1896722358</v>
      </c>
      <c r="R186" s="4">
        <f>IFERROR(__xludf.DUMMYFUNCTION("""COMPUTED_VALUE"""),0.387191112851789)</f>
        <v>0.3871911129</v>
      </c>
      <c r="S186" s="15">
        <v>1472.0</v>
      </c>
      <c r="T186" s="4"/>
      <c r="U186" s="4"/>
    </row>
    <row r="187">
      <c r="A187" s="14" t="s">
        <v>712</v>
      </c>
      <c r="B187" s="17">
        <f>IFERROR(__xludf.DUMMYFUNCTION("SPLIT(E, "" "")"),0.154207554828022)</f>
        <v>0.1542075548</v>
      </c>
      <c r="C187" s="4">
        <f>IFERROR(__xludf.DUMMYFUNCTION("""COMPUTED_VALUE"""),0.505417279109255)</f>
        <v>0.5054172791</v>
      </c>
      <c r="D187" s="15">
        <v>372.0</v>
      </c>
      <c r="E187" s="4"/>
      <c r="F187" s="4"/>
      <c r="G187" s="4"/>
      <c r="H187" s="4"/>
      <c r="I187" s="4"/>
      <c r="J187" s="4"/>
      <c r="K187" s="14" t="s">
        <v>713</v>
      </c>
      <c r="L187" s="17">
        <f>IFERROR(__xludf.DUMMYFUNCTION("SPLIT(K:K, "" "")"),0.130480019797224)</f>
        <v>0.1304800198</v>
      </c>
      <c r="M187" s="4">
        <f>IFERROR(__xludf.DUMMYFUNCTION("""COMPUTED_VALUE"""),0.37387978247393)</f>
        <v>0.3738797825</v>
      </c>
      <c r="N187" s="15">
        <v>738.0</v>
      </c>
      <c r="O187" s="4"/>
      <c r="P187" s="14" t="s">
        <v>714</v>
      </c>
      <c r="Q187" s="4">
        <f>IFERROR(__xludf.DUMMYFUNCTION("SPLIT(P:P, "" "")"),0.189752496183327)</f>
        <v>0.1897524962</v>
      </c>
      <c r="R187" s="4">
        <f>IFERROR(__xludf.DUMMYFUNCTION("""COMPUTED_VALUE"""),0.380342054047955)</f>
        <v>0.380342054</v>
      </c>
      <c r="S187" s="15">
        <v>1480.0</v>
      </c>
      <c r="T187" s="4"/>
      <c r="U187" s="4"/>
    </row>
    <row r="188">
      <c r="A188" s="14" t="s">
        <v>715</v>
      </c>
      <c r="B188" s="17">
        <f>IFERROR(__xludf.DUMMYFUNCTION("SPLIT(E, "" "")"),0.151664693478124)</f>
        <v>0.1516646935</v>
      </c>
      <c r="C188" s="4">
        <f>IFERROR(__xludf.DUMMYFUNCTION("""COMPUTED_VALUE"""),0.49908504893089)</f>
        <v>0.4990850489</v>
      </c>
      <c r="D188" s="15">
        <v>374.0</v>
      </c>
      <c r="E188" s="4"/>
      <c r="F188" s="4"/>
      <c r="G188" s="4"/>
      <c r="H188" s="4"/>
      <c r="I188" s="4"/>
      <c r="J188" s="4"/>
      <c r="K188" s="14" t="s">
        <v>716</v>
      </c>
      <c r="L188" s="17">
        <f>IFERROR(__xludf.DUMMYFUNCTION("SPLIT(K:K, "" "")"),0.131966009633309)</f>
        <v>0.1319660096</v>
      </c>
      <c r="M188" s="4">
        <f>IFERROR(__xludf.DUMMYFUNCTION("""COMPUTED_VALUE"""),0.381614668016074)</f>
        <v>0.381614668</v>
      </c>
      <c r="N188" s="15">
        <v>742.0</v>
      </c>
      <c r="O188" s="4"/>
      <c r="P188" s="14" t="s">
        <v>717</v>
      </c>
      <c r="Q188" s="4">
        <f>IFERROR(__xludf.DUMMYFUNCTION("SPLIT(P:P, "" "")"),0.189374843738458)</f>
        <v>0.1893748437</v>
      </c>
      <c r="R188" s="4">
        <f>IFERROR(__xludf.DUMMYFUNCTION("""COMPUTED_VALUE"""),0.387792558928948)</f>
        <v>0.3877925589</v>
      </c>
      <c r="S188" s="15">
        <v>1488.0</v>
      </c>
      <c r="T188" s="4"/>
      <c r="U188" s="4"/>
    </row>
    <row r="189">
      <c r="A189" s="14" t="s">
        <v>718</v>
      </c>
      <c r="B189" s="17">
        <f>IFERROR(__xludf.DUMMYFUNCTION("SPLIT(E, "" "")"),0.149067053035246)</f>
        <v>0.149067053</v>
      </c>
      <c r="C189" s="4">
        <f>IFERROR(__xludf.DUMMYFUNCTION("""COMPUTED_VALUE"""),0.509099574392737)</f>
        <v>0.5090995744</v>
      </c>
      <c r="D189" s="15">
        <v>376.0</v>
      </c>
      <c r="E189" s="4"/>
      <c r="F189" s="4"/>
      <c r="G189" s="4"/>
      <c r="H189" s="4"/>
      <c r="I189" s="4"/>
      <c r="J189" s="4"/>
      <c r="K189" s="14" t="s">
        <v>719</v>
      </c>
      <c r="L189" s="17">
        <f>IFERROR(__xludf.DUMMYFUNCTION("SPLIT(K:K, "" "")"),0.128128870984115)</f>
        <v>0.128128871</v>
      </c>
      <c r="M189" s="4">
        <f>IFERROR(__xludf.DUMMYFUNCTION("""COMPUTED_VALUE"""),0.3827049242635)</f>
        <v>0.3827049243</v>
      </c>
      <c r="N189" s="15">
        <v>746.0</v>
      </c>
      <c r="O189" s="4"/>
      <c r="P189" s="14" t="s">
        <v>720</v>
      </c>
      <c r="Q189" s="4">
        <f>IFERROR(__xludf.DUMMYFUNCTION("SPLIT(P:P, "" "")"),0.188270246734274)</f>
        <v>0.1882702467</v>
      </c>
      <c r="R189" s="4">
        <f>IFERROR(__xludf.DUMMYFUNCTION("""COMPUTED_VALUE"""),0.376162930531294)</f>
        <v>0.3761629305</v>
      </c>
      <c r="S189" s="15">
        <v>1496.0</v>
      </c>
      <c r="T189" s="4"/>
      <c r="U189" s="4"/>
    </row>
    <row r="190">
      <c r="A190" s="14" t="s">
        <v>721</v>
      </c>
      <c r="B190" s="17">
        <f>IFERROR(__xludf.DUMMYFUNCTION("SPLIT(E, "" "")"),0.154389695319613)</f>
        <v>0.1543896953</v>
      </c>
      <c r="C190" s="4">
        <f>IFERROR(__xludf.DUMMYFUNCTION("""COMPUTED_VALUE"""),0.509337530385753)</f>
        <v>0.5093375304</v>
      </c>
      <c r="D190" s="15">
        <v>378.0</v>
      </c>
      <c r="E190" s="4"/>
      <c r="F190" s="4"/>
      <c r="G190" s="4"/>
      <c r="H190" s="4"/>
      <c r="I190" s="4"/>
      <c r="J190" s="4"/>
      <c r="K190" s="14" t="s">
        <v>722</v>
      </c>
      <c r="L190" s="17">
        <f>IFERROR(__xludf.DUMMYFUNCTION("SPLIT(K:K, "" "")"),0.129628977696841)</f>
        <v>0.1296289777</v>
      </c>
      <c r="M190" s="4">
        <f>IFERROR(__xludf.DUMMYFUNCTION("""COMPUTED_VALUE"""),0.376268225483156)</f>
        <v>0.3762682255</v>
      </c>
      <c r="N190" s="15">
        <v>750.0</v>
      </c>
      <c r="O190" s="4"/>
      <c r="P190" s="14" t="s">
        <v>723</v>
      </c>
      <c r="Q190" s="4">
        <f>IFERROR(__xludf.DUMMYFUNCTION("SPLIT(P:P, "" "")"),0.18882631269963)</f>
        <v>0.1888263127</v>
      </c>
      <c r="R190" s="4">
        <f>IFERROR(__xludf.DUMMYFUNCTION("""COMPUTED_VALUE"""),0.379293431632174)</f>
        <v>0.3792934316</v>
      </c>
      <c r="S190" s="15">
        <v>1504.0</v>
      </c>
      <c r="T190" s="4"/>
      <c r="U190" s="4"/>
    </row>
    <row r="191">
      <c r="A191" s="14" t="s">
        <v>724</v>
      </c>
      <c r="B191" s="17">
        <f>IFERROR(__xludf.DUMMYFUNCTION("SPLIT(E, "" "")"),0.150925512492092)</f>
        <v>0.1509255125</v>
      </c>
      <c r="C191" s="4">
        <f>IFERROR(__xludf.DUMMYFUNCTION("""COMPUTED_VALUE"""),0.504337364725637)</f>
        <v>0.5043373647</v>
      </c>
      <c r="D191" s="15">
        <v>380.0</v>
      </c>
      <c r="E191" s="4"/>
      <c r="F191" s="4"/>
      <c r="G191" s="4"/>
      <c r="H191" s="4"/>
      <c r="I191" s="4"/>
      <c r="J191" s="4"/>
      <c r="K191" s="14" t="s">
        <v>725</v>
      </c>
      <c r="L191" s="17">
        <f>IFERROR(__xludf.DUMMYFUNCTION("SPLIT(K:K, "" "")"),0.12992973457441)</f>
        <v>0.1299297346</v>
      </c>
      <c r="M191" s="4">
        <f>IFERROR(__xludf.DUMMYFUNCTION("""COMPUTED_VALUE"""),0.374678068553031)</f>
        <v>0.3746780686</v>
      </c>
      <c r="N191" s="15">
        <v>754.0</v>
      </c>
      <c r="O191" s="4"/>
      <c r="P191" s="14" t="s">
        <v>726</v>
      </c>
      <c r="Q191" s="4">
        <f>IFERROR(__xludf.DUMMYFUNCTION("SPLIT(P:P, "" "")"),0.194284672254568)</f>
        <v>0.1942846723</v>
      </c>
      <c r="R191" s="4">
        <f>IFERROR(__xludf.DUMMYFUNCTION("""COMPUTED_VALUE"""),0.391244628265778)</f>
        <v>0.3912446283</v>
      </c>
      <c r="S191" s="15">
        <v>1512.0</v>
      </c>
      <c r="T191" s="4"/>
      <c r="U191" s="4"/>
    </row>
    <row r="192">
      <c r="A192" s="14" t="s">
        <v>727</v>
      </c>
      <c r="B192" s="17">
        <f>IFERROR(__xludf.DUMMYFUNCTION("SPLIT(E, "" "")"),0.153578365571351)</f>
        <v>0.1535783656</v>
      </c>
      <c r="C192" s="4">
        <f>IFERROR(__xludf.DUMMYFUNCTION("""COMPUTED_VALUE"""),0.51158584208468)</f>
        <v>0.5115858421</v>
      </c>
      <c r="D192" s="15">
        <v>382.0</v>
      </c>
      <c r="E192" s="4"/>
      <c r="F192" s="4"/>
      <c r="G192" s="4"/>
      <c r="H192" s="4"/>
      <c r="I192" s="4"/>
      <c r="J192" s="4"/>
      <c r="K192" s="14" t="s">
        <v>728</v>
      </c>
      <c r="L192" s="17">
        <f>IFERROR(__xludf.DUMMYFUNCTION("SPLIT(K:K, "" "")"),0.131455396883569)</f>
        <v>0.1314553969</v>
      </c>
      <c r="M192" s="4">
        <f>IFERROR(__xludf.DUMMYFUNCTION("""COMPUTED_VALUE"""),0.384166878230001)</f>
        <v>0.3841668782</v>
      </c>
      <c r="N192" s="15">
        <v>758.0</v>
      </c>
      <c r="O192" s="4"/>
      <c r="P192" s="14" t="s">
        <v>729</v>
      </c>
      <c r="Q192" s="4">
        <f>IFERROR(__xludf.DUMMYFUNCTION("SPLIT(P:P, "" "")"),0.187067183601073)</f>
        <v>0.1870671836</v>
      </c>
      <c r="R192" s="4">
        <f>IFERROR(__xludf.DUMMYFUNCTION("""COMPUTED_VALUE"""),0.380267585044153)</f>
        <v>0.380267585</v>
      </c>
      <c r="S192" s="15">
        <v>1520.0</v>
      </c>
      <c r="T192" s="4"/>
      <c r="U192" s="4"/>
    </row>
    <row r="193">
      <c r="A193" s="14" t="s">
        <v>730</v>
      </c>
      <c r="B193" s="17">
        <f>IFERROR(__xludf.DUMMYFUNCTION("SPLIT(E, "" "")"),0.149623651730956)</f>
        <v>0.1496236517</v>
      </c>
      <c r="C193" s="4">
        <f>IFERROR(__xludf.DUMMYFUNCTION("""COMPUTED_VALUE"""),0.516854363470871)</f>
        <v>0.5168543635</v>
      </c>
      <c r="D193" s="15">
        <v>384.0</v>
      </c>
      <c r="E193" s="4"/>
      <c r="F193" s="4"/>
      <c r="G193" s="4"/>
      <c r="H193" s="4"/>
      <c r="I193" s="4"/>
      <c r="J193" s="4"/>
      <c r="K193" s="14" t="s">
        <v>731</v>
      </c>
      <c r="L193" s="17">
        <f>IFERROR(__xludf.DUMMYFUNCTION("SPLIT(K:K, "" "")"),0.129018129967371)</f>
        <v>0.12901813</v>
      </c>
      <c r="M193" s="4">
        <f>IFERROR(__xludf.DUMMYFUNCTION("""COMPUTED_VALUE"""),0.38105252767738)</f>
        <v>0.3810525277</v>
      </c>
      <c r="N193" s="15">
        <v>762.0</v>
      </c>
      <c r="O193" s="4"/>
      <c r="P193" s="14" t="s">
        <v>732</v>
      </c>
      <c r="Q193" s="4">
        <f>IFERROR(__xludf.DUMMYFUNCTION("SPLIT(P:P, "" "")"),0.188152741898775)</f>
        <v>0.1881527419</v>
      </c>
      <c r="R193" s="4">
        <f>IFERROR(__xludf.DUMMYFUNCTION("""COMPUTED_VALUE"""),0.37898841733318)</f>
        <v>0.3789884173</v>
      </c>
      <c r="S193" s="15">
        <v>1528.0</v>
      </c>
      <c r="T193" s="4"/>
      <c r="U193" s="4"/>
    </row>
    <row r="194">
      <c r="A194" s="14" t="s">
        <v>733</v>
      </c>
      <c r="B194" s="17">
        <f>IFERROR(__xludf.DUMMYFUNCTION("SPLIT(E, "" "")"),0.150225550581846)</f>
        <v>0.1502255506</v>
      </c>
      <c r="C194" s="4">
        <f>IFERROR(__xludf.DUMMYFUNCTION("""COMPUTED_VALUE"""),0.516763283771357)</f>
        <v>0.5167632838</v>
      </c>
      <c r="D194" s="15">
        <v>386.0</v>
      </c>
      <c r="E194" s="4"/>
      <c r="F194" s="4"/>
      <c r="G194" s="4"/>
      <c r="H194" s="4"/>
      <c r="I194" s="4"/>
      <c r="J194" s="4"/>
      <c r="K194" s="14" t="s">
        <v>734</v>
      </c>
      <c r="L194" s="17">
        <f>IFERROR(__xludf.DUMMYFUNCTION("SPLIT(K:K, "" "")"),0.128278917183171)</f>
        <v>0.1282789172</v>
      </c>
      <c r="M194" s="4">
        <f>IFERROR(__xludf.DUMMYFUNCTION("""COMPUTED_VALUE"""),0.376211913629468)</f>
        <v>0.3762119136</v>
      </c>
      <c r="N194" s="15">
        <v>766.0</v>
      </c>
      <c r="O194" s="4"/>
      <c r="P194" s="14" t="s">
        <v>735</v>
      </c>
      <c r="Q194" s="4">
        <f>IFERROR(__xludf.DUMMYFUNCTION("SPLIT(P:P, "" "")"),0.18966191108781)</f>
        <v>0.1896619111</v>
      </c>
      <c r="R194" s="4">
        <f>IFERROR(__xludf.DUMMYFUNCTION("""COMPUTED_VALUE"""),0.387846527118053)</f>
        <v>0.3878465271</v>
      </c>
      <c r="S194" s="15">
        <v>1536.0</v>
      </c>
      <c r="T194" s="4"/>
      <c r="U194" s="4"/>
    </row>
    <row r="195">
      <c r="A195" s="14" t="s">
        <v>736</v>
      </c>
      <c r="B195" s="17">
        <f>IFERROR(__xludf.DUMMYFUNCTION("SPLIT(E, "" "")"),0.149811674356043)</f>
        <v>0.1498116744</v>
      </c>
      <c r="C195" s="4">
        <f>IFERROR(__xludf.DUMMYFUNCTION("""COMPUTED_VALUE"""),0.503828044228242)</f>
        <v>0.5038280442</v>
      </c>
      <c r="D195" s="15">
        <v>388.0</v>
      </c>
      <c r="E195" s="4"/>
      <c r="F195" s="4"/>
      <c r="G195" s="4"/>
      <c r="H195" s="4"/>
      <c r="I195" s="4"/>
      <c r="J195" s="4"/>
      <c r="K195" s="14" t="s">
        <v>737</v>
      </c>
      <c r="L195" s="17">
        <f>IFERROR(__xludf.DUMMYFUNCTION("SPLIT(K:K, "" "")"),0.130223226752575)</f>
        <v>0.1302232268</v>
      </c>
      <c r="M195" s="4">
        <f>IFERROR(__xludf.DUMMYFUNCTION("""COMPUTED_VALUE"""),0.378769360474845)</f>
        <v>0.3787693605</v>
      </c>
      <c r="N195" s="15">
        <v>770.0</v>
      </c>
      <c r="O195" s="4"/>
      <c r="P195" s="14" t="s">
        <v>738</v>
      </c>
      <c r="Q195" s="4">
        <f>IFERROR(__xludf.DUMMYFUNCTION("SPLIT(P:P, "" "")"),0.191631912882543)</f>
        <v>0.1916319129</v>
      </c>
      <c r="R195" s="4">
        <f>IFERROR(__xludf.DUMMYFUNCTION("""COMPUTED_VALUE"""),0.396472172735521)</f>
        <v>0.3964721727</v>
      </c>
      <c r="S195" s="15">
        <v>1544.0</v>
      </c>
      <c r="T195" s="4"/>
      <c r="U195" s="4"/>
    </row>
    <row r="196">
      <c r="A196" s="14" t="s">
        <v>739</v>
      </c>
      <c r="B196" s="17">
        <f>IFERROR(__xludf.DUMMYFUNCTION("SPLIT(E, "" "")"),0.150425081135191)</f>
        <v>0.1504250811</v>
      </c>
      <c r="C196" s="4">
        <f>IFERROR(__xludf.DUMMYFUNCTION("""COMPUTED_VALUE"""),0.509612202520763)</f>
        <v>0.5096122025</v>
      </c>
      <c r="D196" s="15">
        <v>390.0</v>
      </c>
      <c r="E196" s="4"/>
      <c r="F196" s="4"/>
      <c r="G196" s="4"/>
      <c r="H196" s="4"/>
      <c r="I196" s="4"/>
      <c r="J196" s="4"/>
      <c r="K196" s="14" t="s">
        <v>740</v>
      </c>
      <c r="L196" s="17">
        <f>IFERROR(__xludf.DUMMYFUNCTION("SPLIT(K:K, "" "")"),0.130517014355409)</f>
        <v>0.1305170144</v>
      </c>
      <c r="M196" s="4">
        <f>IFERROR(__xludf.DUMMYFUNCTION("""COMPUTED_VALUE"""),0.378287524073381)</f>
        <v>0.3782875241</v>
      </c>
      <c r="N196" s="15">
        <v>774.0</v>
      </c>
      <c r="O196" s="4"/>
      <c r="P196" s="14" t="s">
        <v>741</v>
      </c>
      <c r="Q196" s="4">
        <f>IFERROR(__xludf.DUMMYFUNCTION("SPLIT(P:P, "" "")"),0.192024291131169)</f>
        <v>0.1920242911</v>
      </c>
      <c r="R196" s="4">
        <f>IFERROR(__xludf.DUMMYFUNCTION("""COMPUTED_VALUE"""),0.390266050866675)</f>
        <v>0.3902660509</v>
      </c>
      <c r="S196" s="15">
        <v>1552.0</v>
      </c>
      <c r="T196" s="4"/>
      <c r="U196" s="4"/>
    </row>
    <row r="197">
      <c r="A197" s="14" t="s">
        <v>742</v>
      </c>
      <c r="B197" s="17">
        <f>IFERROR(__xludf.DUMMYFUNCTION("SPLIT(E, "" "")"),0.154948479583387)</f>
        <v>0.1549484796</v>
      </c>
      <c r="C197" s="4">
        <f>IFERROR(__xludf.DUMMYFUNCTION("""COMPUTED_VALUE"""),0.51536859050502)</f>
        <v>0.5153685905</v>
      </c>
      <c r="D197" s="15">
        <v>392.0</v>
      </c>
      <c r="E197" s="4"/>
      <c r="F197" s="4"/>
      <c r="G197" s="4"/>
      <c r="H197" s="4"/>
      <c r="I197" s="4"/>
      <c r="J197" s="4"/>
      <c r="K197" s="14" t="s">
        <v>743</v>
      </c>
      <c r="L197" s="17">
        <f>IFERROR(__xludf.DUMMYFUNCTION("SPLIT(K:K, "" "")"),0.130775798608307)</f>
        <v>0.1307757986</v>
      </c>
      <c r="M197" s="4">
        <f>IFERROR(__xludf.DUMMYFUNCTION("""COMPUTED_VALUE"""),0.395037471671495)</f>
        <v>0.3950374717</v>
      </c>
      <c r="N197" s="15">
        <v>778.0</v>
      </c>
      <c r="O197" s="4"/>
      <c r="P197" s="14" t="s">
        <v>744</v>
      </c>
      <c r="Q197" s="4">
        <f>IFERROR(__xludf.DUMMYFUNCTION("SPLIT(P:P, "" "")"),0.198013571472723)</f>
        <v>0.1980135715</v>
      </c>
      <c r="R197" s="4">
        <f>IFERROR(__xludf.DUMMYFUNCTION("""COMPUTED_VALUE"""),0.407828410687331)</f>
        <v>0.4078284107</v>
      </c>
      <c r="S197" s="15">
        <v>1560.0</v>
      </c>
      <c r="T197" s="4"/>
      <c r="U197" s="4"/>
    </row>
    <row r="198">
      <c r="A198" s="14" t="s">
        <v>745</v>
      </c>
      <c r="B198" s="17">
        <f>IFERROR(__xludf.DUMMYFUNCTION("SPLIT(E, "" "")"),0.151090564028392)</f>
        <v>0.151090564</v>
      </c>
      <c r="C198" s="4">
        <f>IFERROR(__xludf.DUMMYFUNCTION("""COMPUTED_VALUE"""),0.509368867240158)</f>
        <v>0.5093688672</v>
      </c>
      <c r="D198" s="15">
        <v>394.0</v>
      </c>
      <c r="E198" s="4"/>
      <c r="F198" s="4"/>
      <c r="G198" s="4"/>
      <c r="H198" s="4"/>
      <c r="I198" s="4"/>
      <c r="J198" s="4"/>
      <c r="K198" s="14" t="s">
        <v>746</v>
      </c>
      <c r="L198" s="17">
        <f>IFERROR(__xludf.DUMMYFUNCTION("SPLIT(K:K, "" "")"),0.127876880264093)</f>
        <v>0.1278768803</v>
      </c>
      <c r="M198" s="4">
        <f>IFERROR(__xludf.DUMMYFUNCTION("""COMPUTED_VALUE"""),0.373794966788843)</f>
        <v>0.3737949668</v>
      </c>
      <c r="N198" s="15">
        <v>782.0</v>
      </c>
      <c r="O198" s="4"/>
      <c r="P198" s="14" t="s">
        <v>747</v>
      </c>
      <c r="Q198" s="4">
        <f>IFERROR(__xludf.DUMMYFUNCTION("SPLIT(P:P, "" "")"),0.189212287948301)</f>
        <v>0.1892122879</v>
      </c>
      <c r="R198" s="4">
        <f>IFERROR(__xludf.DUMMYFUNCTION("""COMPUTED_VALUE"""),0.389027400782778)</f>
        <v>0.3890274008</v>
      </c>
      <c r="S198" s="15">
        <v>1568.0</v>
      </c>
      <c r="T198" s="4"/>
      <c r="U198" s="4"/>
    </row>
    <row r="199">
      <c r="A199" s="14" t="s">
        <v>748</v>
      </c>
      <c r="B199" s="17">
        <f>IFERROR(__xludf.DUMMYFUNCTION("SPLIT(E, "" "")"),0.147782259591557)</f>
        <v>0.1477822596</v>
      </c>
      <c r="C199" s="4">
        <f>IFERROR(__xludf.DUMMYFUNCTION("""COMPUTED_VALUE"""),0.51172304060569)</f>
        <v>0.5117230406</v>
      </c>
      <c r="D199" s="15">
        <v>396.0</v>
      </c>
      <c r="E199" s="4"/>
      <c r="F199" s="4"/>
      <c r="G199" s="4"/>
      <c r="H199" s="4"/>
      <c r="I199" s="4"/>
      <c r="J199" s="4"/>
      <c r="K199" s="14" t="s">
        <v>749</v>
      </c>
      <c r="L199" s="17">
        <f>IFERROR(__xludf.DUMMYFUNCTION("SPLIT(K:K, "" "")"),0.128479868944724)</f>
        <v>0.1284798689</v>
      </c>
      <c r="M199" s="4">
        <f>IFERROR(__xludf.DUMMYFUNCTION("""COMPUTED_VALUE"""),0.380893843347002)</f>
        <v>0.3808938433</v>
      </c>
      <c r="N199" s="15">
        <v>786.0</v>
      </c>
      <c r="O199" s="4"/>
      <c r="P199" s="14" t="s">
        <v>750</v>
      </c>
      <c r="Q199" s="4">
        <f>IFERROR(__xludf.DUMMYFUNCTION("SPLIT(P:P, "" "")"),0.189087449990399)</f>
        <v>0.18908745</v>
      </c>
      <c r="R199" s="4">
        <f>IFERROR(__xludf.DUMMYFUNCTION("""COMPUTED_VALUE"""),0.391591425469877)</f>
        <v>0.3915914255</v>
      </c>
      <c r="S199" s="15">
        <v>1576.0</v>
      </c>
      <c r="T199" s="4"/>
      <c r="U199" s="4"/>
    </row>
    <row r="200">
      <c r="A200" s="14" t="s">
        <v>751</v>
      </c>
      <c r="B200" s="17">
        <f>IFERROR(__xludf.DUMMYFUNCTION("SPLIT(E, "" "")"),0.149413682304888)</f>
        <v>0.1494136823</v>
      </c>
      <c r="C200" s="4">
        <f>IFERROR(__xludf.DUMMYFUNCTION("""COMPUTED_VALUE"""),0.510032313154751)</f>
        <v>0.5100323132</v>
      </c>
      <c r="D200" s="15">
        <v>398.0</v>
      </c>
      <c r="E200" s="4"/>
      <c r="F200" s="4"/>
      <c r="G200" s="4"/>
      <c r="H200" s="4"/>
      <c r="I200" s="4"/>
      <c r="J200" s="4"/>
      <c r="K200" s="14" t="s">
        <v>752</v>
      </c>
      <c r="L200" s="17">
        <f>IFERROR(__xludf.DUMMYFUNCTION("SPLIT(K:K, "" "")"),0.128056975036843)</f>
        <v>0.128056975</v>
      </c>
      <c r="M200" s="4">
        <f>IFERROR(__xludf.DUMMYFUNCTION("""COMPUTED_VALUE"""),0.384428825379598)</f>
        <v>0.3844288254</v>
      </c>
      <c r="N200" s="15">
        <v>790.0</v>
      </c>
      <c r="O200" s="4"/>
      <c r="P200" s="14" t="s">
        <v>753</v>
      </c>
      <c r="Q200" s="4">
        <f>IFERROR(__xludf.DUMMYFUNCTION("SPLIT(P:P, "" "")"),0.187815704098893)</f>
        <v>0.1878157041</v>
      </c>
      <c r="R200" s="4">
        <f>IFERROR(__xludf.DUMMYFUNCTION("""COMPUTED_VALUE"""),0.39399415972094)</f>
        <v>0.3939941597</v>
      </c>
      <c r="S200" s="15">
        <v>1584.0</v>
      </c>
      <c r="T200" s="4"/>
      <c r="U200" s="4"/>
    </row>
    <row r="201">
      <c r="A201" s="14" t="s">
        <v>754</v>
      </c>
      <c r="B201" s="17">
        <f>IFERROR(__xludf.DUMMYFUNCTION("SPLIT(E, "" "")"),0.147799802880981)</f>
        <v>0.1477998029</v>
      </c>
      <c r="C201" s="4">
        <f>IFERROR(__xludf.DUMMYFUNCTION("""COMPUTED_VALUE"""),0.519497841756732)</f>
        <v>0.5194978418</v>
      </c>
      <c r="D201" s="15">
        <v>400.0</v>
      </c>
      <c r="E201" s="4"/>
      <c r="F201" s="4"/>
      <c r="G201" s="4"/>
      <c r="H201" s="4"/>
      <c r="I201" s="4"/>
      <c r="J201" s="4"/>
      <c r="K201" s="14" t="s">
        <v>755</v>
      </c>
      <c r="L201" s="17">
        <f>IFERROR(__xludf.DUMMYFUNCTION("SPLIT(K:K, "" "")"),0.12870464803193)</f>
        <v>0.128704648</v>
      </c>
      <c r="M201" s="4">
        <f>IFERROR(__xludf.DUMMYFUNCTION("""COMPUTED_VALUE"""),0.381983912637452)</f>
        <v>0.3819839126</v>
      </c>
      <c r="N201" s="15">
        <v>794.0</v>
      </c>
      <c r="O201" s="4"/>
      <c r="P201" s="14" t="s">
        <v>756</v>
      </c>
      <c r="Q201" s="4">
        <f>IFERROR(__xludf.DUMMYFUNCTION("SPLIT(P:P, "" "")"),0.18874076350777)</f>
        <v>0.1887407635</v>
      </c>
      <c r="R201" s="4">
        <f>IFERROR(__xludf.DUMMYFUNCTION("""COMPUTED_VALUE"""),0.398050399657144)</f>
        <v>0.3980503997</v>
      </c>
      <c r="S201" s="15">
        <v>1592.0</v>
      </c>
      <c r="T201" s="4"/>
      <c r="U201" s="4"/>
    </row>
    <row r="202">
      <c r="A202" s="24" t="s">
        <v>757</v>
      </c>
      <c r="B202" s="25">
        <f>IFERROR(__xludf.DUMMYFUNCTION("SPLIT(E, "" "")"),0.145255424122417)</f>
        <v>0.1452554241</v>
      </c>
      <c r="C202" s="26">
        <f>IFERROR(__xludf.DUMMYFUNCTION("""COMPUTED_VALUE"""),0.5117992767624)</f>
        <v>0.5117992768</v>
      </c>
      <c r="D202" s="27">
        <v>402.0</v>
      </c>
      <c r="E202" s="4"/>
      <c r="F202" s="4"/>
      <c r="G202" s="4"/>
      <c r="H202" s="4"/>
      <c r="I202" s="4"/>
      <c r="J202" s="4"/>
      <c r="K202" s="14" t="s">
        <v>758</v>
      </c>
      <c r="L202" s="17">
        <f>IFERROR(__xludf.DUMMYFUNCTION("SPLIT(K:K, "" "")"),0.127536109001162)</f>
        <v>0.127536109</v>
      </c>
      <c r="M202" s="4">
        <f>IFERROR(__xludf.DUMMYFUNCTION("""COMPUTED_VALUE"""),0.384156958912004)</f>
        <v>0.3841569589</v>
      </c>
      <c r="N202" s="15">
        <v>798.0</v>
      </c>
      <c r="O202" s="4"/>
      <c r="P202" s="14" t="s">
        <v>759</v>
      </c>
      <c r="Q202" s="4">
        <f>IFERROR(__xludf.DUMMYFUNCTION("SPLIT(P:P, "" "")"),0.188327813737413)</f>
        <v>0.1883278137</v>
      </c>
      <c r="R202" s="4">
        <f>IFERROR(__xludf.DUMMYFUNCTION("""COMPUTED_VALUE"""),0.390454074934267)</f>
        <v>0.3904540749</v>
      </c>
      <c r="S202" s="15">
        <v>1600.0</v>
      </c>
      <c r="T202" s="4"/>
      <c r="U202" s="4"/>
    </row>
    <row r="203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14" t="s">
        <v>760</v>
      </c>
      <c r="L203" s="17">
        <f>IFERROR(__xludf.DUMMYFUNCTION("SPLIT(K:K, "" "")"),0.12829332468568)</f>
        <v>0.1282933247</v>
      </c>
      <c r="M203" s="4">
        <f>IFERROR(__xludf.DUMMYFUNCTION("""COMPUTED_VALUE"""),0.377802538663923)</f>
        <v>0.3778025387</v>
      </c>
      <c r="N203" s="15">
        <v>802.0</v>
      </c>
      <c r="O203" s="4"/>
      <c r="P203" s="14" t="s">
        <v>761</v>
      </c>
      <c r="Q203" s="4">
        <f>IFERROR(__xludf.DUMMYFUNCTION("SPLIT(P:P, "" "")"),0.190517078528974)</f>
        <v>0.1905170785</v>
      </c>
      <c r="R203" s="4">
        <f>IFERROR(__xludf.DUMMYFUNCTION("""COMPUTED_VALUE"""),0.393945300281342)</f>
        <v>0.3939453003</v>
      </c>
      <c r="S203" s="15">
        <v>1608.0</v>
      </c>
      <c r="T203" s="4"/>
      <c r="U203" s="4"/>
    </row>
    <row r="204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14" t="s">
        <v>762</v>
      </c>
      <c r="L204" s="17">
        <f>IFERROR(__xludf.DUMMYFUNCTION("SPLIT(K:K, "" "")"),0.126724318937055)</f>
        <v>0.1267243189</v>
      </c>
      <c r="M204" s="4">
        <f>IFERROR(__xludf.DUMMYFUNCTION("""COMPUTED_VALUE"""),0.379798295744957)</f>
        <v>0.3797982957</v>
      </c>
      <c r="N204" s="15">
        <v>806.0</v>
      </c>
      <c r="O204" s="4"/>
      <c r="P204" s="14" t="s">
        <v>763</v>
      </c>
      <c r="Q204" s="4">
        <f>IFERROR(__xludf.DUMMYFUNCTION("SPLIT(P:P, "" "")"),0.189275982907262)</f>
        <v>0.1892759829</v>
      </c>
      <c r="R204" s="4">
        <f>IFERROR(__xludf.DUMMYFUNCTION("""COMPUTED_VALUE"""),0.392076891870993)</f>
        <v>0.3920768919</v>
      </c>
      <c r="S204" s="15">
        <v>1616.0</v>
      </c>
      <c r="T204" s="4"/>
      <c r="U204" s="4"/>
    </row>
    <row r="205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14" t="s">
        <v>764</v>
      </c>
      <c r="L205" s="17">
        <f>IFERROR(__xludf.DUMMYFUNCTION("SPLIT(K:K, "" "")"),0.12568667830966)</f>
        <v>0.1256866783</v>
      </c>
      <c r="M205" s="4">
        <f>IFERROR(__xludf.DUMMYFUNCTION("""COMPUTED_VALUE"""),0.385636760087954)</f>
        <v>0.3856367601</v>
      </c>
      <c r="N205" s="15">
        <v>810.0</v>
      </c>
      <c r="O205" s="4"/>
      <c r="P205" s="14" t="s">
        <v>765</v>
      </c>
      <c r="Q205" s="4">
        <f>IFERROR(__xludf.DUMMYFUNCTION("SPLIT(P:P, "" "")"),0.189118736176762)</f>
        <v>0.1891187362</v>
      </c>
      <c r="R205" s="4">
        <f>IFERROR(__xludf.DUMMYFUNCTION("""COMPUTED_VALUE"""),0.404910739641208)</f>
        <v>0.4049107396</v>
      </c>
      <c r="S205" s="15">
        <v>1624.0</v>
      </c>
      <c r="T205" s="4"/>
      <c r="U205" s="4"/>
    </row>
    <row r="206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14" t="s">
        <v>766</v>
      </c>
      <c r="L206" s="17">
        <f>IFERROR(__xludf.DUMMYFUNCTION("SPLIT(K:K, "" "")"),0.125965609085765)</f>
        <v>0.1259656091</v>
      </c>
      <c r="M206" s="4">
        <f>IFERROR(__xludf.DUMMYFUNCTION("""COMPUTED_VALUE"""),0.381803696547828)</f>
        <v>0.3818036965</v>
      </c>
      <c r="N206" s="15">
        <v>814.0</v>
      </c>
      <c r="O206" s="4"/>
      <c r="P206" s="14" t="s">
        <v>767</v>
      </c>
      <c r="Q206" s="4">
        <f>IFERROR(__xludf.DUMMYFUNCTION("SPLIT(P:P, "" "")"),0.186689005859648)</f>
        <v>0.1866890059</v>
      </c>
      <c r="R206" s="4">
        <f>IFERROR(__xludf.DUMMYFUNCTION("""COMPUTED_VALUE"""),0.393839582304493)</f>
        <v>0.3938395823</v>
      </c>
      <c r="S206" s="15">
        <v>1632.0</v>
      </c>
      <c r="T206" s="4"/>
      <c r="U206" s="4"/>
    </row>
    <row r="207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14" t="s">
        <v>768</v>
      </c>
      <c r="L207" s="17">
        <f>IFERROR(__xludf.DUMMYFUNCTION("SPLIT(K:K, "" "")"),0.125167762946943)</f>
        <v>0.1251677629</v>
      </c>
      <c r="M207" s="4">
        <f>IFERROR(__xludf.DUMMYFUNCTION("""COMPUTED_VALUE"""),0.380594908256709)</f>
        <v>0.3805949083</v>
      </c>
      <c r="N207" s="15">
        <v>818.0</v>
      </c>
      <c r="O207" s="4"/>
      <c r="P207" s="14" t="s">
        <v>769</v>
      </c>
      <c r="Q207" s="4">
        <f>IFERROR(__xludf.DUMMYFUNCTION("SPLIT(P:P, "" "")"),0.187641213784732)</f>
        <v>0.1876412138</v>
      </c>
      <c r="R207" s="4">
        <f>IFERROR(__xludf.DUMMYFUNCTION("""COMPUTED_VALUE"""),0.381224482720066)</f>
        <v>0.3812244827</v>
      </c>
      <c r="S207" s="15">
        <v>1640.0</v>
      </c>
      <c r="T207" s="4"/>
      <c r="U207" s="4"/>
    </row>
    <row r="208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14" t="s">
        <v>770</v>
      </c>
      <c r="L208" s="17">
        <f>IFERROR(__xludf.DUMMYFUNCTION("SPLIT(K:K, "" "")"),0.127217034807192)</f>
        <v>0.1272170348</v>
      </c>
      <c r="M208" s="4">
        <f>IFERROR(__xludf.DUMMYFUNCTION("""COMPUTED_VALUE"""),0.388225417365169)</f>
        <v>0.3882254174</v>
      </c>
      <c r="N208" s="15">
        <v>822.0</v>
      </c>
      <c r="O208" s="4"/>
      <c r="P208" s="14" t="s">
        <v>771</v>
      </c>
      <c r="Q208" s="4">
        <f>IFERROR(__xludf.DUMMYFUNCTION("SPLIT(P:P, "" "")"),0.189453245463256)</f>
        <v>0.1894532455</v>
      </c>
      <c r="R208" s="4">
        <f>IFERROR(__xludf.DUMMYFUNCTION("""COMPUTED_VALUE"""),0.397223409122211)</f>
        <v>0.3972234091</v>
      </c>
      <c r="S208" s="15">
        <v>1648.0</v>
      </c>
      <c r="T208" s="4"/>
      <c r="U208" s="4"/>
    </row>
    <row r="209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14" t="s">
        <v>772</v>
      </c>
      <c r="L209" s="17">
        <f>IFERROR(__xludf.DUMMYFUNCTION("SPLIT(K:K, "" "")"),0.126021266711425)</f>
        <v>0.1260212667</v>
      </c>
      <c r="M209" s="4">
        <f>IFERROR(__xludf.DUMMYFUNCTION("""COMPUTED_VALUE"""),0.375256058608258)</f>
        <v>0.3752560586</v>
      </c>
      <c r="N209" s="15">
        <v>826.0</v>
      </c>
      <c r="O209" s="4"/>
      <c r="P209" s="14" t="s">
        <v>773</v>
      </c>
      <c r="Q209" s="4">
        <f>IFERROR(__xludf.DUMMYFUNCTION("SPLIT(P:P, "" "")"),0.187602336199087)</f>
        <v>0.1876023362</v>
      </c>
      <c r="R209" s="4">
        <f>IFERROR(__xludf.DUMMYFUNCTION("""COMPUTED_VALUE"""),0.398060035187816)</f>
        <v>0.3980600352</v>
      </c>
      <c r="S209" s="15">
        <v>1656.0</v>
      </c>
      <c r="T209" s="4"/>
      <c r="U209" s="4"/>
    </row>
    <row r="210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14" t="s">
        <v>774</v>
      </c>
      <c r="L210" s="17">
        <f>IFERROR(__xludf.DUMMYFUNCTION("SPLIT(K:K, "" "")"),0.126321177922079)</f>
        <v>0.1263211779</v>
      </c>
      <c r="M210" s="4">
        <f>IFERROR(__xludf.DUMMYFUNCTION("""COMPUTED_VALUE"""),0.379205388243365)</f>
        <v>0.3792053882</v>
      </c>
      <c r="N210" s="15">
        <v>830.0</v>
      </c>
      <c r="O210" s="4"/>
      <c r="P210" s="14" t="s">
        <v>775</v>
      </c>
      <c r="Q210" s="4">
        <f>IFERROR(__xludf.DUMMYFUNCTION("SPLIT(P:P, "" "")"),0.187697057467842)</f>
        <v>0.1876970575</v>
      </c>
      <c r="R210" s="4">
        <f>IFERROR(__xludf.DUMMYFUNCTION("""COMPUTED_VALUE"""),0.393894049920654)</f>
        <v>0.3938940499</v>
      </c>
      <c r="S210" s="15">
        <v>1664.0</v>
      </c>
      <c r="T210" s="4"/>
      <c r="U210" s="4"/>
    </row>
    <row r="211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14" t="s">
        <v>776</v>
      </c>
      <c r="L211" s="17">
        <f>IFERROR(__xludf.DUMMYFUNCTION("SPLIT(K:K, "" "")"),0.125086875106194)</f>
        <v>0.1250868751</v>
      </c>
      <c r="M211" s="4">
        <f>IFERROR(__xludf.DUMMYFUNCTION("""COMPUTED_VALUE"""),0.379059105739343)</f>
        <v>0.3790591057</v>
      </c>
      <c r="N211" s="15">
        <v>834.0</v>
      </c>
      <c r="O211" s="4"/>
      <c r="P211" s="14" t="s">
        <v>777</v>
      </c>
      <c r="Q211" s="4">
        <f>IFERROR(__xludf.DUMMYFUNCTION("SPLIT(P:P, "" "")"),0.187404981329674)</f>
        <v>0.1874049813</v>
      </c>
      <c r="R211" s="4">
        <f>IFERROR(__xludf.DUMMYFUNCTION("""COMPUTED_VALUE"""),0.396756033234791)</f>
        <v>0.3967560332</v>
      </c>
      <c r="S211" s="15">
        <v>1672.0</v>
      </c>
      <c r="T211" s="4"/>
      <c r="U211" s="4"/>
    </row>
    <row r="212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14" t="s">
        <v>778</v>
      </c>
      <c r="L212" s="17">
        <f>IFERROR(__xludf.DUMMYFUNCTION("SPLIT(K:K, "" "")"),0.128067422633541)</f>
        <v>0.1280674226</v>
      </c>
      <c r="M212" s="4">
        <f>IFERROR(__xludf.DUMMYFUNCTION("""COMPUTED_VALUE"""),0.390182001079598)</f>
        <v>0.3901820011</v>
      </c>
      <c r="N212" s="15">
        <v>838.0</v>
      </c>
      <c r="O212" s="4"/>
      <c r="P212" s="14" t="s">
        <v>779</v>
      </c>
      <c r="Q212" s="4">
        <f>IFERROR(__xludf.DUMMYFUNCTION("SPLIT(P:P, "" "")"),0.189714133343792)</f>
        <v>0.1897141333</v>
      </c>
      <c r="R212" s="4">
        <f>IFERROR(__xludf.DUMMYFUNCTION("""COMPUTED_VALUE"""),0.392815082517381)</f>
        <v>0.3928150825</v>
      </c>
      <c r="S212" s="15">
        <v>1680.0</v>
      </c>
      <c r="T212" s="4"/>
      <c r="U212" s="4"/>
    </row>
    <row r="213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14" t="s">
        <v>780</v>
      </c>
      <c r="L213" s="17">
        <f>IFERROR(__xludf.DUMMYFUNCTION("SPLIT(K:K, "" "")"),0.125265512926912)</f>
        <v>0.1252655129</v>
      </c>
      <c r="M213" s="4">
        <f>IFERROR(__xludf.DUMMYFUNCTION("""COMPUTED_VALUE"""),0.383573245192314)</f>
        <v>0.3835732452</v>
      </c>
      <c r="N213" s="15">
        <v>842.0</v>
      </c>
      <c r="O213" s="4"/>
      <c r="P213" s="14" t="s">
        <v>781</v>
      </c>
      <c r="Q213" s="4">
        <f>IFERROR(__xludf.DUMMYFUNCTION("SPLIT(P:P, "" "")"),0.189855583047129)</f>
        <v>0.189855583</v>
      </c>
      <c r="R213" s="4">
        <f>IFERROR(__xludf.DUMMYFUNCTION("""COMPUTED_VALUE"""),0.392369556692183)</f>
        <v>0.3923695567</v>
      </c>
      <c r="S213" s="15">
        <v>1688.0</v>
      </c>
      <c r="T213" s="4"/>
      <c r="U213" s="4"/>
    </row>
    <row r="214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14" t="s">
        <v>782</v>
      </c>
      <c r="L214" s="17">
        <f>IFERROR(__xludf.DUMMYFUNCTION("SPLIT(K:K, "" "")"),0.125840555441753)</f>
        <v>0.1258405554</v>
      </c>
      <c r="M214" s="4">
        <f>IFERROR(__xludf.DUMMYFUNCTION("""COMPUTED_VALUE"""),0.384162229349655)</f>
        <v>0.3841622293</v>
      </c>
      <c r="N214" s="15">
        <v>846.0</v>
      </c>
      <c r="O214" s="4"/>
      <c r="P214" s="14" t="s">
        <v>783</v>
      </c>
      <c r="Q214" s="4">
        <f>IFERROR(__xludf.DUMMYFUNCTION("SPLIT(P:P, "" "")"),0.19126531123842)</f>
        <v>0.1912653112</v>
      </c>
      <c r="R214" s="4">
        <f>IFERROR(__xludf.DUMMYFUNCTION("""COMPUTED_VALUE"""),0.398559865126537)</f>
        <v>0.3985598651</v>
      </c>
      <c r="S214" s="15">
        <v>1696.0</v>
      </c>
      <c r="T214" s="4"/>
      <c r="U214" s="4"/>
    </row>
    <row r="215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14" t="s">
        <v>784</v>
      </c>
      <c r="L215" s="17">
        <f>IFERROR(__xludf.DUMMYFUNCTION("SPLIT(K:K, "" "")"),0.125071610719444)</f>
        <v>0.1250716107</v>
      </c>
      <c r="M215" s="4">
        <f>IFERROR(__xludf.DUMMYFUNCTION("""COMPUTED_VALUE"""),0.386077532087682)</f>
        <v>0.3860775321</v>
      </c>
      <c r="N215" s="15">
        <v>850.0</v>
      </c>
      <c r="O215" s="4"/>
      <c r="P215" s="14" t="s">
        <v>785</v>
      </c>
      <c r="Q215" s="4">
        <f>IFERROR(__xludf.DUMMYFUNCTION("SPLIT(P:P, "" "")"),0.188721348024396)</f>
        <v>0.188721348</v>
      </c>
      <c r="R215" s="4">
        <f>IFERROR(__xludf.DUMMYFUNCTION("""COMPUTED_VALUE"""),0.397025646945939)</f>
        <v>0.3970256469</v>
      </c>
      <c r="S215" s="15">
        <v>1704.0</v>
      </c>
      <c r="T215" s="4"/>
      <c r="U215" s="4"/>
    </row>
    <row r="216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14" t="s">
        <v>786</v>
      </c>
      <c r="L216" s="17">
        <f>IFERROR(__xludf.DUMMYFUNCTION("SPLIT(K:K, "" "")"),0.123931272748082)</f>
        <v>0.1239312727</v>
      </c>
      <c r="M216" s="4">
        <f>IFERROR(__xludf.DUMMYFUNCTION("""COMPUTED_VALUE"""),0.385569141979672)</f>
        <v>0.385569142</v>
      </c>
      <c r="N216" s="15">
        <v>854.0</v>
      </c>
      <c r="O216" s="4"/>
      <c r="P216" s="14" t="s">
        <v>787</v>
      </c>
      <c r="Q216" s="4">
        <f>IFERROR(__xludf.DUMMYFUNCTION("SPLIT(P:P, "" "")"),0.185295070399852)</f>
        <v>0.1852950704</v>
      </c>
      <c r="R216" s="4">
        <f>IFERROR(__xludf.DUMMYFUNCTION("""COMPUTED_VALUE"""),0.395233326443062)</f>
        <v>0.3952333264</v>
      </c>
      <c r="S216" s="15">
        <v>1712.0</v>
      </c>
      <c r="T216" s="4"/>
      <c r="U216" s="4"/>
    </row>
    <row r="217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14" t="s">
        <v>788</v>
      </c>
      <c r="L217" s="17">
        <f>IFERROR(__xludf.DUMMYFUNCTION("SPLIT(K:K, "" "")"),0.125622864326956)</f>
        <v>0.1256228643</v>
      </c>
      <c r="M217" s="4">
        <f>IFERROR(__xludf.DUMMYFUNCTION("""COMPUTED_VALUE"""),0.38336759548564)</f>
        <v>0.3833675955</v>
      </c>
      <c r="N217" s="15">
        <v>858.0</v>
      </c>
      <c r="O217" s="4"/>
      <c r="P217" s="14" t="s">
        <v>789</v>
      </c>
      <c r="Q217" s="4">
        <f>IFERROR(__xludf.DUMMYFUNCTION("SPLIT(P:P, "" "")"),0.185850641812202)</f>
        <v>0.1858506418</v>
      </c>
      <c r="R217" s="4">
        <f>IFERROR(__xludf.DUMMYFUNCTION("""COMPUTED_VALUE"""),0.400994292655118)</f>
        <v>0.4009942927</v>
      </c>
      <c r="S217" s="15">
        <v>1720.0</v>
      </c>
      <c r="T217" s="4"/>
      <c r="U217" s="4"/>
    </row>
    <row r="218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14" t="s">
        <v>790</v>
      </c>
      <c r="L218" s="17">
        <f>IFERROR(__xludf.DUMMYFUNCTION("SPLIT(K:K, "" "")"),0.126655575795222)</f>
        <v>0.1266555758</v>
      </c>
      <c r="M218" s="4">
        <f>IFERROR(__xludf.DUMMYFUNCTION("""COMPUTED_VALUE"""),0.389692330829543)</f>
        <v>0.3896923308</v>
      </c>
      <c r="N218" s="15">
        <v>862.0</v>
      </c>
      <c r="O218" s="4"/>
      <c r="P218" s="14" t="s">
        <v>791</v>
      </c>
      <c r="Q218" s="4">
        <f>IFERROR(__xludf.DUMMYFUNCTION("SPLIT(P:P, "" "")"),0.193319152219993)</f>
        <v>0.1933191522</v>
      </c>
      <c r="R218" s="4">
        <f>IFERROR(__xludf.DUMMYFUNCTION("""COMPUTED_VALUE"""),0.40040191120225)</f>
        <v>0.4004019112</v>
      </c>
      <c r="S218" s="15">
        <v>1728.0</v>
      </c>
      <c r="T218" s="4"/>
      <c r="U218" s="4"/>
    </row>
    <row r="219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14" t="s">
        <v>792</v>
      </c>
      <c r="L219" s="17">
        <f>IFERROR(__xludf.DUMMYFUNCTION("SPLIT(K:K, "" "")"),0.125337620352422)</f>
        <v>0.1253376204</v>
      </c>
      <c r="M219" s="4">
        <f>IFERROR(__xludf.DUMMYFUNCTION("""COMPUTED_VALUE"""),0.386999088079403)</f>
        <v>0.3869990881</v>
      </c>
      <c r="N219" s="15">
        <v>866.0</v>
      </c>
      <c r="O219" s="4"/>
      <c r="P219" s="14" t="s">
        <v>793</v>
      </c>
      <c r="Q219" s="4">
        <f>IFERROR(__xludf.DUMMYFUNCTION("SPLIT(P:P, "" "")"),0.185842355569539)</f>
        <v>0.1858423556</v>
      </c>
      <c r="R219" s="4">
        <f>IFERROR(__xludf.DUMMYFUNCTION("""COMPUTED_VALUE"""),0.397475542243871)</f>
        <v>0.3974755422</v>
      </c>
      <c r="S219" s="15">
        <v>1736.0</v>
      </c>
      <c r="T219" s="4"/>
      <c r="U219" s="4"/>
    </row>
    <row r="220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14" t="s">
        <v>794</v>
      </c>
      <c r="L220" s="17">
        <f>IFERROR(__xludf.DUMMYFUNCTION("SPLIT(K:K, "" "")"),0.124341202492036)</f>
        <v>0.1243412025</v>
      </c>
      <c r="M220" s="4">
        <f>IFERROR(__xludf.DUMMYFUNCTION("""COMPUTED_VALUE"""),0.387743634053265)</f>
        <v>0.3877436341</v>
      </c>
      <c r="N220" s="15">
        <v>870.0</v>
      </c>
      <c r="O220" s="4"/>
      <c r="P220" s="14" t="s">
        <v>795</v>
      </c>
      <c r="Q220" s="4">
        <f>IFERROR(__xludf.DUMMYFUNCTION("SPLIT(P:P, "" "")"),0.186712596934082)</f>
        <v>0.1867125969</v>
      </c>
      <c r="R220" s="4">
        <f>IFERROR(__xludf.DUMMYFUNCTION("""COMPUTED_VALUE"""),0.395119360633448)</f>
        <v>0.3951193606</v>
      </c>
      <c r="S220" s="15">
        <v>1744.0</v>
      </c>
      <c r="T220" s="4"/>
      <c r="U220" s="4"/>
    </row>
    <row r="221">
      <c r="A221" s="5" t="s">
        <v>796</v>
      </c>
      <c r="B221" s="2"/>
      <c r="C221" s="2"/>
      <c r="D221" s="3"/>
      <c r="E221" s="4"/>
      <c r="F221" s="5" t="s">
        <v>797</v>
      </c>
      <c r="G221" s="2"/>
      <c r="H221" s="2"/>
      <c r="I221" s="3"/>
      <c r="J221" s="4"/>
      <c r="K221" s="14" t="s">
        <v>798</v>
      </c>
      <c r="L221" s="17">
        <f>IFERROR(__xludf.DUMMYFUNCTION("SPLIT(K:K, "" "")"),0.125985145808566)</f>
        <v>0.1259851458</v>
      </c>
      <c r="M221" s="4">
        <f>IFERROR(__xludf.DUMMYFUNCTION("""COMPUTED_VALUE"""),0.383318848417203)</f>
        <v>0.3833188484</v>
      </c>
      <c r="N221" s="15">
        <v>874.0</v>
      </c>
      <c r="O221" s="4"/>
      <c r="P221" s="14" t="s">
        <v>799</v>
      </c>
      <c r="Q221" s="4">
        <f>IFERROR(__xludf.DUMMYFUNCTION("SPLIT(P:P, "" "")"),0.185919436139035)</f>
        <v>0.1859194361</v>
      </c>
      <c r="R221" s="4">
        <f>IFERROR(__xludf.DUMMYFUNCTION("""COMPUTED_VALUE"""),0.391494043291089)</f>
        <v>0.3914940433</v>
      </c>
      <c r="S221" s="15">
        <v>1752.0</v>
      </c>
      <c r="T221" s="4"/>
      <c r="U221" s="4"/>
    </row>
    <row r="222">
      <c r="A222" s="10" t="s">
        <v>4</v>
      </c>
      <c r="B222" s="12" t="s">
        <v>5</v>
      </c>
      <c r="C222" s="12" t="s">
        <v>6</v>
      </c>
      <c r="D222" s="28" t="s">
        <v>7</v>
      </c>
      <c r="E222" s="4"/>
      <c r="F222" s="29" t="s">
        <v>4</v>
      </c>
      <c r="G222" s="12" t="s">
        <v>5</v>
      </c>
      <c r="H222" s="12" t="s">
        <v>6</v>
      </c>
      <c r="I222" s="28" t="s">
        <v>7</v>
      </c>
      <c r="J222" s="4"/>
      <c r="K222" s="14" t="s">
        <v>800</v>
      </c>
      <c r="L222" s="17">
        <f>IFERROR(__xludf.DUMMYFUNCTION("SPLIT(K:K, "" "")"),0.125697362240395)</f>
        <v>0.1256973622</v>
      </c>
      <c r="M222" s="4">
        <f>IFERROR(__xludf.DUMMYFUNCTION("""COMPUTED_VALUE"""),0.382411517910403)</f>
        <v>0.3824115179</v>
      </c>
      <c r="N222" s="15">
        <v>878.0</v>
      </c>
      <c r="O222" s="4"/>
      <c r="P222" s="14" t="s">
        <v>801</v>
      </c>
      <c r="Q222" s="4">
        <f>IFERROR(__xludf.DUMMYFUNCTION("SPLIT(P:P, "" "")"),0.187732885484298)</f>
        <v>0.1877328855</v>
      </c>
      <c r="R222" s="4">
        <f>IFERROR(__xludf.DUMMYFUNCTION("""COMPUTED_VALUE"""),0.39997264270577)</f>
        <v>0.3999726427</v>
      </c>
      <c r="S222" s="15">
        <v>1760.0</v>
      </c>
      <c r="T222" s="4"/>
      <c r="U222" s="4"/>
    </row>
    <row r="223">
      <c r="A223" s="14" t="s">
        <v>802</v>
      </c>
      <c r="B223" s="4">
        <f>IFERROR(__xludf.DUMMYFUNCTION("SPLIT(A:A, "" "")"),1.13047161503666)</f>
        <v>1.130471615</v>
      </c>
      <c r="C223" s="4">
        <f>IFERROR(__xludf.DUMMYFUNCTION("""COMPUTED_VALUE"""),1.27457118199519)</f>
        <v>1.274571182</v>
      </c>
      <c r="D223" s="15">
        <v>4.0</v>
      </c>
      <c r="E223" s="4"/>
      <c r="F223" s="14" t="s">
        <v>803</v>
      </c>
      <c r="G223" s="17">
        <f>IFERROR(__xludf.DUMMYFUNCTION("SPLIT(F:F, "" "")"),1.11059997987043)</f>
        <v>1.11059998</v>
      </c>
      <c r="H223" s="4">
        <f>IFERROR(__xludf.DUMMYFUNCTION("""COMPUTED_VALUE"""),1.20656339193305)</f>
        <v>1.206563392</v>
      </c>
      <c r="I223" s="15">
        <v>8.0</v>
      </c>
      <c r="J223" s="4"/>
      <c r="K223" s="14" t="s">
        <v>804</v>
      </c>
      <c r="L223" s="17">
        <f>IFERROR(__xludf.DUMMYFUNCTION("SPLIT(K:K, "" "")"),0.123371160580173)</f>
        <v>0.1233711606</v>
      </c>
      <c r="M223" s="4">
        <f>IFERROR(__xludf.DUMMYFUNCTION("""COMPUTED_VALUE"""),0.380317551622462)</f>
        <v>0.3803175516</v>
      </c>
      <c r="N223" s="15">
        <v>882.0</v>
      </c>
      <c r="O223" s="4"/>
      <c r="P223" s="14" t="s">
        <v>805</v>
      </c>
      <c r="Q223" s="4">
        <f>IFERROR(__xludf.DUMMYFUNCTION("SPLIT(P:P, "" "")"),0.187366341187972)</f>
        <v>0.1873663412</v>
      </c>
      <c r="R223" s="4">
        <f>IFERROR(__xludf.DUMMYFUNCTION("""COMPUTED_VALUE"""),0.403287737690855)</f>
        <v>0.4032877377</v>
      </c>
      <c r="S223" s="15">
        <v>1768.0</v>
      </c>
      <c r="T223" s="4"/>
      <c r="U223" s="4"/>
    </row>
    <row r="224">
      <c r="A224" s="14" t="s">
        <v>806</v>
      </c>
      <c r="B224" s="4">
        <f>IFERROR(__xludf.DUMMYFUNCTION("SPLIT(A:A, "" "")"),1.13707066384611)</f>
        <v>1.137070664</v>
      </c>
      <c r="C224" s="4">
        <f>IFERROR(__xludf.DUMMYFUNCTION("""COMPUTED_VALUE"""),1.30326169606096)</f>
        <v>1.303261696</v>
      </c>
      <c r="D224" s="15">
        <v>8.0</v>
      </c>
      <c r="E224" s="4"/>
      <c r="F224" s="14" t="s">
        <v>807</v>
      </c>
      <c r="G224" s="17">
        <f>IFERROR(__xludf.DUMMYFUNCTION("SPLIT(F:F, "" "")"),1.034947726715)</f>
        <v>1.034947727</v>
      </c>
      <c r="H224" s="4">
        <f>IFERROR(__xludf.DUMMYFUNCTION("""COMPUTED_VALUE"""),1.16525229336914)</f>
        <v>1.165252293</v>
      </c>
      <c r="I224" s="15">
        <v>16.0</v>
      </c>
      <c r="J224" s="4"/>
      <c r="K224" s="14" t="s">
        <v>808</v>
      </c>
      <c r="L224" s="17">
        <f>IFERROR(__xludf.DUMMYFUNCTION("SPLIT(K:K, "" "")"),0.12355952058956)</f>
        <v>0.1235595206</v>
      </c>
      <c r="M224" s="4">
        <f>IFERROR(__xludf.DUMMYFUNCTION("""COMPUTED_VALUE"""),0.383612213719287)</f>
        <v>0.3836122137</v>
      </c>
      <c r="N224" s="15">
        <v>886.0</v>
      </c>
      <c r="O224" s="4"/>
      <c r="P224" s="14" t="s">
        <v>809</v>
      </c>
      <c r="Q224" s="4">
        <f>IFERROR(__xludf.DUMMYFUNCTION("SPLIT(P:P, "" "")"),0.188546166822179)</f>
        <v>0.1885461668</v>
      </c>
      <c r="R224" s="4">
        <f>IFERROR(__xludf.DUMMYFUNCTION("""COMPUTED_VALUE"""),0.399809867908287)</f>
        <v>0.3998098679</v>
      </c>
      <c r="S224" s="15">
        <v>1776.0</v>
      </c>
      <c r="T224" s="4"/>
      <c r="U224" s="4"/>
    </row>
    <row r="225">
      <c r="A225" s="14" t="s">
        <v>810</v>
      </c>
      <c r="B225" s="4">
        <f>IFERROR(__xludf.DUMMYFUNCTION("SPLIT(A:A, "" "")"),1.04850025739359)</f>
        <v>1.048500257</v>
      </c>
      <c r="C225" s="4">
        <f>IFERROR(__xludf.DUMMYFUNCTION("""COMPUTED_VALUE"""),1.23506307819804)</f>
        <v>1.235063078</v>
      </c>
      <c r="D225" s="15">
        <v>12.0</v>
      </c>
      <c r="E225" s="4"/>
      <c r="F225" s="14" t="s">
        <v>811</v>
      </c>
      <c r="G225" s="17">
        <f>IFERROR(__xludf.DUMMYFUNCTION("SPLIT(F:F, "" "")"),0.997614035310132)</f>
        <v>0.9976140353</v>
      </c>
      <c r="H225" s="4">
        <f>IFERROR(__xludf.DUMMYFUNCTION("""COMPUTED_VALUE"""),1.13819689416424)</f>
        <v>1.138196894</v>
      </c>
      <c r="I225" s="15">
        <v>24.0</v>
      </c>
      <c r="J225" s="4"/>
      <c r="K225" s="14" t="s">
        <v>812</v>
      </c>
      <c r="L225" s="17">
        <f>IFERROR(__xludf.DUMMYFUNCTION("SPLIT(K:K, "" "")"),0.122795744579218)</f>
        <v>0.1227957446</v>
      </c>
      <c r="M225" s="4">
        <f>IFERROR(__xludf.DUMMYFUNCTION("""COMPUTED_VALUE"""),0.392015119900509)</f>
        <v>0.3920151199</v>
      </c>
      <c r="N225" s="15">
        <v>890.0</v>
      </c>
      <c r="O225" s="4"/>
      <c r="P225" s="14" t="s">
        <v>813</v>
      </c>
      <c r="Q225" s="4">
        <f>IFERROR(__xludf.DUMMYFUNCTION("SPLIT(P:P, "" "")"),0.187902767408728)</f>
        <v>0.1879027674</v>
      </c>
      <c r="R225" s="4">
        <f>IFERROR(__xludf.DUMMYFUNCTION("""COMPUTED_VALUE"""),0.393081510952596)</f>
        <v>0.393081511</v>
      </c>
      <c r="S225" s="15">
        <v>1784.0</v>
      </c>
      <c r="T225" s="4"/>
      <c r="U225" s="4"/>
    </row>
    <row r="226">
      <c r="A226" s="14" t="s">
        <v>814</v>
      </c>
      <c r="B226" s="4">
        <f>IFERROR(__xludf.DUMMYFUNCTION("SPLIT(A:A, "" "")"),0.998827487463594)</f>
        <v>0.9988274875</v>
      </c>
      <c r="C226" s="4">
        <f>IFERROR(__xludf.DUMMYFUNCTION("""COMPUTED_VALUE"""),1.19592024388685)</f>
        <v>1.195920244</v>
      </c>
      <c r="D226" s="15">
        <v>16.0</v>
      </c>
      <c r="E226" s="4"/>
      <c r="F226" s="14" t="s">
        <v>815</v>
      </c>
      <c r="G226" s="17">
        <f>IFERROR(__xludf.DUMMYFUNCTION("SPLIT(F:F, "" "")"),0.926480613647385)</f>
        <v>0.9264806136</v>
      </c>
      <c r="H226" s="4">
        <f>IFERROR(__xludf.DUMMYFUNCTION("""COMPUTED_VALUE"""),1.09041716772846)</f>
        <v>1.090417168</v>
      </c>
      <c r="I226" s="15">
        <v>32.0</v>
      </c>
      <c r="J226" s="4"/>
      <c r="K226" s="14" t="s">
        <v>816</v>
      </c>
      <c r="L226" s="17">
        <f>IFERROR(__xludf.DUMMYFUNCTION("SPLIT(K:K, "" "")"),0.123286582493617)</f>
        <v>0.1232865825</v>
      </c>
      <c r="M226" s="4">
        <f>IFERROR(__xludf.DUMMYFUNCTION("""COMPUTED_VALUE"""),0.381344870830964)</f>
        <v>0.3813448708</v>
      </c>
      <c r="N226" s="15">
        <v>894.0</v>
      </c>
      <c r="O226" s="4"/>
      <c r="P226" s="14" t="s">
        <v>817</v>
      </c>
      <c r="Q226" s="4">
        <f>IFERROR(__xludf.DUMMYFUNCTION("SPLIT(P:P, "" "")"),0.186506709999077)</f>
        <v>0.18650671</v>
      </c>
      <c r="R226" s="4">
        <f>IFERROR(__xludf.DUMMYFUNCTION("""COMPUTED_VALUE"""),0.399089062054429)</f>
        <v>0.3990890621</v>
      </c>
      <c r="S226" s="15">
        <v>1792.0</v>
      </c>
      <c r="T226" s="4"/>
      <c r="U226" s="4"/>
    </row>
    <row r="227">
      <c r="A227" s="14" t="s">
        <v>818</v>
      </c>
      <c r="B227" s="4">
        <f>IFERROR(__xludf.DUMMYFUNCTION("SPLIT(A:A, "" "")"),0.991561661382811)</f>
        <v>0.9915616614</v>
      </c>
      <c r="C227" s="4">
        <f>IFERROR(__xludf.DUMMYFUNCTION("""COMPUTED_VALUE"""),1.19374113856723)</f>
        <v>1.193741139</v>
      </c>
      <c r="D227" s="15">
        <v>20.0</v>
      </c>
      <c r="E227" s="4"/>
      <c r="F227" s="14" t="s">
        <v>819</v>
      </c>
      <c r="G227" s="17">
        <f>IFERROR(__xludf.DUMMYFUNCTION("SPLIT(F:F, "" "")"),0.860568348949797)</f>
        <v>0.8605683489</v>
      </c>
      <c r="H227" s="4">
        <f>IFERROR(__xludf.DUMMYFUNCTION("""COMPUTED_VALUE"""),1.02980752543634)</f>
        <v>1.029807525</v>
      </c>
      <c r="I227" s="15">
        <v>40.0</v>
      </c>
      <c r="J227" s="4"/>
      <c r="K227" s="14" t="s">
        <v>820</v>
      </c>
      <c r="L227" s="17">
        <f>IFERROR(__xludf.DUMMYFUNCTION("SPLIT(K:K, "" "")"),0.122329862736932)</f>
        <v>0.1223298627</v>
      </c>
      <c r="M227" s="4">
        <f>IFERROR(__xludf.DUMMYFUNCTION("""COMPUTED_VALUE"""),0.381678282966219)</f>
        <v>0.381678283</v>
      </c>
      <c r="N227" s="15">
        <v>898.0</v>
      </c>
      <c r="O227" s="4"/>
      <c r="P227" s="14" t="s">
        <v>821</v>
      </c>
      <c r="Q227" s="4">
        <f>IFERROR(__xludf.DUMMYFUNCTION("SPLIT(P:P, "" "")"),0.185791807234854)</f>
        <v>0.1857918072</v>
      </c>
      <c r="R227" s="4">
        <f>IFERROR(__xludf.DUMMYFUNCTION("""COMPUTED_VALUE"""),0.398285932517316)</f>
        <v>0.3982859325</v>
      </c>
      <c r="S227" s="15">
        <v>1800.0</v>
      </c>
      <c r="T227" s="4"/>
      <c r="U227" s="4"/>
    </row>
    <row r="228">
      <c r="A228" s="14" t="s">
        <v>822</v>
      </c>
      <c r="B228" s="4">
        <f>IFERROR(__xludf.DUMMYFUNCTION("SPLIT(A:A, "" "")"),0.928098358180639)</f>
        <v>0.9280983582</v>
      </c>
      <c r="C228" s="4">
        <f>IFERROR(__xludf.DUMMYFUNCTION("""COMPUTED_VALUE"""),1.1169955486144)</f>
        <v>1.116995549</v>
      </c>
      <c r="D228" s="15">
        <v>24.0</v>
      </c>
      <c r="E228" s="4"/>
      <c r="F228" s="14" t="s">
        <v>823</v>
      </c>
      <c r="G228" s="17">
        <f>IFERROR(__xludf.DUMMYFUNCTION("SPLIT(F:F, "" "")"),0.821096902835542)</f>
        <v>0.8210969028</v>
      </c>
      <c r="H228" s="4">
        <f>IFERROR(__xludf.DUMMYFUNCTION("""COMPUTED_VALUE"""),1.00883148075183)</f>
        <v>1.008831481</v>
      </c>
      <c r="I228" s="15">
        <v>48.0</v>
      </c>
      <c r="J228" s="4"/>
      <c r="K228" s="14" t="s">
        <v>824</v>
      </c>
      <c r="L228" s="17">
        <f>IFERROR(__xludf.DUMMYFUNCTION("SPLIT(K:K, "" "")"),0.12214103714961)</f>
        <v>0.1221410371</v>
      </c>
      <c r="M228" s="4">
        <f>IFERROR(__xludf.DUMMYFUNCTION("""COMPUTED_VALUE"""),0.387836415785991)</f>
        <v>0.3878364158</v>
      </c>
      <c r="N228" s="15">
        <v>902.0</v>
      </c>
      <c r="O228" s="4"/>
      <c r="P228" s="14" t="s">
        <v>825</v>
      </c>
      <c r="Q228" s="4">
        <f>IFERROR(__xludf.DUMMYFUNCTION("SPLIT(P:P, "" "")"),0.189253668798149)</f>
        <v>0.1892536688</v>
      </c>
      <c r="R228" s="4">
        <f>IFERROR(__xludf.DUMMYFUNCTION("""COMPUTED_VALUE"""),0.399995715199931)</f>
        <v>0.3999957152</v>
      </c>
      <c r="S228" s="15">
        <v>1808.0</v>
      </c>
      <c r="T228" s="4"/>
      <c r="U228" s="4"/>
    </row>
    <row r="229">
      <c r="A229" s="14" t="s">
        <v>826</v>
      </c>
      <c r="B229" s="4">
        <f>IFERROR(__xludf.DUMMYFUNCTION("SPLIT(A:A, "" "")"),0.893139663699802)</f>
        <v>0.8931396637</v>
      </c>
      <c r="C229" s="4">
        <f>IFERROR(__xludf.DUMMYFUNCTION("""COMPUTED_VALUE"""),1.12030263638833)</f>
        <v>1.120302636</v>
      </c>
      <c r="D229" s="15">
        <v>28.0</v>
      </c>
      <c r="E229" s="4"/>
      <c r="F229" s="14" t="s">
        <v>827</v>
      </c>
      <c r="G229" s="17">
        <f>IFERROR(__xludf.DUMMYFUNCTION("SPLIT(F:F, "" "")"),0.832705977641445)</f>
        <v>0.8327059776</v>
      </c>
      <c r="H229" s="4">
        <f>IFERROR(__xludf.DUMMYFUNCTION("""COMPUTED_VALUE"""),1.0087201785253)</f>
        <v>1.008720179</v>
      </c>
      <c r="I229" s="15">
        <v>56.0</v>
      </c>
      <c r="J229" s="4"/>
      <c r="K229" s="14" t="s">
        <v>828</v>
      </c>
      <c r="L229" s="17">
        <f>IFERROR(__xludf.DUMMYFUNCTION("SPLIT(K:K, "" "")"),0.121440362753613)</f>
        <v>0.1214403628</v>
      </c>
      <c r="M229" s="4">
        <f>IFERROR(__xludf.DUMMYFUNCTION("""COMPUTED_VALUE"""),0.391150898806267)</f>
        <v>0.3911508988</v>
      </c>
      <c r="N229" s="15">
        <v>906.0</v>
      </c>
      <c r="O229" s="4"/>
      <c r="P229" s="14" t="s">
        <v>829</v>
      </c>
      <c r="Q229" s="4">
        <f>IFERROR(__xludf.DUMMYFUNCTION("SPLIT(P:P, "" "")"),0.189268987510537)</f>
        <v>0.1892689875</v>
      </c>
      <c r="R229" s="4">
        <f>IFERROR(__xludf.DUMMYFUNCTION("""COMPUTED_VALUE"""),0.408456549377013)</f>
        <v>0.4084565494</v>
      </c>
      <c r="S229" s="15">
        <v>1816.0</v>
      </c>
      <c r="T229" s="4"/>
      <c r="U229" s="4"/>
    </row>
    <row r="230">
      <c r="A230" s="14" t="s">
        <v>830</v>
      </c>
      <c r="B230" s="4">
        <f>IFERROR(__xludf.DUMMYFUNCTION("SPLIT(A:A, "" "")"),0.8934835244931)</f>
        <v>0.8934835245</v>
      </c>
      <c r="C230" s="4">
        <f>IFERROR(__xludf.DUMMYFUNCTION("""COMPUTED_VALUE"""),1.12671743840468)</f>
        <v>1.126717438</v>
      </c>
      <c r="D230" s="15">
        <v>32.0</v>
      </c>
      <c r="E230" s="4"/>
      <c r="F230" s="14" t="s">
        <v>831</v>
      </c>
      <c r="G230" s="17">
        <f>IFERROR(__xludf.DUMMYFUNCTION("SPLIT(F:F, "" "")"),0.794749336961305)</f>
        <v>0.794749337</v>
      </c>
      <c r="H230" s="4">
        <f>IFERROR(__xludf.DUMMYFUNCTION("""COMPUTED_VALUE"""),0.973597955079291)</f>
        <v>0.9735979551</v>
      </c>
      <c r="I230" s="15">
        <v>64.0</v>
      </c>
      <c r="J230" s="4"/>
      <c r="K230" s="14" t="s">
        <v>832</v>
      </c>
      <c r="L230" s="17">
        <f>IFERROR(__xludf.DUMMYFUNCTION("SPLIT(K:K, "" "")"),0.121637027637144)</f>
        <v>0.1216370276</v>
      </c>
      <c r="M230" s="4">
        <f>IFERROR(__xludf.DUMMYFUNCTION("""COMPUTED_VALUE"""),0.396539511608572)</f>
        <v>0.3965395116</v>
      </c>
      <c r="N230" s="15">
        <v>910.0</v>
      </c>
      <c r="O230" s="4"/>
      <c r="P230" s="14" t="s">
        <v>833</v>
      </c>
      <c r="Q230" s="4">
        <f>IFERROR(__xludf.DUMMYFUNCTION("SPLIT(P:P, "" "")"),0.186160378463554)</f>
        <v>0.1861603785</v>
      </c>
      <c r="R230" s="4">
        <f>IFERROR(__xludf.DUMMYFUNCTION("""COMPUTED_VALUE"""),0.401727541460784)</f>
        <v>0.4017275415</v>
      </c>
      <c r="S230" s="15">
        <v>1824.0</v>
      </c>
      <c r="T230" s="4"/>
      <c r="U230" s="4"/>
    </row>
    <row r="231">
      <c r="A231" s="14" t="s">
        <v>834</v>
      </c>
      <c r="B231" s="4">
        <f>IFERROR(__xludf.DUMMYFUNCTION("SPLIT(A:A, "" "")"),0.857468566543543)</f>
        <v>0.8574685665</v>
      </c>
      <c r="C231" s="4">
        <f>IFERROR(__xludf.DUMMYFUNCTION("""COMPUTED_VALUE"""),1.08884057176412)</f>
        <v>1.088840572</v>
      </c>
      <c r="D231" s="15">
        <v>36.0</v>
      </c>
      <c r="E231" s="4"/>
      <c r="F231" s="14" t="s">
        <v>835</v>
      </c>
      <c r="G231" s="17">
        <f>IFERROR(__xludf.DUMMYFUNCTION("SPLIT(F:F, "" "")"),0.755760799047718)</f>
        <v>0.755760799</v>
      </c>
      <c r="H231" s="4">
        <f>IFERROR(__xludf.DUMMYFUNCTION("""COMPUTED_VALUE"""),0.946339601681363)</f>
        <v>0.9463396017</v>
      </c>
      <c r="I231" s="15">
        <v>72.0</v>
      </c>
      <c r="J231" s="4"/>
      <c r="K231" s="14" t="s">
        <v>836</v>
      </c>
      <c r="L231" s="17">
        <f>IFERROR(__xludf.DUMMYFUNCTION("SPLIT(K:K, "" "")"),0.121124902017577)</f>
        <v>0.121124902</v>
      </c>
      <c r="M231" s="4">
        <f>IFERROR(__xludf.DUMMYFUNCTION("""COMPUTED_VALUE"""),0.385291255457797)</f>
        <v>0.3852912555</v>
      </c>
      <c r="N231" s="15">
        <v>914.0</v>
      </c>
      <c r="O231" s="4"/>
      <c r="P231" s="14" t="s">
        <v>837</v>
      </c>
      <c r="Q231" s="4">
        <f>IFERROR(__xludf.DUMMYFUNCTION("SPLIT(P:P, "" "")"),0.185852093997535)</f>
        <v>0.185852094</v>
      </c>
      <c r="R231" s="4">
        <f>IFERROR(__xludf.DUMMYFUNCTION("""COMPUTED_VALUE"""),0.39807242917519)</f>
        <v>0.3980724292</v>
      </c>
      <c r="S231" s="15">
        <v>1832.0</v>
      </c>
      <c r="T231" s="4"/>
      <c r="U231" s="4"/>
    </row>
    <row r="232">
      <c r="A232" s="14" t="s">
        <v>838</v>
      </c>
      <c r="B232" s="4">
        <f>IFERROR(__xludf.DUMMYFUNCTION("SPLIT(A:A, "" "")"),0.832334967619028)</f>
        <v>0.8323349676</v>
      </c>
      <c r="C232" s="4">
        <f>IFERROR(__xludf.DUMMYFUNCTION("""COMPUTED_VALUE"""),1.07039662736802)</f>
        <v>1.070396627</v>
      </c>
      <c r="D232" s="15">
        <v>40.0</v>
      </c>
      <c r="E232" s="4"/>
      <c r="F232" s="14" t="s">
        <v>839</v>
      </c>
      <c r="G232" s="17">
        <f>IFERROR(__xludf.DUMMYFUNCTION("SPLIT(F:F, "" "")"),0.733825013653928)</f>
        <v>0.7338250137</v>
      </c>
      <c r="H232" s="4">
        <f>IFERROR(__xludf.DUMMYFUNCTION("""COMPUTED_VALUE"""),0.936111187523182)</f>
        <v>0.9361111875</v>
      </c>
      <c r="I232" s="15">
        <v>80.0</v>
      </c>
      <c r="J232" s="4"/>
      <c r="K232" s="14" t="s">
        <v>840</v>
      </c>
      <c r="L232" s="17">
        <f>IFERROR(__xludf.DUMMYFUNCTION("SPLIT(K:K, "" "")"),0.120337806627273)</f>
        <v>0.1203378066</v>
      </c>
      <c r="M232" s="4">
        <f>IFERROR(__xludf.DUMMYFUNCTION("""COMPUTED_VALUE"""),0.376508883889775)</f>
        <v>0.3765088839</v>
      </c>
      <c r="N232" s="15">
        <v>918.0</v>
      </c>
      <c r="O232" s="4"/>
      <c r="P232" s="14" t="s">
        <v>841</v>
      </c>
      <c r="Q232" s="4">
        <f>IFERROR(__xludf.DUMMYFUNCTION("SPLIT(P:P, "" "")"),0.185507933698031)</f>
        <v>0.1855079337</v>
      </c>
      <c r="R232" s="4">
        <f>IFERROR(__xludf.DUMMYFUNCTION("""COMPUTED_VALUE"""),0.402964195386372)</f>
        <v>0.4029641954</v>
      </c>
      <c r="S232" s="15">
        <v>1840.0</v>
      </c>
      <c r="T232" s="4"/>
      <c r="U232" s="4"/>
    </row>
    <row r="233">
      <c r="A233" s="14" t="s">
        <v>842</v>
      </c>
      <c r="B233" s="4">
        <f>IFERROR(__xludf.DUMMYFUNCTION("SPLIT(A:A, "" "")"),0.790448580064594)</f>
        <v>0.7904485801</v>
      </c>
      <c r="C233" s="4">
        <f>IFERROR(__xludf.DUMMYFUNCTION("""COMPUTED_VALUE"""),1.02878714455572)</f>
        <v>1.028787145</v>
      </c>
      <c r="D233" s="15">
        <v>44.0</v>
      </c>
      <c r="E233" s="4"/>
      <c r="F233" s="14" t="s">
        <v>843</v>
      </c>
      <c r="G233" s="17">
        <f>IFERROR(__xludf.DUMMYFUNCTION("SPLIT(F:F, "" "")"),0.698281518823301)</f>
        <v>0.6982815188</v>
      </c>
      <c r="H233" s="4">
        <f>IFERROR(__xludf.DUMMYFUNCTION("""COMPUTED_VALUE"""),0.905282201213768)</f>
        <v>0.9052822012</v>
      </c>
      <c r="I233" s="15">
        <v>88.0</v>
      </c>
      <c r="J233" s="4"/>
      <c r="K233" s="14" t="s">
        <v>844</v>
      </c>
      <c r="L233" s="17">
        <f>IFERROR(__xludf.DUMMYFUNCTION("SPLIT(K:K, "" "")"),0.123746810511794)</f>
        <v>0.1237468105</v>
      </c>
      <c r="M233" s="4">
        <f>IFERROR(__xludf.DUMMYFUNCTION("""COMPUTED_VALUE"""),0.386531282421552)</f>
        <v>0.3865312824</v>
      </c>
      <c r="N233" s="15">
        <v>922.0</v>
      </c>
      <c r="O233" s="4"/>
      <c r="P233" s="14" t="s">
        <v>845</v>
      </c>
      <c r="Q233" s="4">
        <f>IFERROR(__xludf.DUMMYFUNCTION("SPLIT(P:P, "" "")"),0.18636778285127)</f>
        <v>0.1863677829</v>
      </c>
      <c r="R233" s="4">
        <f>IFERROR(__xludf.DUMMYFUNCTION("""COMPUTED_VALUE"""),0.403317219092739)</f>
        <v>0.4033172191</v>
      </c>
      <c r="S233" s="15">
        <v>1848.0</v>
      </c>
      <c r="T233" s="4"/>
      <c r="U233" s="4"/>
    </row>
    <row r="234">
      <c r="A234" s="14" t="s">
        <v>846</v>
      </c>
      <c r="B234" s="4">
        <f>IFERROR(__xludf.DUMMYFUNCTION("SPLIT(A:A, "" "")"),0.782382866678426)</f>
        <v>0.7823828667</v>
      </c>
      <c r="C234" s="4">
        <f>IFERROR(__xludf.DUMMYFUNCTION("""COMPUTED_VALUE"""),1.02259320389272)</f>
        <v>1.022593204</v>
      </c>
      <c r="D234" s="15">
        <v>48.0</v>
      </c>
      <c r="E234" s="4"/>
      <c r="F234" s="14" t="s">
        <v>847</v>
      </c>
      <c r="G234" s="17">
        <f>IFERROR(__xludf.DUMMYFUNCTION("SPLIT(F:F, "" "")"),0.67974013463214)</f>
        <v>0.6797401346</v>
      </c>
      <c r="H234" s="4">
        <f>IFERROR(__xludf.DUMMYFUNCTION("""COMPUTED_VALUE"""),0.918722124272274)</f>
        <v>0.9187221243</v>
      </c>
      <c r="I234" s="15">
        <v>96.0</v>
      </c>
      <c r="J234" s="4"/>
      <c r="K234" s="14" t="s">
        <v>848</v>
      </c>
      <c r="L234" s="17">
        <f>IFERROR(__xludf.DUMMYFUNCTION("SPLIT(K:K, "" "")"),0.122548610358563)</f>
        <v>0.1225486104</v>
      </c>
      <c r="M234" s="4">
        <f>IFERROR(__xludf.DUMMYFUNCTION("""COMPUTED_VALUE"""),0.396569647363963)</f>
        <v>0.3965696474</v>
      </c>
      <c r="N234" s="15">
        <v>926.0</v>
      </c>
      <c r="O234" s="4"/>
      <c r="P234" s="14" t="s">
        <v>849</v>
      </c>
      <c r="Q234" s="4">
        <f>IFERROR(__xludf.DUMMYFUNCTION("SPLIT(P:P, "" "")"),0.186767057748123)</f>
        <v>0.1867670577</v>
      </c>
      <c r="R234" s="4">
        <f>IFERROR(__xludf.DUMMYFUNCTION("""COMPUTED_VALUE"""),0.406015433044023)</f>
        <v>0.406015433</v>
      </c>
      <c r="S234" s="15">
        <v>1856.0</v>
      </c>
      <c r="T234" s="4"/>
      <c r="U234" s="4"/>
    </row>
    <row r="235">
      <c r="A235" s="14" t="s">
        <v>850</v>
      </c>
      <c r="B235" s="4">
        <f>IFERROR(__xludf.DUMMYFUNCTION("SPLIT(A:A, "" "")"),0.799199400392262)</f>
        <v>0.7991994004</v>
      </c>
      <c r="C235" s="4">
        <f>IFERROR(__xludf.DUMMYFUNCTION("""COMPUTED_VALUE"""),1.04099142172152)</f>
        <v>1.040991422</v>
      </c>
      <c r="D235" s="15">
        <v>52.0</v>
      </c>
      <c r="E235" s="4"/>
      <c r="F235" s="14" t="s">
        <v>851</v>
      </c>
      <c r="G235" s="17">
        <f>IFERROR(__xludf.DUMMYFUNCTION("SPLIT(F:F, "" "")"),0.662689127176357)</f>
        <v>0.6626891272</v>
      </c>
      <c r="H235" s="4">
        <f>IFERROR(__xludf.DUMMYFUNCTION("""COMPUTED_VALUE"""),0.899469889316841)</f>
        <v>0.8994698893</v>
      </c>
      <c r="I235" s="15">
        <v>104.0</v>
      </c>
      <c r="J235" s="4"/>
      <c r="K235" s="14" t="s">
        <v>852</v>
      </c>
      <c r="L235" s="17">
        <f>IFERROR(__xludf.DUMMYFUNCTION("SPLIT(K:K, "" "")"),0.120279192676256)</f>
        <v>0.1202791927</v>
      </c>
      <c r="M235" s="4">
        <f>IFERROR(__xludf.DUMMYFUNCTION("""COMPUTED_VALUE"""),0.387806074886084)</f>
        <v>0.3878060749</v>
      </c>
      <c r="N235" s="15">
        <v>930.0</v>
      </c>
      <c r="O235" s="4"/>
      <c r="P235" s="14" t="s">
        <v>853</v>
      </c>
      <c r="Q235" s="4">
        <f>IFERROR(__xludf.DUMMYFUNCTION("SPLIT(P:P, "" "")"),0.187398599807596)</f>
        <v>0.1873985998</v>
      </c>
      <c r="R235" s="4">
        <f>IFERROR(__xludf.DUMMYFUNCTION("""COMPUTED_VALUE"""),0.398217674183699)</f>
        <v>0.3982176742</v>
      </c>
      <c r="S235" s="15">
        <v>1864.0</v>
      </c>
      <c r="T235" s="4"/>
      <c r="U235" s="4"/>
    </row>
    <row r="236">
      <c r="A236" s="14" t="s">
        <v>854</v>
      </c>
      <c r="B236" s="4">
        <f>IFERROR(__xludf.DUMMYFUNCTION("SPLIT(A:A, "" "")"),0.796980031927582)</f>
        <v>0.7969800319</v>
      </c>
      <c r="C236" s="4">
        <f>IFERROR(__xludf.DUMMYFUNCTION("""COMPUTED_VALUE"""),1.06582505204806)</f>
        <v>1.065825052</v>
      </c>
      <c r="D236" s="15">
        <v>56.0</v>
      </c>
      <c r="E236" s="4"/>
      <c r="F236" s="14" t="s">
        <v>855</v>
      </c>
      <c r="G236" s="17">
        <f>IFERROR(__xludf.DUMMYFUNCTION("SPLIT(F:F, "" "")"),0.666021931964184)</f>
        <v>0.666021932</v>
      </c>
      <c r="H236" s="4">
        <f>IFERROR(__xludf.DUMMYFUNCTION("""COMPUTED_VALUE"""),0.899301513087642)</f>
        <v>0.8993015131</v>
      </c>
      <c r="I236" s="15">
        <v>112.0</v>
      </c>
      <c r="J236" s="4"/>
      <c r="K236" s="14" t="s">
        <v>856</v>
      </c>
      <c r="L236" s="17">
        <f>IFERROR(__xludf.DUMMYFUNCTION("SPLIT(K:K, "" "")"),0.121400320286901)</f>
        <v>0.1214003203</v>
      </c>
      <c r="M236" s="4">
        <f>IFERROR(__xludf.DUMMYFUNCTION("""COMPUTED_VALUE"""),0.391908263839078)</f>
        <v>0.3919082638</v>
      </c>
      <c r="N236" s="15">
        <v>934.0</v>
      </c>
      <c r="O236" s="4"/>
      <c r="P236" s="14" t="s">
        <v>857</v>
      </c>
      <c r="Q236" s="4">
        <f>IFERROR(__xludf.DUMMYFUNCTION("SPLIT(P:P, "" "")"),0.184149294470482)</f>
        <v>0.1841492945</v>
      </c>
      <c r="R236" s="4">
        <f>IFERROR(__xludf.DUMMYFUNCTION("""COMPUTED_VALUE"""),0.398627450117684)</f>
        <v>0.3986274501</v>
      </c>
      <c r="S236" s="15">
        <v>1872.0</v>
      </c>
      <c r="T236" s="4"/>
      <c r="U236" s="4"/>
    </row>
    <row r="237">
      <c r="A237" s="14" t="s">
        <v>858</v>
      </c>
      <c r="B237" s="4">
        <f>IFERROR(__xludf.DUMMYFUNCTION("SPLIT(A:A, "" "")"),0.760223280346844)</f>
        <v>0.7602232803</v>
      </c>
      <c r="C237" s="4">
        <f>IFERROR(__xludf.DUMMYFUNCTION("""COMPUTED_VALUE"""),1.02832729208023)</f>
        <v>1.028327292</v>
      </c>
      <c r="D237" s="15">
        <v>60.0</v>
      </c>
      <c r="E237" s="4"/>
      <c r="F237" s="14" t="s">
        <v>859</v>
      </c>
      <c r="G237" s="17">
        <f>IFERROR(__xludf.DUMMYFUNCTION("SPLIT(F:F, "" "")"),0.622662201168152)</f>
        <v>0.6226622012</v>
      </c>
      <c r="H237" s="4">
        <f>IFERROR(__xludf.DUMMYFUNCTION("""COMPUTED_VALUE"""),0.860338598879513)</f>
        <v>0.8603385989</v>
      </c>
      <c r="I237" s="15">
        <v>120.0</v>
      </c>
      <c r="J237" s="4"/>
      <c r="K237" s="24" t="s">
        <v>860</v>
      </c>
      <c r="L237" s="25">
        <f>IFERROR(__xludf.DUMMYFUNCTION("SPLIT(K:K, "" "")"),0.119968027276258)</f>
        <v>0.1199680273</v>
      </c>
      <c r="M237" s="26">
        <f>IFERROR(__xludf.DUMMYFUNCTION("""COMPUTED_VALUE"""),0.387152823031901)</f>
        <v>0.387152823</v>
      </c>
      <c r="N237" s="27">
        <v>938.0</v>
      </c>
      <c r="O237" s="4"/>
      <c r="P237" s="14" t="s">
        <v>861</v>
      </c>
      <c r="Q237" s="4">
        <f>IFERROR(__xludf.DUMMYFUNCTION("SPLIT(P:P, "" "")"),0.186554683692383)</f>
        <v>0.1865546837</v>
      </c>
      <c r="R237" s="4">
        <f>IFERROR(__xludf.DUMMYFUNCTION("""COMPUTED_VALUE"""),0.403246498001998)</f>
        <v>0.403246498</v>
      </c>
      <c r="S237" s="15">
        <v>1880.0</v>
      </c>
      <c r="T237" s="4"/>
      <c r="U237" s="4"/>
    </row>
    <row r="238">
      <c r="A238" s="14" t="s">
        <v>862</v>
      </c>
      <c r="B238" s="4">
        <f>IFERROR(__xludf.DUMMYFUNCTION("SPLIT(A:A, "" "")"),0.755357280977765)</f>
        <v>0.755357281</v>
      </c>
      <c r="C238" s="4">
        <f>IFERROR(__xludf.DUMMYFUNCTION("""COMPUTED_VALUE"""),1.02331796909096)</f>
        <v>1.023317969</v>
      </c>
      <c r="D238" s="15">
        <v>64.0</v>
      </c>
      <c r="E238" s="4"/>
      <c r="F238" s="14" t="s">
        <v>863</v>
      </c>
      <c r="G238" s="17">
        <f>IFERROR(__xludf.DUMMYFUNCTION("SPLIT(F:F, "" "")"),0.627473866748375)</f>
        <v>0.6274738667</v>
      </c>
      <c r="H238" s="4">
        <f>IFERROR(__xludf.DUMMYFUNCTION("""COMPUTED_VALUE"""),0.878397108556989)</f>
        <v>0.8783971086</v>
      </c>
      <c r="I238" s="15">
        <v>128.0</v>
      </c>
      <c r="J238" s="4"/>
      <c r="L238" s="6"/>
      <c r="M238" s="4"/>
      <c r="N238" s="4"/>
      <c r="O238" s="4"/>
      <c r="P238" s="14" t="s">
        <v>864</v>
      </c>
      <c r="Q238" s="4">
        <f>IFERROR(__xludf.DUMMYFUNCTION("SPLIT(P:P, "" "")"),0.186147642589075)</f>
        <v>0.1861476426</v>
      </c>
      <c r="R238" s="4">
        <f>IFERROR(__xludf.DUMMYFUNCTION("""COMPUTED_VALUE"""),0.396093204784472)</f>
        <v>0.3960932048</v>
      </c>
      <c r="S238" s="15">
        <v>1888.0</v>
      </c>
      <c r="T238" s="4"/>
      <c r="U238" s="4"/>
    </row>
    <row r="239">
      <c r="A239" s="14" t="s">
        <v>865</v>
      </c>
      <c r="B239" s="4">
        <f>IFERROR(__xludf.DUMMYFUNCTION("SPLIT(A:A, "" "")"),0.717062899189124)</f>
        <v>0.7170628992</v>
      </c>
      <c r="C239" s="4">
        <f>IFERROR(__xludf.DUMMYFUNCTION("""COMPUTED_VALUE"""),0.995065559187682)</f>
        <v>0.9950655592</v>
      </c>
      <c r="D239" s="15">
        <v>68.0</v>
      </c>
      <c r="E239" s="4"/>
      <c r="F239" s="14" t="s">
        <v>866</v>
      </c>
      <c r="G239" s="17">
        <f>IFERROR(__xludf.DUMMYFUNCTION("SPLIT(F:F, "" "")"),0.613799528466402)</f>
        <v>0.6137995285</v>
      </c>
      <c r="H239" s="4">
        <f>IFERROR(__xludf.DUMMYFUNCTION("""COMPUTED_VALUE"""),0.860425009204912)</f>
        <v>0.8604250092</v>
      </c>
      <c r="I239" s="15">
        <v>136.0</v>
      </c>
      <c r="J239" s="4"/>
      <c r="K239" s="4"/>
      <c r="L239" s="4"/>
      <c r="M239" s="4"/>
      <c r="N239" s="4"/>
      <c r="O239" s="4"/>
      <c r="P239" s="14" t="s">
        <v>867</v>
      </c>
      <c r="Q239" s="4">
        <f>IFERROR(__xludf.DUMMYFUNCTION("SPLIT(P:P, "" "")"),0.182798932743936)</f>
        <v>0.1827989327</v>
      </c>
      <c r="R239" s="4">
        <f>IFERROR(__xludf.DUMMYFUNCTION("""COMPUTED_VALUE"""),0.395235881941561)</f>
        <v>0.3952358819</v>
      </c>
      <c r="S239" s="15">
        <v>1896.0</v>
      </c>
      <c r="T239" s="4"/>
      <c r="U239" s="4"/>
    </row>
    <row r="240">
      <c r="A240" s="14" t="s">
        <v>868</v>
      </c>
      <c r="B240" s="4">
        <f>IFERROR(__xludf.DUMMYFUNCTION("SPLIT(A:A, "" "")"),0.714198683006544)</f>
        <v>0.714198683</v>
      </c>
      <c r="C240" s="4">
        <f>IFERROR(__xludf.DUMMYFUNCTION("""COMPUTED_VALUE"""),0.993665081980144)</f>
        <v>0.993665082</v>
      </c>
      <c r="D240" s="15">
        <v>72.0</v>
      </c>
      <c r="E240" s="4"/>
      <c r="F240" s="14" t="s">
        <v>869</v>
      </c>
      <c r="G240" s="17">
        <f>IFERROR(__xludf.DUMMYFUNCTION("SPLIT(F:F, "" "")"),0.588982826830346)</f>
        <v>0.5889828268</v>
      </c>
      <c r="H240" s="4">
        <f>IFERROR(__xludf.DUMMYFUNCTION("""COMPUTED_VALUE"""),0.858288780561947)</f>
        <v>0.8582887806</v>
      </c>
      <c r="I240" s="15">
        <v>144.0</v>
      </c>
      <c r="J240" s="4"/>
      <c r="K240" s="4"/>
      <c r="L240" s="4"/>
      <c r="M240" s="4"/>
      <c r="N240" s="4"/>
      <c r="O240" s="4"/>
      <c r="P240" s="14" t="s">
        <v>870</v>
      </c>
      <c r="Q240" s="4">
        <f>IFERROR(__xludf.DUMMYFUNCTION("SPLIT(P:P, "" "")"),0.185732623479745)</f>
        <v>0.1857326235</v>
      </c>
      <c r="R240" s="4">
        <f>IFERROR(__xludf.DUMMYFUNCTION("""COMPUTED_VALUE"""),0.403634704697917)</f>
        <v>0.4036347047</v>
      </c>
      <c r="S240" s="15">
        <v>1904.0</v>
      </c>
      <c r="T240" s="4"/>
      <c r="U240" s="4"/>
    </row>
    <row r="241">
      <c r="A241" s="14" t="s">
        <v>871</v>
      </c>
      <c r="B241" s="4">
        <f>IFERROR(__xludf.DUMMYFUNCTION("SPLIT(A:A, "" "")"),0.716404105200345)</f>
        <v>0.7164041052</v>
      </c>
      <c r="C241" s="4">
        <f>IFERROR(__xludf.DUMMYFUNCTION("""COMPUTED_VALUE"""),1.00764894080092)</f>
        <v>1.007648941</v>
      </c>
      <c r="D241" s="15">
        <v>76.0</v>
      </c>
      <c r="E241" s="4"/>
      <c r="F241" s="14" t="s">
        <v>872</v>
      </c>
      <c r="G241" s="17">
        <f>IFERROR(__xludf.DUMMYFUNCTION("SPLIT(F:F, "" "")"),0.580988854938144)</f>
        <v>0.5809888549</v>
      </c>
      <c r="H241" s="4">
        <f>IFERROR(__xludf.DUMMYFUNCTION("""COMPUTED_VALUE"""),0.836632035518414)</f>
        <v>0.8366320355</v>
      </c>
      <c r="I241" s="15">
        <v>152.0</v>
      </c>
      <c r="J241" s="4"/>
      <c r="K241" s="4"/>
      <c r="L241" s="4"/>
      <c r="M241" s="4"/>
      <c r="N241" s="4"/>
      <c r="O241" s="4"/>
      <c r="P241" s="14" t="s">
        <v>873</v>
      </c>
      <c r="Q241" s="4">
        <f>IFERROR(__xludf.DUMMYFUNCTION("SPLIT(P:P, "" "")"),0.184559189626206)</f>
        <v>0.1845591896</v>
      </c>
      <c r="R241" s="4">
        <f>IFERROR(__xludf.DUMMYFUNCTION("""COMPUTED_VALUE"""),0.399419609355844)</f>
        <v>0.3994196094</v>
      </c>
      <c r="S241" s="15">
        <v>1912.0</v>
      </c>
      <c r="T241" s="4"/>
      <c r="U241" s="4"/>
    </row>
    <row r="242">
      <c r="A242" s="14" t="s">
        <v>874</v>
      </c>
      <c r="B242" s="4">
        <f>IFERROR(__xludf.DUMMYFUNCTION("SPLIT(A:A, "" "")"),0.690423964543002)</f>
        <v>0.6904239645</v>
      </c>
      <c r="C242" s="4">
        <f>IFERROR(__xludf.DUMMYFUNCTION("""COMPUTED_VALUE"""),0.976657489465829)</f>
        <v>0.9766574895</v>
      </c>
      <c r="D242" s="15">
        <v>80.0</v>
      </c>
      <c r="E242" s="4"/>
      <c r="F242" s="14" t="s">
        <v>875</v>
      </c>
      <c r="G242" s="17">
        <f>IFERROR(__xludf.DUMMYFUNCTION("SPLIT(F:F, "" "")"),0.570459432361669)</f>
        <v>0.5704594324</v>
      </c>
      <c r="H242" s="4">
        <f>IFERROR(__xludf.DUMMYFUNCTION("""COMPUTED_VALUE"""),0.81497590151535)</f>
        <v>0.8149759015</v>
      </c>
      <c r="I242" s="15">
        <v>160.0</v>
      </c>
      <c r="J242" s="4"/>
      <c r="K242" s="4"/>
      <c r="L242" s="4"/>
      <c r="M242" s="4"/>
      <c r="N242" s="4"/>
      <c r="O242" s="4"/>
      <c r="P242" s="14" t="s">
        <v>876</v>
      </c>
      <c r="Q242" s="4">
        <f>IFERROR(__xludf.DUMMYFUNCTION("SPLIT(P:P, "" "")"),0.189393896695157)</f>
        <v>0.1893938967</v>
      </c>
      <c r="R242" s="4">
        <f>IFERROR(__xludf.DUMMYFUNCTION("""COMPUTED_VALUE"""),0.415201776875503)</f>
        <v>0.4152017769</v>
      </c>
      <c r="S242" s="15">
        <v>1920.0</v>
      </c>
      <c r="T242" s="4"/>
      <c r="U242" s="4"/>
    </row>
    <row r="243">
      <c r="A243" s="14" t="s">
        <v>877</v>
      </c>
      <c r="B243" s="4">
        <f>IFERROR(__xludf.DUMMYFUNCTION("SPLIT(A:A, "" "")"),0.677078517554674)</f>
        <v>0.6770785176</v>
      </c>
      <c r="C243" s="4">
        <f>IFERROR(__xludf.DUMMYFUNCTION("""COMPUTED_VALUE"""),0.95369586264427)</f>
        <v>0.9536958626</v>
      </c>
      <c r="D243" s="15">
        <v>84.0</v>
      </c>
      <c r="E243" s="4"/>
      <c r="F243" s="14" t="s">
        <v>878</v>
      </c>
      <c r="G243" s="17">
        <f>IFERROR(__xludf.DUMMYFUNCTION("SPLIT(F:F, "" "")"),0.562927140320304)</f>
        <v>0.5629271403</v>
      </c>
      <c r="H243" s="4">
        <f>IFERROR(__xludf.DUMMYFUNCTION("""COMPUTED_VALUE"""),0.82143046571101)</f>
        <v>0.8214304657</v>
      </c>
      <c r="I243" s="15">
        <v>168.0</v>
      </c>
      <c r="J243" s="4"/>
      <c r="K243" s="4"/>
      <c r="L243" s="4"/>
      <c r="M243" s="4"/>
      <c r="N243" s="4"/>
      <c r="O243" s="4"/>
      <c r="P243" s="14" t="s">
        <v>879</v>
      </c>
      <c r="Q243" s="4">
        <f>IFERROR(__xludf.DUMMYFUNCTION("SPLIT(P:P, "" "")"),0.185530712976465)</f>
        <v>0.185530713</v>
      </c>
      <c r="R243" s="4">
        <f>IFERROR(__xludf.DUMMYFUNCTION("""COMPUTED_VALUE"""),0.406457018336714)</f>
        <v>0.4064570183</v>
      </c>
      <c r="S243" s="15">
        <v>1928.0</v>
      </c>
      <c r="T243" s="4"/>
      <c r="U243" s="4"/>
    </row>
    <row r="244">
      <c r="A244" s="14" t="s">
        <v>880</v>
      </c>
      <c r="B244" s="4">
        <f>IFERROR(__xludf.DUMMYFUNCTION("SPLIT(A:A, "" "")"),0.69419825378618)</f>
        <v>0.6941982538</v>
      </c>
      <c r="C244" s="4">
        <f>IFERROR(__xludf.DUMMYFUNCTION("""COMPUTED_VALUE"""),1.00534481624149)</f>
        <v>1.005344816</v>
      </c>
      <c r="D244" s="15">
        <v>88.0</v>
      </c>
      <c r="E244" s="4"/>
      <c r="F244" s="14" t="s">
        <v>881</v>
      </c>
      <c r="G244" s="17">
        <f>IFERROR(__xludf.DUMMYFUNCTION("SPLIT(F:F, "" "")"),0.554424861804917)</f>
        <v>0.5544248618</v>
      </c>
      <c r="H244" s="4">
        <f>IFERROR(__xludf.DUMMYFUNCTION("""COMPUTED_VALUE"""),0.808705332193468)</f>
        <v>0.8087053322</v>
      </c>
      <c r="I244" s="15">
        <v>176.0</v>
      </c>
      <c r="J244" s="4"/>
      <c r="K244" s="4"/>
      <c r="L244" s="4"/>
      <c r="M244" s="4"/>
      <c r="N244" s="4"/>
      <c r="O244" s="4"/>
      <c r="P244" s="14" t="s">
        <v>882</v>
      </c>
      <c r="Q244" s="4">
        <f>IFERROR(__xludf.DUMMYFUNCTION("SPLIT(P:P, "" "")"),0.184787284077458)</f>
        <v>0.1847872841</v>
      </c>
      <c r="R244" s="4">
        <f>IFERROR(__xludf.DUMMYFUNCTION("""COMPUTED_VALUE"""),0.401242348972709)</f>
        <v>0.401242349</v>
      </c>
      <c r="S244" s="15">
        <v>1936.0</v>
      </c>
      <c r="T244" s="4"/>
      <c r="U244" s="4"/>
    </row>
    <row r="245">
      <c r="A245" s="14" t="s">
        <v>883</v>
      </c>
      <c r="B245" s="4">
        <f>IFERROR(__xludf.DUMMYFUNCTION("SPLIT(A:A, "" "")"),0.676794825365497)</f>
        <v>0.6767948254</v>
      </c>
      <c r="C245" s="4">
        <f>IFERROR(__xludf.DUMMYFUNCTION("""COMPUTED_VALUE"""),0.97667372026844)</f>
        <v>0.9766737203</v>
      </c>
      <c r="D245" s="15">
        <v>92.0</v>
      </c>
      <c r="E245" s="4"/>
      <c r="F245" s="14" t="s">
        <v>884</v>
      </c>
      <c r="G245" s="17">
        <f>IFERROR(__xludf.DUMMYFUNCTION("SPLIT(F:F, "" "")"),0.527409575842665)</f>
        <v>0.5274095758</v>
      </c>
      <c r="H245" s="4">
        <f>IFERROR(__xludf.DUMMYFUNCTION("""COMPUTED_VALUE"""),0.786705599139707)</f>
        <v>0.7867055991</v>
      </c>
      <c r="I245" s="15">
        <v>184.0</v>
      </c>
      <c r="J245" s="4"/>
      <c r="K245" s="4"/>
      <c r="L245" s="4"/>
      <c r="M245" s="4"/>
      <c r="N245" s="4"/>
      <c r="O245" s="4"/>
      <c r="P245" s="14" t="s">
        <v>885</v>
      </c>
      <c r="Q245" s="4">
        <f>IFERROR(__xludf.DUMMYFUNCTION("SPLIT(P:P, "" "")"),0.184976543651483)</f>
        <v>0.1849765437</v>
      </c>
      <c r="R245" s="4">
        <f>IFERROR(__xludf.DUMMYFUNCTION("""COMPUTED_VALUE"""),0.402992056503663)</f>
        <v>0.4029920565</v>
      </c>
      <c r="S245" s="15">
        <v>1944.0</v>
      </c>
      <c r="T245" s="4"/>
      <c r="U245" s="4"/>
    </row>
    <row r="246">
      <c r="A246" s="14" t="s">
        <v>886</v>
      </c>
      <c r="B246" s="4">
        <f>IFERROR(__xludf.DUMMYFUNCTION("SPLIT(A:A, "" "")"),0.64438005855174)</f>
        <v>0.6443800586</v>
      </c>
      <c r="C246" s="4">
        <f>IFERROR(__xludf.DUMMYFUNCTION("""COMPUTED_VALUE"""),0.911809725245654)</f>
        <v>0.9118097252</v>
      </c>
      <c r="D246" s="15">
        <v>96.0</v>
      </c>
      <c r="E246" s="4"/>
      <c r="F246" s="14" t="s">
        <v>887</v>
      </c>
      <c r="G246" s="17">
        <f>IFERROR(__xludf.DUMMYFUNCTION("SPLIT(F:F, "" "")"),0.539966275591254)</f>
        <v>0.5399662756</v>
      </c>
      <c r="H246" s="4">
        <f>IFERROR(__xludf.DUMMYFUNCTION("""COMPUTED_VALUE"""),0.809802373726826)</f>
        <v>0.8098023737</v>
      </c>
      <c r="I246" s="15">
        <v>192.0</v>
      </c>
      <c r="J246" s="4"/>
      <c r="K246" s="4"/>
      <c r="L246" s="4"/>
      <c r="M246" s="4"/>
      <c r="N246" s="4"/>
      <c r="O246" s="4"/>
      <c r="P246" s="14" t="s">
        <v>888</v>
      </c>
      <c r="Q246" s="4">
        <f>IFERROR(__xludf.DUMMYFUNCTION("SPLIT(P:P, "" "")"),0.184890872438968)</f>
        <v>0.1848908724</v>
      </c>
      <c r="R246" s="4">
        <f>IFERROR(__xludf.DUMMYFUNCTION("""COMPUTED_VALUE"""),0.405884507571958)</f>
        <v>0.4058845076</v>
      </c>
      <c r="S246" s="15">
        <v>1952.0</v>
      </c>
      <c r="T246" s="4"/>
      <c r="U246" s="4"/>
    </row>
    <row r="247">
      <c r="A247" s="14" t="s">
        <v>889</v>
      </c>
      <c r="B247" s="4">
        <f>IFERROR(__xludf.DUMMYFUNCTION("SPLIT(A:A, "" "")"),0.627321169463678)</f>
        <v>0.6273211695</v>
      </c>
      <c r="C247" s="4">
        <f>IFERROR(__xludf.DUMMYFUNCTION("""COMPUTED_VALUE"""),0.908625861624187)</f>
        <v>0.9086258616</v>
      </c>
      <c r="D247" s="15">
        <v>100.0</v>
      </c>
      <c r="E247" s="4"/>
      <c r="F247" s="14" t="s">
        <v>890</v>
      </c>
      <c r="G247" s="17">
        <f>IFERROR(__xludf.DUMMYFUNCTION("SPLIT(F:F, "" "")"),0.54144435737173)</f>
        <v>0.5414443574</v>
      </c>
      <c r="H247" s="4">
        <f>IFERROR(__xludf.DUMMYFUNCTION("""COMPUTED_VALUE"""),0.808223457861211)</f>
        <v>0.8082234579</v>
      </c>
      <c r="I247" s="15">
        <v>200.0</v>
      </c>
      <c r="J247" s="4"/>
      <c r="K247" s="4"/>
      <c r="L247" s="4"/>
      <c r="M247" s="4"/>
      <c r="N247" s="4"/>
      <c r="O247" s="4"/>
      <c r="P247" s="14" t="s">
        <v>891</v>
      </c>
      <c r="Q247" s="4">
        <f>IFERROR(__xludf.DUMMYFUNCTION("SPLIT(P:P, "" "")"),0.186760303577678)</f>
        <v>0.1867603036</v>
      </c>
      <c r="R247" s="4">
        <f>IFERROR(__xludf.DUMMYFUNCTION("""COMPUTED_VALUE"""),0.398479052860887)</f>
        <v>0.3984790529</v>
      </c>
      <c r="S247" s="15">
        <v>1960.0</v>
      </c>
      <c r="T247" s="4"/>
      <c r="U247" s="4"/>
    </row>
    <row r="248">
      <c r="A248" s="14" t="s">
        <v>892</v>
      </c>
      <c r="B248" s="4">
        <f>IFERROR(__xludf.DUMMYFUNCTION("SPLIT(A:A, "" "")"),0.618992761056117)</f>
        <v>0.6189927611</v>
      </c>
      <c r="C248" s="4">
        <f>IFERROR(__xludf.DUMMYFUNCTION("""COMPUTED_VALUE"""),0.915292462810481)</f>
        <v>0.9152924628</v>
      </c>
      <c r="D248" s="15">
        <v>104.0</v>
      </c>
      <c r="E248" s="4"/>
      <c r="F248" s="14" t="s">
        <v>893</v>
      </c>
      <c r="G248" s="17">
        <f>IFERROR(__xludf.DUMMYFUNCTION("SPLIT(F:F, "" "")"),0.495568064890897)</f>
        <v>0.4955680649</v>
      </c>
      <c r="H248" s="4">
        <f>IFERROR(__xludf.DUMMYFUNCTION("""COMPUTED_VALUE"""),0.766277654505075)</f>
        <v>0.7662776545</v>
      </c>
      <c r="I248" s="15">
        <v>208.0</v>
      </c>
      <c r="J248" s="4"/>
      <c r="K248" s="4"/>
      <c r="L248" s="4"/>
      <c r="M248" s="4"/>
      <c r="N248" s="4"/>
      <c r="O248" s="4"/>
      <c r="P248" s="14" t="s">
        <v>894</v>
      </c>
      <c r="Q248" s="4">
        <f>IFERROR(__xludf.DUMMYFUNCTION("SPLIT(P:P, "" "")"),0.18453156967873)</f>
        <v>0.1845315697</v>
      </c>
      <c r="R248" s="4">
        <f>IFERROR(__xludf.DUMMYFUNCTION("""COMPUTED_VALUE"""),0.408199479043253)</f>
        <v>0.408199479</v>
      </c>
      <c r="S248" s="15">
        <v>1968.0</v>
      </c>
      <c r="T248" s="4"/>
      <c r="U248" s="4"/>
    </row>
    <row r="249">
      <c r="A249" s="14" t="s">
        <v>895</v>
      </c>
      <c r="B249" s="4">
        <f>IFERROR(__xludf.DUMMYFUNCTION("SPLIT(A:A, "" "")"),0.643346747474205)</f>
        <v>0.6433467475</v>
      </c>
      <c r="C249" s="4">
        <f>IFERROR(__xludf.DUMMYFUNCTION("""COMPUTED_VALUE"""),0.933931243999605)</f>
        <v>0.933931244</v>
      </c>
      <c r="D249" s="15">
        <v>108.0</v>
      </c>
      <c r="E249" s="4"/>
      <c r="F249" s="14" t="s">
        <v>896</v>
      </c>
      <c r="G249" s="17">
        <f>IFERROR(__xludf.DUMMYFUNCTION("SPLIT(F:F, "" "")"),0.499975778052062)</f>
        <v>0.4999757781</v>
      </c>
      <c r="H249" s="4">
        <f>IFERROR(__xludf.DUMMYFUNCTION("""COMPUTED_VALUE"""),0.790056979237191)</f>
        <v>0.7900569792</v>
      </c>
      <c r="I249" s="15">
        <v>216.0</v>
      </c>
      <c r="J249" s="4"/>
      <c r="K249" s="4"/>
      <c r="L249" s="4"/>
      <c r="M249" s="4"/>
      <c r="N249" s="4"/>
      <c r="O249" s="4"/>
      <c r="P249" s="14" t="s">
        <v>897</v>
      </c>
      <c r="Q249" s="4">
        <f>IFERROR(__xludf.DUMMYFUNCTION("SPLIT(P:P, "" "")"),0.189927494910748)</f>
        <v>0.1899274949</v>
      </c>
      <c r="R249" s="4">
        <f>IFERROR(__xludf.DUMMYFUNCTION("""COMPUTED_VALUE"""),0.415738830209856)</f>
        <v>0.4157388302</v>
      </c>
      <c r="S249" s="15">
        <v>1976.0</v>
      </c>
      <c r="T249" s="4"/>
      <c r="U249" s="4"/>
    </row>
    <row r="250">
      <c r="A250" s="14" t="s">
        <v>898</v>
      </c>
      <c r="B250" s="4">
        <f>IFERROR(__xludf.DUMMYFUNCTION("SPLIT(A:A, "" "")"),0.631497628390419)</f>
        <v>0.6314976284</v>
      </c>
      <c r="C250" s="4">
        <f>IFERROR(__xludf.DUMMYFUNCTION("""COMPUTED_VALUE"""),0.957902589161125)</f>
        <v>0.9579025892</v>
      </c>
      <c r="D250" s="15">
        <v>112.0</v>
      </c>
      <c r="E250" s="4"/>
      <c r="F250" s="14" t="s">
        <v>899</v>
      </c>
      <c r="G250" s="17">
        <f>IFERROR(__xludf.DUMMYFUNCTION("SPLIT(F:F, "" "")"),0.483659734752799)</f>
        <v>0.4836597348</v>
      </c>
      <c r="H250" s="4">
        <f>IFERROR(__xludf.DUMMYFUNCTION("""COMPUTED_VALUE"""),0.762432552971316)</f>
        <v>0.762432553</v>
      </c>
      <c r="I250" s="15">
        <v>224.0</v>
      </c>
      <c r="J250" s="4"/>
      <c r="K250" s="4"/>
      <c r="L250" s="4"/>
      <c r="M250" s="4"/>
      <c r="N250" s="4"/>
      <c r="O250" s="4"/>
      <c r="P250" s="14" t="s">
        <v>900</v>
      </c>
      <c r="Q250" s="4">
        <f>IFERROR(__xludf.DUMMYFUNCTION("SPLIT(P:P, "" "")"),0.185425229168077)</f>
        <v>0.1854252292</v>
      </c>
      <c r="R250" s="4">
        <f>IFERROR(__xludf.DUMMYFUNCTION("""COMPUTED_VALUE"""),0.401041050477079)</f>
        <v>0.4010410505</v>
      </c>
      <c r="S250" s="15">
        <v>1984.0</v>
      </c>
      <c r="T250" s="4"/>
      <c r="U250" s="4"/>
    </row>
    <row r="251">
      <c r="A251" s="14" t="s">
        <v>901</v>
      </c>
      <c r="B251" s="4">
        <f>IFERROR(__xludf.DUMMYFUNCTION("SPLIT(A:A, "" "")"),0.598261146590769)</f>
        <v>0.5982611466</v>
      </c>
      <c r="C251" s="4">
        <f>IFERROR(__xludf.DUMMYFUNCTION("""COMPUTED_VALUE"""),0.911992877069042)</f>
        <v>0.9119928771</v>
      </c>
      <c r="D251" s="15">
        <v>116.0</v>
      </c>
      <c r="E251" s="4"/>
      <c r="F251" s="14" t="s">
        <v>902</v>
      </c>
      <c r="G251" s="17">
        <f>IFERROR(__xludf.DUMMYFUNCTION("SPLIT(F:F, "" "")"),0.478085790608072)</f>
        <v>0.4780857906</v>
      </c>
      <c r="H251" s="4">
        <f>IFERROR(__xludf.DUMMYFUNCTION("""COMPUTED_VALUE"""),0.746201855594582)</f>
        <v>0.7462018556</v>
      </c>
      <c r="I251" s="15">
        <v>232.0</v>
      </c>
      <c r="J251" s="4"/>
      <c r="K251" s="4"/>
      <c r="L251" s="4"/>
      <c r="M251" s="4"/>
      <c r="N251" s="4"/>
      <c r="O251" s="4"/>
      <c r="P251" s="14" t="s">
        <v>903</v>
      </c>
      <c r="Q251" s="4">
        <f>IFERROR(__xludf.DUMMYFUNCTION("SPLIT(P:P, "" "")"),0.185313000100084)</f>
        <v>0.1853130001</v>
      </c>
      <c r="R251" s="4">
        <f>IFERROR(__xludf.DUMMYFUNCTION("""COMPUTED_VALUE"""),0.406432036248708)</f>
        <v>0.4064320362</v>
      </c>
      <c r="S251" s="15">
        <v>1992.0</v>
      </c>
      <c r="T251" s="4"/>
      <c r="U251" s="4"/>
    </row>
    <row r="252">
      <c r="A252" s="14" t="s">
        <v>904</v>
      </c>
      <c r="B252" s="4">
        <f>IFERROR(__xludf.DUMMYFUNCTION("SPLIT(A:A, "" "")"),0.593603925712303)</f>
        <v>0.5936039257</v>
      </c>
      <c r="C252" s="4">
        <f>IFERROR(__xludf.DUMMYFUNCTION("""COMPUTED_VALUE"""),0.902285466139999)</f>
        <v>0.9022854661</v>
      </c>
      <c r="D252" s="15">
        <v>120.0</v>
      </c>
      <c r="E252" s="4"/>
      <c r="F252" s="14" t="s">
        <v>905</v>
      </c>
      <c r="G252" s="17">
        <f>IFERROR(__xludf.DUMMYFUNCTION("SPLIT(F:F, "" "")"),0.497021014529976)</f>
        <v>0.4970210145</v>
      </c>
      <c r="H252" s="4">
        <f>IFERROR(__xludf.DUMMYFUNCTION("""COMPUTED_VALUE"""),0.778192789916062)</f>
        <v>0.7781927899</v>
      </c>
      <c r="I252" s="15">
        <v>240.0</v>
      </c>
      <c r="J252" s="4"/>
      <c r="K252" s="4"/>
      <c r="L252" s="4"/>
      <c r="M252" s="4"/>
      <c r="N252" s="4"/>
      <c r="O252" s="4"/>
      <c r="P252" s="14" t="s">
        <v>906</v>
      </c>
      <c r="Q252" s="4">
        <f>IFERROR(__xludf.DUMMYFUNCTION("SPLIT(P:P, "" "")"),0.185303673438237)</f>
        <v>0.1853036734</v>
      </c>
      <c r="R252" s="4">
        <f>IFERROR(__xludf.DUMMYFUNCTION("""COMPUTED_VALUE"""),0.405478737589424)</f>
        <v>0.4054787376</v>
      </c>
      <c r="S252" s="15">
        <v>2000.0</v>
      </c>
      <c r="T252" s="4"/>
      <c r="U252" s="4"/>
    </row>
    <row r="253">
      <c r="A253" s="14" t="s">
        <v>907</v>
      </c>
      <c r="B253" s="4">
        <f>IFERROR(__xludf.DUMMYFUNCTION("SPLIT(A:A, "" "")"),0.576325482442855)</f>
        <v>0.5763254824</v>
      </c>
      <c r="C253" s="4">
        <f>IFERROR(__xludf.DUMMYFUNCTION("""COMPUTED_VALUE"""),0.896971174861011)</f>
        <v>0.8969711749</v>
      </c>
      <c r="D253" s="15">
        <v>124.0</v>
      </c>
      <c r="E253" s="4"/>
      <c r="F253" s="14" t="s">
        <v>908</v>
      </c>
      <c r="G253" s="17">
        <f>IFERROR(__xludf.DUMMYFUNCTION("SPLIT(F:F, "" "")"),0.465428670701556)</f>
        <v>0.4654286707</v>
      </c>
      <c r="H253" s="4">
        <f>IFERROR(__xludf.DUMMYFUNCTION("""COMPUTED_VALUE"""),0.742373562667913)</f>
        <v>0.7423735627</v>
      </c>
      <c r="I253" s="15">
        <v>248.0</v>
      </c>
      <c r="J253" s="4"/>
      <c r="K253" s="4"/>
      <c r="L253" s="4"/>
      <c r="M253" s="4"/>
      <c r="N253" s="4"/>
      <c r="O253" s="4"/>
      <c r="P253" s="14" t="s">
        <v>909</v>
      </c>
      <c r="Q253" s="4">
        <f>IFERROR(__xludf.DUMMYFUNCTION("SPLIT(P:P, "" "")"),0.184859722845544)</f>
        <v>0.1848597228</v>
      </c>
      <c r="R253" s="4">
        <f>IFERROR(__xludf.DUMMYFUNCTION("""COMPUTED_VALUE"""),0.404379146998714)</f>
        <v>0.404379147</v>
      </c>
      <c r="S253" s="15">
        <v>2008.0</v>
      </c>
      <c r="T253" s="4"/>
      <c r="U253" s="4"/>
    </row>
    <row r="254">
      <c r="A254" s="14" t="s">
        <v>910</v>
      </c>
      <c r="B254" s="4">
        <f>IFERROR(__xludf.DUMMYFUNCTION("SPLIT(A:A, "" "")"),0.588451402687544)</f>
        <v>0.5884514027</v>
      </c>
      <c r="C254" s="4">
        <f>IFERROR(__xludf.DUMMYFUNCTION("""COMPUTED_VALUE"""),0.912150365736924)</f>
        <v>0.9121503657</v>
      </c>
      <c r="D254" s="15">
        <v>128.0</v>
      </c>
      <c r="E254" s="4"/>
      <c r="F254" s="14" t="s">
        <v>911</v>
      </c>
      <c r="G254" s="17">
        <f>IFERROR(__xludf.DUMMYFUNCTION("SPLIT(F:F, "" "")"),0.481886891034946)</f>
        <v>0.481886891</v>
      </c>
      <c r="H254" s="4">
        <f>IFERROR(__xludf.DUMMYFUNCTION("""COMPUTED_VALUE"""),0.777301964477644)</f>
        <v>0.7773019645</v>
      </c>
      <c r="I254" s="15">
        <v>256.0</v>
      </c>
      <c r="J254" s="4"/>
      <c r="K254" s="4"/>
      <c r="L254" s="4"/>
      <c r="M254" s="4"/>
      <c r="N254" s="4"/>
      <c r="O254" s="4"/>
      <c r="P254" s="14" t="s">
        <v>912</v>
      </c>
      <c r="Q254" s="4">
        <f>IFERROR(__xludf.DUMMYFUNCTION("SPLIT(P:P, "" "")"),0.18257869734121)</f>
        <v>0.1825786973</v>
      </c>
      <c r="R254" s="4">
        <f>IFERROR(__xludf.DUMMYFUNCTION("""COMPUTED_VALUE"""),0.396640768476698)</f>
        <v>0.3966407685</v>
      </c>
      <c r="S254" s="15">
        <v>2016.0</v>
      </c>
      <c r="T254" s="4"/>
      <c r="U254" s="4"/>
    </row>
    <row r="255">
      <c r="A255" s="14" t="s">
        <v>913</v>
      </c>
      <c r="B255" s="4">
        <f>IFERROR(__xludf.DUMMYFUNCTION("SPLIT(A:A, "" "")"),0.591907266258823)</f>
        <v>0.5919072663</v>
      </c>
      <c r="C255" s="4">
        <f>IFERROR(__xludf.DUMMYFUNCTION("""COMPUTED_VALUE"""),0.924028929307279)</f>
        <v>0.9240289293</v>
      </c>
      <c r="D255" s="15">
        <v>132.0</v>
      </c>
      <c r="E255" s="4"/>
      <c r="F255" s="14" t="s">
        <v>914</v>
      </c>
      <c r="G255" s="17">
        <f>IFERROR(__xludf.DUMMYFUNCTION("SPLIT(F:F, "" "")"),0.452760192202884)</f>
        <v>0.4527601922</v>
      </c>
      <c r="H255" s="4">
        <f>IFERROR(__xludf.DUMMYFUNCTION("""COMPUTED_VALUE"""),0.741765340264745)</f>
        <v>0.7417653403</v>
      </c>
      <c r="I255" s="15">
        <v>264.0</v>
      </c>
      <c r="J255" s="4"/>
      <c r="K255" s="4"/>
      <c r="L255" s="4"/>
      <c r="M255" s="4"/>
      <c r="N255" s="4"/>
      <c r="O255" s="4"/>
      <c r="P255" s="14" t="s">
        <v>915</v>
      </c>
      <c r="Q255" s="4">
        <f>IFERROR(__xludf.DUMMYFUNCTION("SPLIT(P:P, "" "")"),0.185706994314571)</f>
        <v>0.1857069943</v>
      </c>
      <c r="R255" s="4">
        <f>IFERROR(__xludf.DUMMYFUNCTION("""COMPUTED_VALUE"""),0.398043317069143)</f>
        <v>0.3980433171</v>
      </c>
      <c r="S255" s="15">
        <v>2024.0</v>
      </c>
      <c r="T255" s="4"/>
      <c r="U255" s="4"/>
    </row>
    <row r="256">
      <c r="A256" s="14" t="s">
        <v>916</v>
      </c>
      <c r="B256" s="4">
        <f>IFERROR(__xludf.DUMMYFUNCTION("SPLIT(A:A, "" "")"),0.574920161282109)</f>
        <v>0.5749201613</v>
      </c>
      <c r="C256" s="4">
        <f>IFERROR(__xludf.DUMMYFUNCTION("""COMPUTED_VALUE"""),0.861799689848385)</f>
        <v>0.8617996898</v>
      </c>
      <c r="D256" s="15">
        <v>136.0</v>
      </c>
      <c r="E256" s="4"/>
      <c r="F256" s="14" t="s">
        <v>917</v>
      </c>
      <c r="G256" s="17">
        <f>IFERROR(__xludf.DUMMYFUNCTION("SPLIT(F:F, "" "")"),0.447286308395985)</f>
        <v>0.4472863084</v>
      </c>
      <c r="H256" s="4">
        <f>IFERROR(__xludf.DUMMYFUNCTION("""COMPUTED_VALUE"""),0.729753469699106)</f>
        <v>0.7297534697</v>
      </c>
      <c r="I256" s="15">
        <v>272.0</v>
      </c>
      <c r="J256" s="4"/>
      <c r="K256" s="4"/>
      <c r="L256" s="4"/>
      <c r="M256" s="4"/>
      <c r="N256" s="4"/>
      <c r="O256" s="4"/>
      <c r="P256" s="14" t="s">
        <v>918</v>
      </c>
      <c r="Q256" s="4">
        <f>IFERROR(__xludf.DUMMYFUNCTION("SPLIT(P:P, "" "")"),0.19178873867152)</f>
        <v>0.1917887387</v>
      </c>
      <c r="R256" s="4">
        <f>IFERROR(__xludf.DUMMYFUNCTION("""COMPUTED_VALUE"""),0.406406308363915)</f>
        <v>0.4064063084</v>
      </c>
      <c r="S256" s="15">
        <v>2032.0</v>
      </c>
      <c r="T256" s="4"/>
      <c r="U256" s="4"/>
    </row>
    <row r="257">
      <c r="A257" s="14" t="s">
        <v>919</v>
      </c>
      <c r="B257" s="4">
        <f>IFERROR(__xludf.DUMMYFUNCTION("SPLIT(A:A, "" "")"),0.567358102304279)</f>
        <v>0.5673581023</v>
      </c>
      <c r="C257" s="4">
        <f>IFERROR(__xludf.DUMMYFUNCTION("""COMPUTED_VALUE"""),0.882657949472209)</f>
        <v>0.8826579495</v>
      </c>
      <c r="D257" s="15">
        <v>140.0</v>
      </c>
      <c r="E257" s="4"/>
      <c r="F257" s="14" t="s">
        <v>920</v>
      </c>
      <c r="G257" s="17">
        <f>IFERROR(__xludf.DUMMYFUNCTION("SPLIT(F:F, "" "")"),0.430107385666358)</f>
        <v>0.4301073857</v>
      </c>
      <c r="H257" s="4">
        <f>IFERROR(__xludf.DUMMYFUNCTION("""COMPUTED_VALUE"""),0.726357298018191)</f>
        <v>0.726357298</v>
      </c>
      <c r="I257" s="15">
        <v>280.0</v>
      </c>
      <c r="J257" s="4"/>
      <c r="K257" s="4"/>
      <c r="L257" s="4"/>
      <c r="M257" s="4"/>
      <c r="N257" s="4"/>
      <c r="O257" s="4"/>
      <c r="P257" s="14" t="s">
        <v>921</v>
      </c>
      <c r="Q257" s="4">
        <f>IFERROR(__xludf.DUMMYFUNCTION("SPLIT(P:P, "" "")"),0.183834834334183)</f>
        <v>0.1838348343</v>
      </c>
      <c r="R257" s="4">
        <f>IFERROR(__xludf.DUMMYFUNCTION("""COMPUTED_VALUE"""),0.412137889557489)</f>
        <v>0.4121378896</v>
      </c>
      <c r="S257" s="15">
        <v>2040.0</v>
      </c>
      <c r="T257" s="4"/>
      <c r="U257" s="4"/>
    </row>
    <row r="258">
      <c r="A258" s="14" t="s">
        <v>922</v>
      </c>
      <c r="B258" s="4">
        <f>IFERROR(__xludf.DUMMYFUNCTION("SPLIT(A:A, "" "")"),0.54079078071075)</f>
        <v>0.5407907807</v>
      </c>
      <c r="C258" s="4">
        <f>IFERROR(__xludf.DUMMYFUNCTION("""COMPUTED_VALUE"""),0.864540817882639)</f>
        <v>0.8645408179</v>
      </c>
      <c r="D258" s="15">
        <v>144.0</v>
      </c>
      <c r="E258" s="4"/>
      <c r="F258" s="14" t="s">
        <v>923</v>
      </c>
      <c r="G258" s="17">
        <f>IFERROR(__xludf.DUMMYFUNCTION("SPLIT(F:F, "" "")"),0.442372397131752)</f>
        <v>0.4423723971</v>
      </c>
      <c r="H258" s="4">
        <f>IFERROR(__xludf.DUMMYFUNCTION("""COMPUTED_VALUE"""),0.744087324874054)</f>
        <v>0.7440873249</v>
      </c>
      <c r="I258" s="15">
        <v>288.0</v>
      </c>
      <c r="J258" s="4"/>
      <c r="K258" s="4"/>
      <c r="L258" s="4"/>
      <c r="M258" s="4"/>
      <c r="N258" s="4"/>
      <c r="O258" s="4"/>
      <c r="P258" s="14" t="s">
        <v>924</v>
      </c>
      <c r="Q258" s="4">
        <f>IFERROR(__xludf.DUMMYFUNCTION("SPLIT(P:P, "" "")"),0.186282944012901)</f>
        <v>0.186282944</v>
      </c>
      <c r="R258" s="4">
        <f>IFERROR(__xludf.DUMMYFUNCTION("""COMPUTED_VALUE"""),0.400766540312003)</f>
        <v>0.4007665403</v>
      </c>
      <c r="S258" s="15">
        <v>2048.0</v>
      </c>
      <c r="T258" s="4"/>
      <c r="U258" s="4"/>
    </row>
    <row r="259">
      <c r="A259" s="14" t="s">
        <v>925</v>
      </c>
      <c r="B259" s="4">
        <f>IFERROR(__xludf.DUMMYFUNCTION("SPLIT(A:A, "" "")"),0.573590711710388)</f>
        <v>0.5735907117</v>
      </c>
      <c r="C259" s="4">
        <f>IFERROR(__xludf.DUMMYFUNCTION("""COMPUTED_VALUE"""),0.885911833964659)</f>
        <v>0.885911834</v>
      </c>
      <c r="D259" s="15">
        <v>148.0</v>
      </c>
      <c r="E259" s="4"/>
      <c r="F259" s="14" t="s">
        <v>926</v>
      </c>
      <c r="G259" s="17">
        <f>IFERROR(__xludf.DUMMYFUNCTION("SPLIT(F:F, "" "")"),0.453148640619933)</f>
        <v>0.4531486406</v>
      </c>
      <c r="H259" s="4">
        <f>IFERROR(__xludf.DUMMYFUNCTION("""COMPUTED_VALUE"""),0.761843635981545)</f>
        <v>0.761843636</v>
      </c>
      <c r="I259" s="15">
        <v>296.0</v>
      </c>
      <c r="J259" s="4"/>
      <c r="K259" s="4"/>
      <c r="L259" s="4"/>
      <c r="M259" s="4"/>
      <c r="N259" s="4"/>
      <c r="O259" s="4"/>
      <c r="P259" s="14" t="s">
        <v>927</v>
      </c>
      <c r="Q259" s="4">
        <f>IFERROR(__xludf.DUMMYFUNCTION("SPLIT(P:P, "" "")"),0.188828126370183)</f>
        <v>0.1888281264</v>
      </c>
      <c r="R259" s="4">
        <f>IFERROR(__xludf.DUMMYFUNCTION("""COMPUTED_VALUE"""),0.40384280527765)</f>
        <v>0.4038428053</v>
      </c>
      <c r="S259" s="15">
        <v>2056.0</v>
      </c>
      <c r="T259" s="4"/>
      <c r="U259" s="4"/>
    </row>
    <row r="260">
      <c r="A260" s="14" t="s">
        <v>928</v>
      </c>
      <c r="B260" s="4">
        <f>IFERROR(__xludf.DUMMYFUNCTION("SPLIT(A:A, "" "")"),0.549245720877625)</f>
        <v>0.5492457209</v>
      </c>
      <c r="C260" s="4">
        <f>IFERROR(__xludf.DUMMYFUNCTION("""COMPUTED_VALUE"""),0.877305089890177)</f>
        <v>0.8773050899</v>
      </c>
      <c r="D260" s="15">
        <v>152.0</v>
      </c>
      <c r="E260" s="4"/>
      <c r="F260" s="14" t="s">
        <v>929</v>
      </c>
      <c r="G260" s="17">
        <f>IFERROR(__xludf.DUMMYFUNCTION("SPLIT(F:F, "" "")"),0.44066750823909)</f>
        <v>0.4406675082</v>
      </c>
      <c r="H260" s="4">
        <f>IFERROR(__xludf.DUMMYFUNCTION("""COMPUTED_VALUE"""),0.739111182197557)</f>
        <v>0.7391111822</v>
      </c>
      <c r="I260" s="15">
        <v>304.0</v>
      </c>
      <c r="J260" s="4"/>
      <c r="K260" s="4"/>
      <c r="L260" s="4"/>
      <c r="M260" s="4"/>
      <c r="N260" s="4"/>
      <c r="O260" s="4"/>
      <c r="P260" s="14" t="s">
        <v>930</v>
      </c>
      <c r="Q260" s="4">
        <f>IFERROR(__xludf.DUMMYFUNCTION("SPLIT(P:P, "" "")"),0.183663377056737)</f>
        <v>0.1836633771</v>
      </c>
      <c r="R260" s="4">
        <f>IFERROR(__xludf.DUMMYFUNCTION("""COMPUTED_VALUE"""),0.403221150593335)</f>
        <v>0.4032211506</v>
      </c>
      <c r="S260" s="15">
        <v>2064.0</v>
      </c>
      <c r="T260" s="4"/>
      <c r="U260" s="4"/>
    </row>
    <row r="261">
      <c r="A261" s="14" t="s">
        <v>931</v>
      </c>
      <c r="B261" s="4">
        <f>IFERROR(__xludf.DUMMYFUNCTION("SPLIT(A:A, "" "")"),0.557297185227058)</f>
        <v>0.5572971852</v>
      </c>
      <c r="C261" s="4">
        <f>IFERROR(__xludf.DUMMYFUNCTION("""COMPUTED_VALUE"""),0.876991530016621)</f>
        <v>0.87699153</v>
      </c>
      <c r="D261" s="15">
        <v>156.0</v>
      </c>
      <c r="E261" s="4"/>
      <c r="F261" s="14" t="s">
        <v>932</v>
      </c>
      <c r="G261" s="17">
        <f>IFERROR(__xludf.DUMMYFUNCTION("SPLIT(F:F, "" "")"),0.427419325768329)</f>
        <v>0.4274193258</v>
      </c>
      <c r="H261" s="4">
        <f>IFERROR(__xludf.DUMMYFUNCTION("""COMPUTED_VALUE"""),0.729601068536759)</f>
        <v>0.7296010685</v>
      </c>
      <c r="I261" s="15">
        <v>312.0</v>
      </c>
      <c r="J261" s="4"/>
      <c r="K261" s="4"/>
      <c r="L261" s="4"/>
      <c r="M261" s="4"/>
      <c r="N261" s="4"/>
      <c r="O261" s="4"/>
      <c r="P261" s="14" t="s">
        <v>933</v>
      </c>
      <c r="Q261" s="4">
        <f>IFERROR(__xludf.DUMMYFUNCTION("SPLIT(P:P, "" "")"),0.185559498372367)</f>
        <v>0.1855594984</v>
      </c>
      <c r="R261" s="4">
        <f>IFERROR(__xludf.DUMMYFUNCTION("""COMPUTED_VALUE"""),0.404184187520761)</f>
        <v>0.4041841875</v>
      </c>
      <c r="S261" s="15">
        <v>2072.0</v>
      </c>
      <c r="T261" s="4"/>
      <c r="U261" s="4"/>
    </row>
    <row r="262">
      <c r="A262" s="14" t="s">
        <v>934</v>
      </c>
      <c r="B262" s="4">
        <f>IFERROR(__xludf.DUMMYFUNCTION("SPLIT(A:A, "" "")"),0.527923954736137)</f>
        <v>0.5279239547</v>
      </c>
      <c r="C262" s="4">
        <f>IFERROR(__xludf.DUMMYFUNCTION("""COMPUTED_VALUE"""),0.851550312417236)</f>
        <v>0.8515503124</v>
      </c>
      <c r="D262" s="15">
        <v>160.0</v>
      </c>
      <c r="E262" s="4"/>
      <c r="F262" s="14" t="s">
        <v>935</v>
      </c>
      <c r="G262" s="17">
        <f>IFERROR(__xludf.DUMMYFUNCTION("SPLIT(F:F, "" "")"),0.426960946572811)</f>
        <v>0.4269609466</v>
      </c>
      <c r="H262" s="4">
        <f>IFERROR(__xludf.DUMMYFUNCTION("""COMPUTED_VALUE"""),0.712758431494651)</f>
        <v>0.7127584315</v>
      </c>
      <c r="I262" s="15">
        <v>320.0</v>
      </c>
      <c r="J262" s="4"/>
      <c r="K262" s="4"/>
      <c r="L262" s="4"/>
      <c r="M262" s="4"/>
      <c r="N262" s="4"/>
      <c r="O262" s="4"/>
      <c r="P262" s="14" t="s">
        <v>936</v>
      </c>
      <c r="Q262" s="4">
        <f>IFERROR(__xludf.DUMMYFUNCTION("SPLIT(P:P, "" "")"),0.183438407324306)</f>
        <v>0.1834384073</v>
      </c>
      <c r="R262" s="4">
        <f>IFERROR(__xludf.DUMMYFUNCTION("""COMPUTED_VALUE"""),0.409832850571622)</f>
        <v>0.4098328506</v>
      </c>
      <c r="S262" s="15">
        <v>2080.0</v>
      </c>
      <c r="T262" s="4"/>
      <c r="U262" s="4"/>
    </row>
    <row r="263">
      <c r="A263" s="14" t="s">
        <v>937</v>
      </c>
      <c r="B263" s="4">
        <f>IFERROR(__xludf.DUMMYFUNCTION("SPLIT(A:A, "" "")"),0.510004858463986)</f>
        <v>0.5100048585</v>
      </c>
      <c r="C263" s="4">
        <f>IFERROR(__xludf.DUMMYFUNCTION("""COMPUTED_VALUE"""),0.852688465033154)</f>
        <v>0.852688465</v>
      </c>
      <c r="D263" s="15">
        <v>164.0</v>
      </c>
      <c r="E263" s="4"/>
      <c r="F263" s="14" t="s">
        <v>938</v>
      </c>
      <c r="G263" s="17">
        <f>IFERROR(__xludf.DUMMYFUNCTION("SPLIT(F:F, "" "")"),0.420184626731299)</f>
        <v>0.4201846267</v>
      </c>
      <c r="H263" s="4">
        <f>IFERROR(__xludf.DUMMYFUNCTION("""COMPUTED_VALUE"""),0.724477854513271)</f>
        <v>0.7244778545</v>
      </c>
      <c r="I263" s="15">
        <v>328.0</v>
      </c>
      <c r="J263" s="4"/>
      <c r="K263" s="4"/>
      <c r="L263" s="4"/>
      <c r="M263" s="4"/>
      <c r="N263" s="4"/>
      <c r="O263" s="4"/>
      <c r="P263" s="14" t="s">
        <v>939</v>
      </c>
      <c r="Q263" s="4">
        <f>IFERROR(__xludf.DUMMYFUNCTION("SPLIT(P:P, "" "")"),0.183972435345299)</f>
        <v>0.1839724353</v>
      </c>
      <c r="R263" s="4">
        <f>IFERROR(__xludf.DUMMYFUNCTION("""COMPUTED_VALUE"""),0.406779125415805)</f>
        <v>0.4067791254</v>
      </c>
      <c r="S263" s="15">
        <v>2088.0</v>
      </c>
      <c r="T263" s="4"/>
      <c r="U263" s="4"/>
    </row>
    <row r="264">
      <c r="A264" s="14" t="s">
        <v>940</v>
      </c>
      <c r="B264" s="4">
        <f>IFERROR(__xludf.DUMMYFUNCTION("SPLIT(A:A, "" "")"),0.543227976911142)</f>
        <v>0.5432279769</v>
      </c>
      <c r="C264" s="4">
        <f>IFERROR(__xludf.DUMMYFUNCTION("""COMPUTED_VALUE"""),0.864931463732784)</f>
        <v>0.8649314637</v>
      </c>
      <c r="D264" s="15">
        <v>168.0</v>
      </c>
      <c r="E264" s="4"/>
      <c r="F264" s="14" t="s">
        <v>941</v>
      </c>
      <c r="G264" s="17">
        <f>IFERROR(__xludf.DUMMYFUNCTION("SPLIT(F:F, "" "")"),0.422429034735695)</f>
        <v>0.4224290347</v>
      </c>
      <c r="H264" s="4">
        <f>IFERROR(__xludf.DUMMYFUNCTION("""COMPUTED_VALUE"""),0.750674705626785)</f>
        <v>0.7506747056</v>
      </c>
      <c r="I264" s="15">
        <v>336.0</v>
      </c>
      <c r="J264" s="4"/>
      <c r="K264" s="4"/>
      <c r="L264" s="4"/>
      <c r="M264" s="4"/>
      <c r="N264" s="4"/>
      <c r="O264" s="4"/>
      <c r="P264" s="14" t="s">
        <v>942</v>
      </c>
      <c r="Q264" s="4">
        <f>IFERROR(__xludf.DUMMYFUNCTION("SPLIT(P:P, "" "")"),0.185992449323054)</f>
        <v>0.1859924493</v>
      </c>
      <c r="R264" s="4">
        <f>IFERROR(__xludf.DUMMYFUNCTION("""COMPUTED_VALUE"""),0.410398832581829)</f>
        <v>0.4103988326</v>
      </c>
      <c r="S264" s="15">
        <v>2096.0</v>
      </c>
      <c r="T264" s="4"/>
      <c r="U264" s="4"/>
    </row>
    <row r="265">
      <c r="A265" s="14" t="s">
        <v>943</v>
      </c>
      <c r="B265" s="4">
        <f>IFERROR(__xludf.DUMMYFUNCTION("SPLIT(A:A, "" "")"),0.506301148293869)</f>
        <v>0.5063011483</v>
      </c>
      <c r="C265" s="4">
        <f>IFERROR(__xludf.DUMMYFUNCTION("""COMPUTED_VALUE"""),0.836422599445032)</f>
        <v>0.8364225994</v>
      </c>
      <c r="D265" s="15">
        <v>172.0</v>
      </c>
      <c r="E265" s="4"/>
      <c r="F265" s="14" t="s">
        <v>944</v>
      </c>
      <c r="G265" s="17">
        <f>IFERROR(__xludf.DUMMYFUNCTION("SPLIT(F:F, "" "")"),0.406118669942606)</f>
        <v>0.4061186699</v>
      </c>
      <c r="H265" s="4">
        <f>IFERROR(__xludf.DUMMYFUNCTION("""COMPUTED_VALUE"""),0.726525212886988)</f>
        <v>0.7265252129</v>
      </c>
      <c r="I265" s="15">
        <v>344.0</v>
      </c>
      <c r="J265" s="4"/>
      <c r="K265" s="4"/>
      <c r="L265" s="4"/>
      <c r="M265" s="4"/>
      <c r="N265" s="4"/>
      <c r="O265" s="4"/>
      <c r="P265" s="14" t="s">
        <v>945</v>
      </c>
      <c r="Q265" s="4">
        <f>IFERROR(__xludf.DUMMYFUNCTION("SPLIT(P:P, "" "")"),0.185758408345914)</f>
        <v>0.1857584083</v>
      </c>
      <c r="R265" s="4">
        <f>IFERROR(__xludf.DUMMYFUNCTION("""COMPUTED_VALUE"""),0.407990168126888)</f>
        <v>0.4079901681</v>
      </c>
      <c r="S265" s="15">
        <v>2104.0</v>
      </c>
      <c r="T265" s="4"/>
      <c r="U265" s="4"/>
    </row>
    <row r="266">
      <c r="A266" s="14" t="s">
        <v>946</v>
      </c>
      <c r="B266" s="4">
        <f>IFERROR(__xludf.DUMMYFUNCTION("SPLIT(A:A, "" "")"),0.500458368002642)</f>
        <v>0.500458368</v>
      </c>
      <c r="C266" s="4">
        <f>IFERROR(__xludf.DUMMYFUNCTION("""COMPUTED_VALUE"""),0.845806243086983)</f>
        <v>0.8458062431</v>
      </c>
      <c r="D266" s="15">
        <v>176.0</v>
      </c>
      <c r="E266" s="4"/>
      <c r="F266" s="14" t="s">
        <v>947</v>
      </c>
      <c r="G266" s="17">
        <f>IFERROR(__xludf.DUMMYFUNCTION("SPLIT(F:F, "" "")"),0.403386524375357)</f>
        <v>0.4033865244</v>
      </c>
      <c r="H266" s="4">
        <f>IFERROR(__xludf.DUMMYFUNCTION("""COMPUTED_VALUE"""),0.715277406038718)</f>
        <v>0.715277406</v>
      </c>
      <c r="I266" s="15">
        <v>352.0</v>
      </c>
      <c r="J266" s="4"/>
      <c r="K266" s="4"/>
      <c r="L266" s="4"/>
      <c r="M266" s="4"/>
      <c r="N266" s="4"/>
      <c r="O266" s="4"/>
      <c r="P266" s="14" t="s">
        <v>948</v>
      </c>
      <c r="Q266" s="4">
        <f>IFERROR(__xludf.DUMMYFUNCTION("SPLIT(P:P, "" "")"),0.187076796422325)</f>
        <v>0.1870767964</v>
      </c>
      <c r="R266" s="4">
        <f>IFERROR(__xludf.DUMMYFUNCTION("""COMPUTED_VALUE"""),0.40548465258585)</f>
        <v>0.4054846526</v>
      </c>
      <c r="S266" s="15">
        <v>2112.0</v>
      </c>
      <c r="T266" s="4"/>
      <c r="U266" s="4"/>
    </row>
    <row r="267">
      <c r="A267" s="14" t="s">
        <v>949</v>
      </c>
      <c r="B267" s="4">
        <f>IFERROR(__xludf.DUMMYFUNCTION("SPLIT(A:A, "" "")"),0.514201970062202)</f>
        <v>0.5142019701</v>
      </c>
      <c r="C267" s="4">
        <f>IFERROR(__xludf.DUMMYFUNCTION("""COMPUTED_VALUE"""),0.867521193149601)</f>
        <v>0.8675211931</v>
      </c>
      <c r="D267" s="15">
        <v>180.0</v>
      </c>
      <c r="E267" s="4"/>
      <c r="F267" s="14" t="s">
        <v>950</v>
      </c>
      <c r="G267" s="17">
        <f>IFERROR(__xludf.DUMMYFUNCTION("SPLIT(F:F, "" "")"),0.391719787008778)</f>
        <v>0.391719787</v>
      </c>
      <c r="H267" s="4">
        <f>IFERROR(__xludf.DUMMYFUNCTION("""COMPUTED_VALUE"""),0.701652989970091)</f>
        <v>0.70165299</v>
      </c>
      <c r="I267" s="15">
        <v>360.0</v>
      </c>
      <c r="J267" s="4"/>
      <c r="K267" s="4"/>
      <c r="L267" s="4"/>
      <c r="M267" s="4"/>
      <c r="N267" s="4"/>
      <c r="O267" s="4"/>
      <c r="P267" s="14" t="s">
        <v>951</v>
      </c>
      <c r="Q267" s="4">
        <f>IFERROR(__xludf.DUMMYFUNCTION("SPLIT(P:P, "" "")"),0.182868780537056)</f>
        <v>0.1828687805</v>
      </c>
      <c r="R267" s="4">
        <f>IFERROR(__xludf.DUMMYFUNCTION("""COMPUTED_VALUE"""),0.404338745976314)</f>
        <v>0.404338746</v>
      </c>
      <c r="S267" s="15">
        <v>2120.0</v>
      </c>
      <c r="T267" s="4"/>
      <c r="U267" s="4"/>
    </row>
    <row r="268">
      <c r="A268" s="14" t="s">
        <v>952</v>
      </c>
      <c r="B268" s="4">
        <f>IFERROR(__xludf.DUMMYFUNCTION("SPLIT(A:A, "" "")"),0.509096061635561)</f>
        <v>0.5090960616</v>
      </c>
      <c r="C268" s="4">
        <f>IFERROR(__xludf.DUMMYFUNCTION("""COMPUTED_VALUE"""),0.856144981568439)</f>
        <v>0.8561449816</v>
      </c>
      <c r="D268" s="15">
        <v>184.0</v>
      </c>
      <c r="E268" s="4"/>
      <c r="F268" s="14" t="s">
        <v>953</v>
      </c>
      <c r="G268" s="17">
        <f>IFERROR(__xludf.DUMMYFUNCTION("SPLIT(F:F, "" "")"),0.403256718770635)</f>
        <v>0.4032567188</v>
      </c>
      <c r="H268" s="4">
        <f>IFERROR(__xludf.DUMMYFUNCTION("""COMPUTED_VALUE"""),0.722448134658112)</f>
        <v>0.7224481347</v>
      </c>
      <c r="I268" s="15">
        <v>368.0</v>
      </c>
      <c r="J268" s="4"/>
      <c r="K268" s="4"/>
      <c r="L268" s="4"/>
      <c r="M268" s="4"/>
      <c r="N268" s="4"/>
      <c r="O268" s="4"/>
      <c r="P268" s="14" t="s">
        <v>954</v>
      </c>
      <c r="Q268" s="4">
        <f>IFERROR(__xludf.DUMMYFUNCTION("SPLIT(P:P, "" "")"),0.182857599756116)</f>
        <v>0.1828575998</v>
      </c>
      <c r="R268" s="4">
        <f>IFERROR(__xludf.DUMMYFUNCTION("""COMPUTED_VALUE"""),0.414593480560928)</f>
        <v>0.4145934806</v>
      </c>
      <c r="S268" s="15">
        <v>2128.0</v>
      </c>
      <c r="T268" s="4"/>
      <c r="U268" s="4"/>
    </row>
    <row r="269">
      <c r="A269" s="14" t="s">
        <v>955</v>
      </c>
      <c r="B269" s="4">
        <f>IFERROR(__xludf.DUMMYFUNCTION("SPLIT(A:A, "" "")"),0.501354453576615)</f>
        <v>0.5013544536</v>
      </c>
      <c r="C269" s="4">
        <f>IFERROR(__xludf.DUMMYFUNCTION("""COMPUTED_VALUE"""),0.839563912432641)</f>
        <v>0.8395639124</v>
      </c>
      <c r="D269" s="15">
        <v>188.0</v>
      </c>
      <c r="E269" s="4"/>
      <c r="F269" s="14" t="s">
        <v>956</v>
      </c>
      <c r="G269" s="17">
        <f>IFERROR(__xludf.DUMMYFUNCTION("SPLIT(F:F, "" "")"),0.392382865071856)</f>
        <v>0.3923828651</v>
      </c>
      <c r="H269" s="4">
        <f>IFERROR(__xludf.DUMMYFUNCTION("""COMPUTED_VALUE"""),0.698562792926846)</f>
        <v>0.6985627929</v>
      </c>
      <c r="I269" s="15">
        <v>376.0</v>
      </c>
      <c r="J269" s="4"/>
      <c r="K269" s="4"/>
      <c r="L269" s="4"/>
      <c r="M269" s="4"/>
      <c r="N269" s="4"/>
      <c r="O269" s="4"/>
      <c r="P269" s="14" t="s">
        <v>957</v>
      </c>
      <c r="Q269" s="4">
        <f>IFERROR(__xludf.DUMMYFUNCTION("SPLIT(P:P, "" "")"),0.183887763077206)</f>
        <v>0.1838877631</v>
      </c>
      <c r="R269" s="4">
        <f>IFERROR(__xludf.DUMMYFUNCTION("""COMPUTED_VALUE"""),0.405695641743235)</f>
        <v>0.4056956417</v>
      </c>
      <c r="S269" s="15">
        <v>2136.0</v>
      </c>
      <c r="T269" s="4"/>
      <c r="U269" s="4"/>
    </row>
    <row r="270">
      <c r="A270" s="14" t="s">
        <v>958</v>
      </c>
      <c r="B270" s="4">
        <f>IFERROR(__xludf.DUMMYFUNCTION("SPLIT(A:A, "" "")"),0.478261767906229)</f>
        <v>0.4782617679</v>
      </c>
      <c r="C270" s="4">
        <f>IFERROR(__xludf.DUMMYFUNCTION("""COMPUTED_VALUE"""),0.832383090627308)</f>
        <v>0.8323830906</v>
      </c>
      <c r="D270" s="15">
        <v>192.0</v>
      </c>
      <c r="E270" s="4"/>
      <c r="F270" s="14" t="s">
        <v>959</v>
      </c>
      <c r="G270" s="17">
        <f>IFERROR(__xludf.DUMMYFUNCTION("SPLIT(F:F, "" "")"),0.386710422775675)</f>
        <v>0.3867104228</v>
      </c>
      <c r="H270" s="4">
        <f>IFERROR(__xludf.DUMMYFUNCTION("""COMPUTED_VALUE"""),0.715273433891876)</f>
        <v>0.7152734339</v>
      </c>
      <c r="I270" s="15">
        <v>384.0</v>
      </c>
      <c r="J270" s="4"/>
      <c r="K270" s="4"/>
      <c r="L270" s="4"/>
      <c r="M270" s="4"/>
      <c r="N270" s="4"/>
      <c r="O270" s="4"/>
      <c r="P270" s="14" t="s">
        <v>960</v>
      </c>
      <c r="Q270" s="4">
        <f>IFERROR(__xludf.DUMMYFUNCTION("SPLIT(P:P, "" "")"),0.184507362908233)</f>
        <v>0.1845073629</v>
      </c>
      <c r="R270" s="4">
        <f>IFERROR(__xludf.DUMMYFUNCTION("""COMPUTED_VALUE"""),0.407563887348014)</f>
        <v>0.4075638873</v>
      </c>
      <c r="S270" s="15">
        <v>2144.0</v>
      </c>
      <c r="T270" s="4"/>
      <c r="U270" s="4"/>
    </row>
    <row r="271">
      <c r="A271" s="14" t="s">
        <v>961</v>
      </c>
      <c r="B271" s="4">
        <f>IFERROR(__xludf.DUMMYFUNCTION("SPLIT(A:A, "" "")"),0.485967983507143)</f>
        <v>0.4859679835</v>
      </c>
      <c r="C271" s="4">
        <f>IFERROR(__xludf.DUMMYFUNCTION("""COMPUTED_VALUE"""),0.831936086916039)</f>
        <v>0.8319360869</v>
      </c>
      <c r="D271" s="15">
        <v>196.0</v>
      </c>
      <c r="E271" s="4"/>
      <c r="F271" s="14" t="s">
        <v>962</v>
      </c>
      <c r="G271" s="17">
        <f>IFERROR(__xludf.DUMMYFUNCTION("SPLIT(F:F, "" "")"),0.375374383608717)</f>
        <v>0.3753743836</v>
      </c>
      <c r="H271" s="4">
        <f>IFERROR(__xludf.DUMMYFUNCTION("""COMPUTED_VALUE"""),0.693089294603943)</f>
        <v>0.6930892946</v>
      </c>
      <c r="I271" s="15">
        <v>392.0</v>
      </c>
      <c r="J271" s="4"/>
      <c r="K271" s="4"/>
      <c r="L271" s="4"/>
      <c r="M271" s="4"/>
      <c r="N271" s="4"/>
      <c r="O271" s="4"/>
      <c r="P271" s="14" t="s">
        <v>963</v>
      </c>
      <c r="Q271" s="4">
        <f>IFERROR(__xludf.DUMMYFUNCTION("SPLIT(P:P, "" "")"),0.186727192397026)</f>
        <v>0.1867271924</v>
      </c>
      <c r="R271" s="4">
        <f>IFERROR(__xludf.DUMMYFUNCTION("""COMPUTED_VALUE"""),0.4099577417112)</f>
        <v>0.4099577417</v>
      </c>
      <c r="S271" s="15">
        <v>2152.0</v>
      </c>
      <c r="T271" s="4"/>
      <c r="U271" s="4"/>
    </row>
    <row r="272">
      <c r="A272" s="14" t="s">
        <v>964</v>
      </c>
      <c r="B272" s="4">
        <f>IFERROR(__xludf.DUMMYFUNCTION("SPLIT(A:A, "" "")"),0.484458033628502)</f>
        <v>0.4844580336</v>
      </c>
      <c r="C272" s="4">
        <f>IFERROR(__xludf.DUMMYFUNCTION("""COMPUTED_VALUE"""),0.819311726425068)</f>
        <v>0.8193117264</v>
      </c>
      <c r="D272" s="15">
        <v>200.0</v>
      </c>
      <c r="E272" s="4"/>
      <c r="F272" s="14" t="s">
        <v>965</v>
      </c>
      <c r="G272" s="17">
        <f>IFERROR(__xludf.DUMMYFUNCTION("SPLIT(F:F, "" "")"),0.399866496018707)</f>
        <v>0.399866496</v>
      </c>
      <c r="H272" s="4">
        <f>IFERROR(__xludf.DUMMYFUNCTION("""COMPUTED_VALUE"""),0.710778402283212)</f>
        <v>0.7107784023</v>
      </c>
      <c r="I272" s="15">
        <v>400.0</v>
      </c>
      <c r="J272" s="4"/>
      <c r="K272" s="4"/>
      <c r="L272" s="4"/>
      <c r="M272" s="4"/>
      <c r="N272" s="4"/>
      <c r="O272" s="4"/>
      <c r="P272" s="14" t="s">
        <v>966</v>
      </c>
      <c r="Q272" s="4">
        <f>IFERROR(__xludf.DUMMYFUNCTION("SPLIT(P:P, "" "")"),0.184164222645624)</f>
        <v>0.1841642226</v>
      </c>
      <c r="R272" s="4">
        <f>IFERROR(__xludf.DUMMYFUNCTION("""COMPUTED_VALUE"""),0.408619925676699)</f>
        <v>0.4086199257</v>
      </c>
      <c r="S272" s="15">
        <v>2160.0</v>
      </c>
      <c r="T272" s="4"/>
      <c r="U272" s="4"/>
    </row>
    <row r="273">
      <c r="A273" s="14" t="s">
        <v>967</v>
      </c>
      <c r="B273" s="4">
        <f>IFERROR(__xludf.DUMMYFUNCTION("SPLIT(A:A, "" "")"),0.477930727380837)</f>
        <v>0.4779307274</v>
      </c>
      <c r="C273" s="4">
        <f>IFERROR(__xludf.DUMMYFUNCTION("""COMPUTED_VALUE"""),0.819059390175948)</f>
        <v>0.8190593902</v>
      </c>
      <c r="D273" s="15">
        <v>204.0</v>
      </c>
      <c r="E273" s="4"/>
      <c r="F273" s="14" t="s">
        <v>968</v>
      </c>
      <c r="G273" s="17">
        <f>IFERROR(__xludf.DUMMYFUNCTION("SPLIT(F:F, "" "")"),0.363920714290134)</f>
        <v>0.3639207143</v>
      </c>
      <c r="H273" s="4">
        <f>IFERROR(__xludf.DUMMYFUNCTION("""COMPUTED_VALUE"""),0.686132307743081)</f>
        <v>0.6861323077</v>
      </c>
      <c r="I273" s="15">
        <v>408.0</v>
      </c>
      <c r="J273" s="4"/>
      <c r="K273" s="4"/>
      <c r="L273" s="4"/>
      <c r="M273" s="4"/>
      <c r="N273" s="4"/>
      <c r="O273" s="4"/>
      <c r="P273" s="14" t="s">
        <v>969</v>
      </c>
      <c r="Q273" s="4">
        <f>IFERROR(__xludf.DUMMYFUNCTION("SPLIT(P:P, "" "")"),0.182031974011322)</f>
        <v>0.182031974</v>
      </c>
      <c r="R273" s="4">
        <f>IFERROR(__xludf.DUMMYFUNCTION("""COMPUTED_VALUE"""),0.415168944694331)</f>
        <v>0.4151689447</v>
      </c>
      <c r="S273" s="15">
        <v>2168.0</v>
      </c>
      <c r="T273" s="4"/>
      <c r="U273" s="4"/>
    </row>
    <row r="274">
      <c r="A274" s="14" t="s">
        <v>970</v>
      </c>
      <c r="B274" s="4">
        <f>IFERROR(__xludf.DUMMYFUNCTION("SPLIT(A:A, "" "")"),0.481029065136021)</f>
        <v>0.4810290651</v>
      </c>
      <c r="C274" s="4">
        <f>IFERROR(__xludf.DUMMYFUNCTION("""COMPUTED_VALUE"""),0.826620530154616)</f>
        <v>0.8266205302</v>
      </c>
      <c r="D274" s="15">
        <v>208.0</v>
      </c>
      <c r="E274" s="4"/>
      <c r="F274" s="14" t="s">
        <v>971</v>
      </c>
      <c r="G274" s="17">
        <f>IFERROR(__xludf.DUMMYFUNCTION("SPLIT(F:F, "" "")"),0.380962876187801)</f>
        <v>0.3809628762</v>
      </c>
      <c r="H274" s="4">
        <f>IFERROR(__xludf.DUMMYFUNCTION("""COMPUTED_VALUE"""),0.698170021544977)</f>
        <v>0.6981700215</v>
      </c>
      <c r="I274" s="15">
        <v>416.0</v>
      </c>
      <c r="J274" s="4"/>
      <c r="K274" s="4"/>
      <c r="L274" s="4"/>
      <c r="M274" s="4"/>
      <c r="N274" s="4"/>
      <c r="O274" s="4"/>
      <c r="P274" s="14" t="s">
        <v>972</v>
      </c>
      <c r="Q274" s="4">
        <f>IFERROR(__xludf.DUMMYFUNCTION("SPLIT(P:P, "" "")"),0.18402345974781)</f>
        <v>0.1840234597</v>
      </c>
      <c r="R274" s="4">
        <f>IFERROR(__xludf.DUMMYFUNCTION("""COMPUTED_VALUE"""),0.404098926776976)</f>
        <v>0.4040989268</v>
      </c>
      <c r="S274" s="15">
        <v>2176.0</v>
      </c>
      <c r="T274" s="4"/>
      <c r="U274" s="4"/>
    </row>
    <row r="275">
      <c r="A275" s="14" t="s">
        <v>973</v>
      </c>
      <c r="B275" s="4">
        <f>IFERROR(__xludf.DUMMYFUNCTION("SPLIT(A:A, "" "")"),0.465008726187433)</f>
        <v>0.4650087262</v>
      </c>
      <c r="C275" s="4">
        <f>IFERROR(__xludf.DUMMYFUNCTION("""COMPUTED_VALUE"""),0.810420137941091)</f>
        <v>0.8104201379</v>
      </c>
      <c r="D275" s="15">
        <v>212.0</v>
      </c>
      <c r="E275" s="4"/>
      <c r="F275" s="14" t="s">
        <v>974</v>
      </c>
      <c r="G275" s="17">
        <f>IFERROR(__xludf.DUMMYFUNCTION("SPLIT(F:F, "" "")"),0.362376075937372)</f>
        <v>0.3623760759</v>
      </c>
      <c r="H275" s="4">
        <f>IFERROR(__xludf.DUMMYFUNCTION("""COMPUTED_VALUE"""),0.678311178249983)</f>
        <v>0.6783111782</v>
      </c>
      <c r="I275" s="15">
        <v>424.0</v>
      </c>
      <c r="J275" s="4"/>
      <c r="K275" s="4"/>
      <c r="L275" s="4"/>
      <c r="M275" s="4"/>
      <c r="N275" s="4"/>
      <c r="O275" s="4"/>
      <c r="P275" s="14" t="s">
        <v>975</v>
      </c>
      <c r="Q275" s="4">
        <f>IFERROR(__xludf.DUMMYFUNCTION("SPLIT(P:P, "" "")"),0.184950956339704)</f>
        <v>0.1849509563</v>
      </c>
      <c r="R275" s="4">
        <f>IFERROR(__xludf.DUMMYFUNCTION("""COMPUTED_VALUE"""),0.409412562672028)</f>
        <v>0.4094125627</v>
      </c>
      <c r="S275" s="15">
        <v>2184.0</v>
      </c>
      <c r="T275" s="4"/>
      <c r="U275" s="4"/>
    </row>
    <row r="276">
      <c r="A276" s="14" t="s">
        <v>976</v>
      </c>
      <c r="B276" s="4">
        <f>IFERROR(__xludf.DUMMYFUNCTION("SPLIT(A:A, "" "")"),0.46904684860965)</f>
        <v>0.4690468486</v>
      </c>
      <c r="C276" s="4">
        <f>IFERROR(__xludf.DUMMYFUNCTION("""COMPUTED_VALUE"""),0.830073145655772)</f>
        <v>0.8300731457</v>
      </c>
      <c r="D276" s="15">
        <v>216.0</v>
      </c>
      <c r="E276" s="4"/>
      <c r="F276" s="14" t="s">
        <v>977</v>
      </c>
      <c r="G276" s="17">
        <f>IFERROR(__xludf.DUMMYFUNCTION("SPLIT(F:F, "" "")"),0.368869477588486)</f>
        <v>0.3688694776</v>
      </c>
      <c r="H276" s="4">
        <f>IFERROR(__xludf.DUMMYFUNCTION("""COMPUTED_VALUE"""),0.685023854720865)</f>
        <v>0.6850238547</v>
      </c>
      <c r="I276" s="15">
        <v>432.0</v>
      </c>
      <c r="J276" s="4"/>
      <c r="K276" s="4"/>
      <c r="L276" s="4"/>
      <c r="M276" s="4"/>
      <c r="N276" s="4"/>
      <c r="O276" s="4"/>
      <c r="P276" s="14" t="s">
        <v>978</v>
      </c>
      <c r="Q276" s="4">
        <f>IFERROR(__xludf.DUMMYFUNCTION("SPLIT(P:P, "" "")"),0.184321346544626)</f>
        <v>0.1843213465</v>
      </c>
      <c r="R276" s="4">
        <f>IFERROR(__xludf.DUMMYFUNCTION("""COMPUTED_VALUE"""),0.407312745540087)</f>
        <v>0.4073127455</v>
      </c>
      <c r="S276" s="15">
        <v>2192.0</v>
      </c>
      <c r="T276" s="4"/>
      <c r="U276" s="4"/>
    </row>
    <row r="277">
      <c r="A277" s="14" t="s">
        <v>979</v>
      </c>
      <c r="B277" s="4">
        <f>IFERROR(__xludf.DUMMYFUNCTION("SPLIT(A:A, "" "")"),0.459225928862853)</f>
        <v>0.4592259289</v>
      </c>
      <c r="C277" s="4">
        <f>IFERROR(__xludf.DUMMYFUNCTION("""COMPUTED_VALUE"""),0.810021152264118)</f>
        <v>0.8100211523</v>
      </c>
      <c r="D277" s="15">
        <v>220.0</v>
      </c>
      <c r="E277" s="4"/>
      <c r="F277" s="14" t="s">
        <v>980</v>
      </c>
      <c r="G277" s="17">
        <f>IFERROR(__xludf.DUMMYFUNCTION("SPLIT(F:F, "" "")"),0.366769602084643)</f>
        <v>0.3667696021</v>
      </c>
      <c r="H277" s="4">
        <f>IFERROR(__xludf.DUMMYFUNCTION("""COMPUTED_VALUE"""),0.69369067625908)</f>
        <v>0.6936906763</v>
      </c>
      <c r="I277" s="15">
        <v>440.0</v>
      </c>
      <c r="J277" s="4"/>
      <c r="K277" s="4"/>
      <c r="L277" s="4"/>
      <c r="M277" s="4"/>
      <c r="N277" s="4"/>
      <c r="O277" s="4"/>
      <c r="P277" s="14" t="s">
        <v>981</v>
      </c>
      <c r="Q277" s="4">
        <f>IFERROR(__xludf.DUMMYFUNCTION("SPLIT(P:P, "" "")"),0.182483040545795)</f>
        <v>0.1824830405</v>
      </c>
      <c r="R277" s="4">
        <f>IFERROR(__xludf.DUMMYFUNCTION("""COMPUTED_VALUE"""),0.414863125136227)</f>
        <v>0.4148631251</v>
      </c>
      <c r="S277" s="15">
        <v>2200.0</v>
      </c>
      <c r="T277" s="4"/>
      <c r="U277" s="4"/>
    </row>
    <row r="278">
      <c r="A278" s="14" t="s">
        <v>982</v>
      </c>
      <c r="B278" s="4">
        <f>IFERROR(__xludf.DUMMYFUNCTION("SPLIT(A:A, "" "")"),0.445518016368567)</f>
        <v>0.4455180164</v>
      </c>
      <c r="C278" s="4">
        <f>IFERROR(__xludf.DUMMYFUNCTION("""COMPUTED_VALUE"""),0.802486947947978)</f>
        <v>0.8024869479</v>
      </c>
      <c r="D278" s="15">
        <v>224.0</v>
      </c>
      <c r="E278" s="4"/>
      <c r="F278" s="14" t="s">
        <v>983</v>
      </c>
      <c r="G278" s="17">
        <f>IFERROR(__xludf.DUMMYFUNCTION("SPLIT(F:F, "" "")"),0.358389798488977)</f>
        <v>0.3583897985</v>
      </c>
      <c r="H278" s="4">
        <f>IFERROR(__xludf.DUMMYFUNCTION("""COMPUTED_VALUE"""),0.680197442283193)</f>
        <v>0.6801974423</v>
      </c>
      <c r="I278" s="15">
        <v>448.0</v>
      </c>
      <c r="J278" s="4"/>
      <c r="K278" s="4"/>
      <c r="L278" s="4"/>
      <c r="M278" s="4"/>
      <c r="N278" s="4"/>
      <c r="O278" s="4"/>
      <c r="P278" s="14" t="s">
        <v>984</v>
      </c>
      <c r="Q278" s="4">
        <f>IFERROR(__xludf.DUMMYFUNCTION("SPLIT(P:P, "" "")"),0.182829999863657)</f>
        <v>0.1828299999</v>
      </c>
      <c r="R278" s="4">
        <f>IFERROR(__xludf.DUMMYFUNCTION("""COMPUTED_VALUE"""),0.40855509544337)</f>
        <v>0.4085550954</v>
      </c>
      <c r="S278" s="15">
        <v>2208.0</v>
      </c>
      <c r="T278" s="4"/>
      <c r="U278" s="4"/>
    </row>
    <row r="279">
      <c r="A279" s="14" t="s">
        <v>985</v>
      </c>
      <c r="B279" s="4">
        <f>IFERROR(__xludf.DUMMYFUNCTION("SPLIT(A:A, "" "")"),0.465032726243287)</f>
        <v>0.4650327262</v>
      </c>
      <c r="C279" s="4">
        <f>IFERROR(__xludf.DUMMYFUNCTION("""COMPUTED_VALUE"""),0.823829888800012)</f>
        <v>0.8238298888</v>
      </c>
      <c r="D279" s="15">
        <v>228.0</v>
      </c>
      <c r="E279" s="4"/>
      <c r="F279" s="14" t="s">
        <v>986</v>
      </c>
      <c r="G279" s="17">
        <f>IFERROR(__xludf.DUMMYFUNCTION("SPLIT(F:F, "" "")"),0.37128297993092)</f>
        <v>0.3712829799</v>
      </c>
      <c r="H279" s="4">
        <f>IFERROR(__xludf.DUMMYFUNCTION("""COMPUTED_VALUE"""),0.693405005390858)</f>
        <v>0.6934050054</v>
      </c>
      <c r="I279" s="15">
        <v>456.0</v>
      </c>
      <c r="J279" s="4"/>
      <c r="K279" s="4"/>
      <c r="L279" s="4"/>
      <c r="M279" s="4"/>
      <c r="N279" s="4"/>
      <c r="O279" s="4"/>
      <c r="P279" s="14" t="s">
        <v>987</v>
      </c>
      <c r="Q279" s="4">
        <f>IFERROR(__xludf.DUMMYFUNCTION("SPLIT(P:P, "" "")"),0.184427536770377)</f>
        <v>0.1844275368</v>
      </c>
      <c r="R279" s="4">
        <f>IFERROR(__xludf.DUMMYFUNCTION("""COMPUTED_VALUE"""),0.41168695139053)</f>
        <v>0.4116869514</v>
      </c>
      <c r="S279" s="15">
        <v>2216.0</v>
      </c>
      <c r="T279" s="4"/>
      <c r="U279" s="4"/>
    </row>
    <row r="280">
      <c r="A280" s="14" t="s">
        <v>988</v>
      </c>
      <c r="B280" s="4">
        <f>IFERROR(__xludf.DUMMYFUNCTION("SPLIT(A:A, "" "")"),0.443031865165898)</f>
        <v>0.4430318652</v>
      </c>
      <c r="C280" s="4">
        <f>IFERROR(__xludf.DUMMYFUNCTION("""COMPUTED_VALUE"""),0.812773340548617)</f>
        <v>0.8127733405</v>
      </c>
      <c r="D280" s="15">
        <v>232.0</v>
      </c>
      <c r="E280" s="4"/>
      <c r="F280" s="14" t="s">
        <v>989</v>
      </c>
      <c r="G280" s="17">
        <f>IFERROR(__xludf.DUMMYFUNCTION("SPLIT(F:F, "" "")"),0.353928513557034)</f>
        <v>0.3539285136</v>
      </c>
      <c r="H280" s="4">
        <f>IFERROR(__xludf.DUMMYFUNCTION("""COMPUTED_VALUE"""),0.684381586343823)</f>
        <v>0.6843815863</v>
      </c>
      <c r="I280" s="15">
        <v>464.0</v>
      </c>
      <c r="J280" s="4"/>
      <c r="K280" s="4"/>
      <c r="L280" s="4"/>
      <c r="M280" s="4"/>
      <c r="N280" s="4"/>
      <c r="O280" s="4"/>
      <c r="P280" s="14" t="s">
        <v>990</v>
      </c>
      <c r="Q280" s="4">
        <f>IFERROR(__xludf.DUMMYFUNCTION("SPLIT(P:P, "" "")"),0.185394341096713)</f>
        <v>0.1853943411</v>
      </c>
      <c r="R280" s="4">
        <f>IFERROR(__xludf.DUMMYFUNCTION("""COMPUTED_VALUE"""),0.420895703126686)</f>
        <v>0.4208957031</v>
      </c>
      <c r="S280" s="15">
        <v>2224.0</v>
      </c>
      <c r="T280" s="4"/>
      <c r="U280" s="4"/>
    </row>
    <row r="281">
      <c r="A281" s="14" t="s">
        <v>991</v>
      </c>
      <c r="B281" s="4">
        <f>IFERROR(__xludf.DUMMYFUNCTION("SPLIT(A:A, "" "")"),0.440269273139437)</f>
        <v>0.4402692731</v>
      </c>
      <c r="C281" s="4">
        <f>IFERROR(__xludf.DUMMYFUNCTION("""COMPUTED_VALUE"""),0.809991635788955)</f>
        <v>0.8099916358</v>
      </c>
      <c r="D281" s="15">
        <v>236.0</v>
      </c>
      <c r="E281" s="4"/>
      <c r="F281" s="14" t="s">
        <v>992</v>
      </c>
      <c r="G281" s="17">
        <f>IFERROR(__xludf.DUMMYFUNCTION("SPLIT(F:F, "" "")"),0.35690305226217)</f>
        <v>0.3569030523</v>
      </c>
      <c r="H281" s="4">
        <f>IFERROR(__xludf.DUMMYFUNCTION("""COMPUTED_VALUE"""),0.685771181077733)</f>
        <v>0.6857711811</v>
      </c>
      <c r="I281" s="15">
        <v>472.0</v>
      </c>
      <c r="J281" s="4"/>
      <c r="K281" s="4"/>
      <c r="L281" s="4"/>
      <c r="M281" s="4"/>
      <c r="N281" s="4"/>
      <c r="O281" s="4"/>
      <c r="P281" s="24" t="s">
        <v>993</v>
      </c>
      <c r="Q281" s="26">
        <f>IFERROR(__xludf.DUMMYFUNCTION("SPLIT(P:P, "" "")"),0.187382086196953)</f>
        <v>0.1873820862</v>
      </c>
      <c r="R281" s="26">
        <f>IFERROR(__xludf.DUMMYFUNCTION("""COMPUTED_VALUE"""),0.427812051075257)</f>
        <v>0.4278120511</v>
      </c>
      <c r="S281" s="27">
        <v>2232.0</v>
      </c>
      <c r="T281" s="4"/>
      <c r="U281" s="4"/>
    </row>
    <row r="282">
      <c r="A282" s="14" t="s">
        <v>994</v>
      </c>
      <c r="B282" s="4">
        <f>IFERROR(__xludf.DUMMYFUNCTION("SPLIT(A:A, "" "")"),0.454350239010243)</f>
        <v>0.454350239</v>
      </c>
      <c r="C282" s="4">
        <f>IFERROR(__xludf.DUMMYFUNCTION("""COMPUTED_VALUE"""),0.811249248815831)</f>
        <v>0.8112492488</v>
      </c>
      <c r="D282" s="15">
        <v>240.0</v>
      </c>
      <c r="E282" s="4"/>
      <c r="F282" s="14" t="s">
        <v>995</v>
      </c>
      <c r="G282" s="17">
        <f>IFERROR(__xludf.DUMMYFUNCTION("SPLIT(F:F, "" "")"),0.348361484604734)</f>
        <v>0.3483614846</v>
      </c>
      <c r="H282" s="4">
        <f>IFERROR(__xludf.DUMMYFUNCTION("""COMPUTED_VALUE"""),0.674153888723469)</f>
        <v>0.6741538887</v>
      </c>
      <c r="I282" s="15">
        <v>480.0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14" t="s">
        <v>996</v>
      </c>
      <c r="B283" s="4">
        <f>IFERROR(__xludf.DUMMYFUNCTION("SPLIT(A:A, "" "")"),0.453150739085962)</f>
        <v>0.4531507391</v>
      </c>
      <c r="C283" s="4">
        <f>IFERROR(__xludf.DUMMYFUNCTION("""COMPUTED_VALUE"""),0.804834338766665)</f>
        <v>0.8048343388</v>
      </c>
      <c r="D283" s="15">
        <v>244.0</v>
      </c>
      <c r="E283" s="4"/>
      <c r="F283" s="14" t="s">
        <v>997</v>
      </c>
      <c r="G283" s="17">
        <f>IFERROR(__xludf.DUMMYFUNCTION("SPLIT(F:F, "" "")"),0.339472349180145)</f>
        <v>0.3394723492</v>
      </c>
      <c r="H283" s="4">
        <f>IFERROR(__xludf.DUMMYFUNCTION("""COMPUTED_VALUE"""),0.666511717953333)</f>
        <v>0.666511718</v>
      </c>
      <c r="I283" s="15">
        <v>488.0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14" t="s">
        <v>998</v>
      </c>
      <c r="B284" s="4">
        <f>IFERROR(__xludf.DUMMYFUNCTION("SPLIT(A:A, "" "")"),0.431737257998593)</f>
        <v>0.431737258</v>
      </c>
      <c r="C284" s="4">
        <f>IFERROR(__xludf.DUMMYFUNCTION("""COMPUTED_VALUE"""),0.80345746807194)</f>
        <v>0.8034574681</v>
      </c>
      <c r="D284" s="15">
        <v>248.0</v>
      </c>
      <c r="E284" s="4"/>
      <c r="F284" s="14" t="s">
        <v>999</v>
      </c>
      <c r="G284" s="17">
        <f>IFERROR(__xludf.DUMMYFUNCTION("SPLIT(F:F, "" "")"),0.345013635795467)</f>
        <v>0.3450136358</v>
      </c>
      <c r="H284" s="4">
        <f>IFERROR(__xludf.DUMMYFUNCTION("""COMPUTED_VALUE"""),0.681055844814849)</f>
        <v>0.6810558448</v>
      </c>
      <c r="I284" s="15">
        <v>496.0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14" t="s">
        <v>1000</v>
      </c>
      <c r="B285" s="4">
        <f>IFERROR(__xludf.DUMMYFUNCTION("SPLIT(A:A, "" "")"),0.423287356043754)</f>
        <v>0.423287356</v>
      </c>
      <c r="C285" s="4">
        <f>IFERROR(__xludf.DUMMYFUNCTION("""COMPUTED_VALUE"""),0.775509531417144)</f>
        <v>0.7755095314</v>
      </c>
      <c r="D285" s="15">
        <v>252.0</v>
      </c>
      <c r="E285" s="4"/>
      <c r="F285" s="14" t="s">
        <v>1001</v>
      </c>
      <c r="G285" s="17">
        <f>IFERROR(__xludf.DUMMYFUNCTION("SPLIT(F:F, "" "")"),0.340232714202124)</f>
        <v>0.3402327142</v>
      </c>
      <c r="H285" s="4">
        <f>IFERROR(__xludf.DUMMYFUNCTION("""COMPUTED_VALUE"""),0.672320807736989)</f>
        <v>0.6723208077</v>
      </c>
      <c r="I285" s="15">
        <v>504.0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14" t="s">
        <v>1002</v>
      </c>
      <c r="B286" s="4">
        <f>IFERROR(__xludf.DUMMYFUNCTION("SPLIT(A:A, "" "")"),0.426967225518994)</f>
        <v>0.4269672255</v>
      </c>
      <c r="C286" s="4">
        <f>IFERROR(__xludf.DUMMYFUNCTION("""COMPUTED_VALUE"""),0.798430053786794)</f>
        <v>0.7984300538</v>
      </c>
      <c r="D286" s="15">
        <v>256.0</v>
      </c>
      <c r="E286" s="4"/>
      <c r="F286" s="14" t="s">
        <v>1003</v>
      </c>
      <c r="G286" s="17">
        <f>IFERROR(__xludf.DUMMYFUNCTION("SPLIT(F:F, "" "")"),0.334225395871683)</f>
        <v>0.3342253959</v>
      </c>
      <c r="H286" s="4">
        <f>IFERROR(__xludf.DUMMYFUNCTION("""COMPUTED_VALUE"""),0.67561904572303)</f>
        <v>0.6756190457</v>
      </c>
      <c r="I286" s="15">
        <v>512.0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14" t="s">
        <v>1004</v>
      </c>
      <c r="B287" s="4">
        <f>IFERROR(__xludf.DUMMYFUNCTION("SPLIT(A:A, "" "")"),0.426875934677054)</f>
        <v>0.4268759347</v>
      </c>
      <c r="C287" s="4">
        <f>IFERROR(__xludf.DUMMYFUNCTION("""COMPUTED_VALUE"""),0.793047549610301)</f>
        <v>0.7930475496</v>
      </c>
      <c r="D287" s="15">
        <v>260.0</v>
      </c>
      <c r="E287" s="4"/>
      <c r="F287" s="14" t="s">
        <v>1005</v>
      </c>
      <c r="G287" s="17">
        <f>IFERROR(__xludf.DUMMYFUNCTION("SPLIT(F:F, "" "")"),0.331131123018452)</f>
        <v>0.331131123</v>
      </c>
      <c r="H287" s="4">
        <f>IFERROR(__xludf.DUMMYFUNCTION("""COMPUTED_VALUE"""),0.654759226170469)</f>
        <v>0.6547592262</v>
      </c>
      <c r="I287" s="15">
        <v>520.0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14" t="s">
        <v>1006</v>
      </c>
      <c r="B288" s="4">
        <f>IFERROR(__xludf.DUMMYFUNCTION("SPLIT(A:A, "" "")"),0.420826926480774)</f>
        <v>0.4208269265</v>
      </c>
      <c r="C288" s="4">
        <f>IFERROR(__xludf.DUMMYFUNCTION("""COMPUTED_VALUE"""),0.791498490071055)</f>
        <v>0.7914984901</v>
      </c>
      <c r="D288" s="15">
        <v>264.0</v>
      </c>
      <c r="E288" s="4"/>
      <c r="F288" s="14" t="s">
        <v>1007</v>
      </c>
      <c r="G288" s="17">
        <f>IFERROR(__xludf.DUMMYFUNCTION("SPLIT(F:F, "" "")"),0.332112781289408)</f>
        <v>0.3321127813</v>
      </c>
      <c r="H288" s="4">
        <f>IFERROR(__xludf.DUMMYFUNCTION("""COMPUTED_VALUE"""),0.683812912821194)</f>
        <v>0.6838129128</v>
      </c>
      <c r="I288" s="15">
        <v>528.0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14" t="s">
        <v>1008</v>
      </c>
      <c r="B289" s="4">
        <f>IFERROR(__xludf.DUMMYFUNCTION("SPLIT(A:A, "" "")"),0.428881094993793)</f>
        <v>0.428881095</v>
      </c>
      <c r="C289" s="4">
        <f>IFERROR(__xludf.DUMMYFUNCTION("""COMPUTED_VALUE"""),0.782199331271346)</f>
        <v>0.7821993313</v>
      </c>
      <c r="D289" s="15">
        <v>268.0</v>
      </c>
      <c r="E289" s="4"/>
      <c r="F289" s="14" t="s">
        <v>1009</v>
      </c>
      <c r="G289" s="17">
        <f>IFERROR(__xludf.DUMMYFUNCTION("SPLIT(F:F, "" "")"),0.328800751072192)</f>
        <v>0.3288007511</v>
      </c>
      <c r="H289" s="4">
        <f>IFERROR(__xludf.DUMMYFUNCTION("""COMPUTED_VALUE"""),0.664866686562182)</f>
        <v>0.6648666866</v>
      </c>
      <c r="I289" s="15">
        <v>536.0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14" t="s">
        <v>1010</v>
      </c>
      <c r="B290" s="4">
        <f>IFERROR(__xludf.DUMMYFUNCTION("SPLIT(A:A, "" "")"),0.434373358450747)</f>
        <v>0.4343733585</v>
      </c>
      <c r="C290" s="4">
        <f>IFERROR(__xludf.DUMMYFUNCTION("""COMPUTED_VALUE"""),0.81198117480609)</f>
        <v>0.8119811748</v>
      </c>
      <c r="D290" s="15">
        <v>272.0</v>
      </c>
      <c r="E290" s="4"/>
      <c r="F290" s="14" t="s">
        <v>1011</v>
      </c>
      <c r="G290" s="17">
        <f>IFERROR(__xludf.DUMMYFUNCTION("SPLIT(F:F, "" "")"),0.327170089296355)</f>
        <v>0.3271700893</v>
      </c>
      <c r="H290" s="4">
        <f>IFERROR(__xludf.DUMMYFUNCTION("""COMPUTED_VALUE"""),0.663803097795882)</f>
        <v>0.6638030978</v>
      </c>
      <c r="I290" s="15">
        <v>544.0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14" t="s">
        <v>1012</v>
      </c>
      <c r="B291" s="4">
        <f>IFERROR(__xludf.DUMMYFUNCTION("SPLIT(A:A, "" "")"),0.421295714888139)</f>
        <v>0.4212957149</v>
      </c>
      <c r="C291" s="4">
        <f>IFERROR(__xludf.DUMMYFUNCTION("""COMPUTED_VALUE"""),0.81130184826558)</f>
        <v>0.8113018483</v>
      </c>
      <c r="D291" s="15">
        <v>276.0</v>
      </c>
      <c r="E291" s="4"/>
      <c r="F291" s="14" t="s">
        <v>1013</v>
      </c>
      <c r="G291" s="17">
        <f>IFERROR(__xludf.DUMMYFUNCTION("SPLIT(F:F, "" "")"),0.32161550658285)</f>
        <v>0.3216155066</v>
      </c>
      <c r="H291" s="4">
        <f>IFERROR(__xludf.DUMMYFUNCTION("""COMPUTED_VALUE"""),0.658820837995624)</f>
        <v>0.658820838</v>
      </c>
      <c r="I291" s="15">
        <v>552.0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14" t="s">
        <v>1014</v>
      </c>
      <c r="B292" s="4">
        <f>IFERROR(__xludf.DUMMYFUNCTION("SPLIT(A:A, "" "")"),0.399582701676618)</f>
        <v>0.3995827017</v>
      </c>
      <c r="C292" s="4">
        <f>IFERROR(__xludf.DUMMYFUNCTION("""COMPUTED_VALUE"""),0.765221968242412)</f>
        <v>0.7652219682</v>
      </c>
      <c r="D292" s="15">
        <v>280.0</v>
      </c>
      <c r="E292" s="4"/>
      <c r="F292" s="14" t="s">
        <v>1015</v>
      </c>
      <c r="G292" s="17">
        <f>IFERROR(__xludf.DUMMYFUNCTION("SPLIT(F:F, "" "")"),0.323193640785428)</f>
        <v>0.3231936408</v>
      </c>
      <c r="H292" s="4">
        <f>IFERROR(__xludf.DUMMYFUNCTION("""COMPUTED_VALUE"""),0.656837443460607)</f>
        <v>0.6568374435</v>
      </c>
      <c r="I292" s="15">
        <v>560.0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14" t="s">
        <v>1016</v>
      </c>
      <c r="B293" s="4">
        <f>IFERROR(__xludf.DUMMYFUNCTION("SPLIT(A:A, "" "")"),0.412022312107752)</f>
        <v>0.4120223121</v>
      </c>
      <c r="C293" s="4">
        <f>IFERROR(__xludf.DUMMYFUNCTION("""COMPUTED_VALUE"""),0.780874034069738)</f>
        <v>0.7808740341</v>
      </c>
      <c r="D293" s="15">
        <v>284.0</v>
      </c>
      <c r="E293" s="4"/>
      <c r="F293" s="14" t="s">
        <v>1017</v>
      </c>
      <c r="G293" s="17">
        <f>IFERROR(__xludf.DUMMYFUNCTION("SPLIT(F:F, "" "")"),0.31870702769572)</f>
        <v>0.3187070277</v>
      </c>
      <c r="H293" s="4">
        <f>IFERROR(__xludf.DUMMYFUNCTION("""COMPUTED_VALUE"""),0.663203066685054)</f>
        <v>0.6632030667</v>
      </c>
      <c r="I293" s="15">
        <v>568.0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14" t="s">
        <v>1018</v>
      </c>
      <c r="B294" s="4">
        <f>IFERROR(__xludf.DUMMYFUNCTION("SPLIT(A:A, "" "")"),0.401446044209539)</f>
        <v>0.4014460442</v>
      </c>
      <c r="C294" s="4">
        <f>IFERROR(__xludf.DUMMYFUNCTION("""COMPUTED_VALUE"""),0.783621753431016)</f>
        <v>0.7836217534</v>
      </c>
      <c r="D294" s="15">
        <v>288.0</v>
      </c>
      <c r="E294" s="4"/>
      <c r="F294" s="14" t="s">
        <v>1019</v>
      </c>
      <c r="G294" s="17">
        <f>IFERROR(__xludf.DUMMYFUNCTION("SPLIT(F:F, "" "")"),0.339015148641933)</f>
        <v>0.3390151486</v>
      </c>
      <c r="H294" s="4">
        <f>IFERROR(__xludf.DUMMYFUNCTION("""COMPUTED_VALUE"""),0.681819243033879)</f>
        <v>0.681819243</v>
      </c>
      <c r="I294" s="15">
        <v>576.0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14" t="s">
        <v>1020</v>
      </c>
      <c r="B295" s="4">
        <f>IFERROR(__xludf.DUMMYFUNCTION("SPLIT(A:A, "" "")"),0.399386001288702)</f>
        <v>0.3993860013</v>
      </c>
      <c r="C295" s="4">
        <f>IFERROR(__xludf.DUMMYFUNCTION("""COMPUTED_VALUE"""),0.786352519598686)</f>
        <v>0.7863525196</v>
      </c>
      <c r="D295" s="15">
        <v>292.0</v>
      </c>
      <c r="E295" s="4"/>
      <c r="F295" s="14" t="s">
        <v>1021</v>
      </c>
      <c r="G295" s="17">
        <f>IFERROR(__xludf.DUMMYFUNCTION("SPLIT(F:F, "" "")"),0.318514793521021)</f>
        <v>0.3185147935</v>
      </c>
      <c r="H295" s="4">
        <f>IFERROR(__xludf.DUMMYFUNCTION("""COMPUTED_VALUE"""),0.670893487654269)</f>
        <v>0.6708934877</v>
      </c>
      <c r="I295" s="15">
        <v>584.0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14" t="s">
        <v>1022</v>
      </c>
      <c r="B296" s="4">
        <f>IFERROR(__xludf.DUMMYFUNCTION("SPLIT(A:A, "" "")"),0.404896775434133)</f>
        <v>0.4048967754</v>
      </c>
      <c r="C296" s="4">
        <f>IFERROR(__xludf.DUMMYFUNCTION("""COMPUTED_VALUE"""),0.79630021120412)</f>
        <v>0.7963002112</v>
      </c>
      <c r="D296" s="15">
        <v>296.0</v>
      </c>
      <c r="E296" s="4"/>
      <c r="F296" s="14" t="s">
        <v>1023</v>
      </c>
      <c r="G296" s="17">
        <f>IFERROR(__xludf.DUMMYFUNCTION("SPLIT(F:F, "" "")"),0.305825645452535)</f>
        <v>0.3058256455</v>
      </c>
      <c r="H296" s="4">
        <f>IFERROR(__xludf.DUMMYFUNCTION("""COMPUTED_VALUE"""),0.650007915980856)</f>
        <v>0.650007916</v>
      </c>
      <c r="I296" s="15">
        <v>592.0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14" t="s">
        <v>1024</v>
      </c>
      <c r="B297" s="4">
        <f>IFERROR(__xludf.DUMMYFUNCTION("SPLIT(A:A, "" "")"),0.420654288591721)</f>
        <v>0.4206542886</v>
      </c>
      <c r="C297" s="4">
        <f>IFERROR(__xludf.DUMMYFUNCTION("""COMPUTED_VALUE"""),0.800973906237425)</f>
        <v>0.8009739062</v>
      </c>
      <c r="D297" s="15">
        <v>300.0</v>
      </c>
      <c r="E297" s="4"/>
      <c r="F297" s="14" t="s">
        <v>1025</v>
      </c>
      <c r="G297" s="17">
        <f>IFERROR(__xludf.DUMMYFUNCTION("SPLIT(F:F, "" "")"),0.319128839720947)</f>
        <v>0.3191288397</v>
      </c>
      <c r="H297" s="4">
        <f>IFERROR(__xludf.DUMMYFUNCTION("""COMPUTED_VALUE"""),0.648380144451863)</f>
        <v>0.6483801445</v>
      </c>
      <c r="I297" s="15">
        <v>600.0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14" t="s">
        <v>1026</v>
      </c>
      <c r="B298" s="4">
        <f>IFERROR(__xludf.DUMMYFUNCTION("SPLIT(A:A, "" "")"),0.396932339452568)</f>
        <v>0.3969323395</v>
      </c>
      <c r="C298" s="4">
        <f>IFERROR(__xludf.DUMMYFUNCTION("""COMPUTED_VALUE"""),0.786814256392909)</f>
        <v>0.7868142564</v>
      </c>
      <c r="D298" s="15">
        <v>304.0</v>
      </c>
      <c r="E298" s="4"/>
      <c r="F298" s="14" t="s">
        <v>1027</v>
      </c>
      <c r="G298" s="17">
        <f>IFERROR(__xludf.DUMMYFUNCTION("SPLIT(F:F, "" "")"),0.297289511896863)</f>
        <v>0.2972895119</v>
      </c>
      <c r="H298" s="4">
        <f>IFERROR(__xludf.DUMMYFUNCTION("""COMPUTED_VALUE"""),0.645368939774965)</f>
        <v>0.6453689398</v>
      </c>
      <c r="I298" s="15">
        <v>608.0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14" t="s">
        <v>1028</v>
      </c>
      <c r="B299" s="4">
        <f>IFERROR(__xludf.DUMMYFUNCTION("SPLIT(A:A, "" "")"),0.404266892934122)</f>
        <v>0.4042668929</v>
      </c>
      <c r="C299" s="4">
        <f>IFERROR(__xludf.DUMMYFUNCTION("""COMPUTED_VALUE"""),0.797780834793576)</f>
        <v>0.7977808348</v>
      </c>
      <c r="D299" s="15">
        <v>308.0</v>
      </c>
      <c r="E299" s="4"/>
      <c r="F299" s="14" t="s">
        <v>1029</v>
      </c>
      <c r="G299" s="17">
        <f>IFERROR(__xludf.DUMMYFUNCTION("SPLIT(F:F, "" "")"),0.300783792458948)</f>
        <v>0.3007837925</v>
      </c>
      <c r="H299" s="4">
        <f>IFERROR(__xludf.DUMMYFUNCTION("""COMPUTED_VALUE"""),0.653695652810356)</f>
        <v>0.6536956528</v>
      </c>
      <c r="I299" s="15">
        <v>616.0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14" t="s">
        <v>1030</v>
      </c>
      <c r="B300" s="4">
        <f>IFERROR(__xludf.DUMMYFUNCTION("SPLIT(A:A, "" "")"),0.38885329362707)</f>
        <v>0.3888532936</v>
      </c>
      <c r="C300" s="4">
        <f>IFERROR(__xludf.DUMMYFUNCTION("""COMPUTED_VALUE"""),0.790387131512422)</f>
        <v>0.7903871315</v>
      </c>
      <c r="D300" s="15">
        <v>312.0</v>
      </c>
      <c r="E300" s="4"/>
      <c r="F300" s="14" t="s">
        <v>1031</v>
      </c>
      <c r="G300" s="17">
        <f>IFERROR(__xludf.DUMMYFUNCTION("SPLIT(F:F, "" "")"),0.302328090851621)</f>
        <v>0.3023280909</v>
      </c>
      <c r="H300" s="4">
        <f>IFERROR(__xludf.DUMMYFUNCTION("""COMPUTED_VALUE"""),0.65887361677709)</f>
        <v>0.6588736168</v>
      </c>
      <c r="I300" s="15">
        <v>624.0</v>
      </c>
      <c r="J300" s="4"/>
      <c r="K300" s="5" t="s">
        <v>1032</v>
      </c>
      <c r="L300" s="2"/>
      <c r="M300" s="2"/>
      <c r="N300" s="3"/>
      <c r="O300" s="4"/>
      <c r="P300" s="5" t="s">
        <v>1033</v>
      </c>
      <c r="Q300" s="2"/>
      <c r="R300" s="2"/>
      <c r="S300" s="3"/>
      <c r="T300" s="4"/>
      <c r="U300" s="4"/>
    </row>
    <row r="301">
      <c r="A301" s="14" t="s">
        <v>1034</v>
      </c>
      <c r="B301" s="4">
        <f>IFERROR(__xludf.DUMMYFUNCTION("SPLIT(A:A, "" "")"),0.390714128358957)</f>
        <v>0.3907141284</v>
      </c>
      <c r="C301" s="4">
        <f>IFERROR(__xludf.DUMMYFUNCTION("""COMPUTED_VALUE"""),0.773925517031528)</f>
        <v>0.773925517</v>
      </c>
      <c r="D301" s="15">
        <v>316.0</v>
      </c>
      <c r="E301" s="4"/>
      <c r="F301" s="14" t="s">
        <v>1035</v>
      </c>
      <c r="G301" s="17">
        <f>IFERROR(__xludf.DUMMYFUNCTION("SPLIT(F:F, "" "")"),0.30201612245047)</f>
        <v>0.3020161225</v>
      </c>
      <c r="H301" s="4">
        <f>IFERROR(__xludf.DUMMYFUNCTION("""COMPUTED_VALUE"""),0.660882501190237)</f>
        <v>0.6608825012</v>
      </c>
      <c r="I301" s="15">
        <v>632.0</v>
      </c>
      <c r="J301" s="4"/>
      <c r="K301" s="29" t="s">
        <v>4</v>
      </c>
      <c r="L301" s="12" t="s">
        <v>5</v>
      </c>
      <c r="M301" s="12" t="s">
        <v>6</v>
      </c>
      <c r="N301" s="28" t="s">
        <v>7</v>
      </c>
      <c r="O301" s="4"/>
      <c r="P301" s="29" t="s">
        <v>4</v>
      </c>
      <c r="Q301" s="12" t="s">
        <v>5</v>
      </c>
      <c r="R301" s="12" t="s">
        <v>6</v>
      </c>
      <c r="S301" s="28" t="s">
        <v>7</v>
      </c>
      <c r="T301" s="4"/>
      <c r="U301" s="4"/>
    </row>
    <row r="302">
      <c r="A302" s="14" t="s">
        <v>1036</v>
      </c>
      <c r="B302" s="4">
        <f>IFERROR(__xludf.DUMMYFUNCTION("SPLIT(A:A, "" "")"),0.381228084261044)</f>
        <v>0.3812280843</v>
      </c>
      <c r="C302" s="4">
        <f>IFERROR(__xludf.DUMMYFUNCTION("""COMPUTED_VALUE"""),0.764403117908184)</f>
        <v>0.7644031179</v>
      </c>
      <c r="D302" s="15">
        <v>320.0</v>
      </c>
      <c r="E302" s="4"/>
      <c r="F302" s="14" t="s">
        <v>1037</v>
      </c>
      <c r="G302" s="17">
        <f>IFERROR(__xludf.DUMMYFUNCTION("SPLIT(F:F, "" "")"),0.29418046256101)</f>
        <v>0.2941804626</v>
      </c>
      <c r="H302" s="4">
        <f>IFERROR(__xludf.DUMMYFUNCTION("""COMPUTED_VALUE"""),0.637949131532086)</f>
        <v>0.6379491315</v>
      </c>
      <c r="I302" s="15">
        <v>640.0</v>
      </c>
      <c r="J302" s="4"/>
      <c r="K302" s="14" t="s">
        <v>1038</v>
      </c>
      <c r="L302" s="17">
        <f>IFERROR(__xludf.DUMMYFUNCTION("SPLIT(K:K, "" "")"),1.11135702025184)</f>
        <v>1.11135702</v>
      </c>
      <c r="M302" s="4">
        <f>IFERROR(__xludf.DUMMYFUNCTION("""COMPUTED_VALUE"""),1.19566871027665)</f>
        <v>1.19566871</v>
      </c>
      <c r="N302" s="15">
        <v>8.0</v>
      </c>
      <c r="O302" s="4"/>
      <c r="P302" s="14" t="s">
        <v>1039</v>
      </c>
      <c r="Q302" s="17">
        <f>IFERROR(__xludf.DUMMYFUNCTION("SPLIT(P:P, "" "")"),1.08473258315559)</f>
        <v>1.084732583</v>
      </c>
      <c r="R302" s="4">
        <f>IFERROR(__xludf.DUMMYFUNCTION("""COMPUTED_VALUE"""),1.17390535926407)</f>
        <v>1.173905359</v>
      </c>
      <c r="S302" s="15">
        <v>12.0</v>
      </c>
      <c r="T302" s="4"/>
      <c r="U302" s="4"/>
    </row>
    <row r="303">
      <c r="A303" s="14" t="s">
        <v>1040</v>
      </c>
      <c r="B303" s="4">
        <f>IFERROR(__xludf.DUMMYFUNCTION("SPLIT(A:A, "" "")"),0.389817009884208)</f>
        <v>0.3898170099</v>
      </c>
      <c r="C303" s="4">
        <f>IFERROR(__xludf.DUMMYFUNCTION("""COMPUTED_VALUE"""),0.784149417291138)</f>
        <v>0.7841494173</v>
      </c>
      <c r="D303" s="15">
        <v>324.0</v>
      </c>
      <c r="E303" s="4"/>
      <c r="F303" s="14" t="s">
        <v>1041</v>
      </c>
      <c r="G303" s="17">
        <f>IFERROR(__xludf.DUMMYFUNCTION("SPLIT(F:F, "" "")"),0.296458147787476)</f>
        <v>0.2964581478</v>
      </c>
      <c r="H303" s="4">
        <f>IFERROR(__xludf.DUMMYFUNCTION("""COMPUTED_VALUE"""),0.644549261264757)</f>
        <v>0.6445492613</v>
      </c>
      <c r="I303" s="15">
        <v>648.0</v>
      </c>
      <c r="J303" s="4"/>
      <c r="K303" s="14" t="s">
        <v>1042</v>
      </c>
      <c r="L303" s="17">
        <f>IFERROR(__xludf.DUMMYFUNCTION("SPLIT(K:K, "" "")"),1.03590859208212)</f>
        <v>1.035908592</v>
      </c>
      <c r="M303" s="4">
        <f>IFERROR(__xludf.DUMMYFUNCTION("""COMPUTED_VALUE"""),1.15423421966926)</f>
        <v>1.15423422</v>
      </c>
      <c r="N303" s="15">
        <v>16.0</v>
      </c>
      <c r="O303" s="4"/>
      <c r="P303" s="14" t="s">
        <v>1043</v>
      </c>
      <c r="Q303" s="17">
        <f>IFERROR(__xludf.DUMMYFUNCTION("SPLIT(P:P, "" "")"),1.02109697183966)</f>
        <v>1.021096972</v>
      </c>
      <c r="R303" s="4">
        <f>IFERROR(__xludf.DUMMYFUNCTION("""COMPUTED_VALUE"""),1.12240064666018)</f>
        <v>1.122400647</v>
      </c>
      <c r="S303" s="15">
        <v>24.0</v>
      </c>
      <c r="T303" s="4"/>
      <c r="U303" s="4"/>
    </row>
    <row r="304">
      <c r="A304" s="14" t="s">
        <v>1044</v>
      </c>
      <c r="B304" s="4">
        <f>IFERROR(__xludf.DUMMYFUNCTION("SPLIT(A:A, "" "")"),0.39561167425723)</f>
        <v>0.3956116743</v>
      </c>
      <c r="C304" s="4">
        <f>IFERROR(__xludf.DUMMYFUNCTION("""COMPUTED_VALUE"""),0.78016383216895)</f>
        <v>0.7801638322</v>
      </c>
      <c r="D304" s="15">
        <v>328.0</v>
      </c>
      <c r="E304" s="4"/>
      <c r="F304" s="14" t="s">
        <v>1045</v>
      </c>
      <c r="G304" s="17">
        <f>IFERROR(__xludf.DUMMYFUNCTION("SPLIT(F:F, "" "")"),0.290291751270176)</f>
        <v>0.2902917513</v>
      </c>
      <c r="H304" s="4">
        <f>IFERROR(__xludf.DUMMYFUNCTION("""COMPUTED_VALUE"""),0.651218966286561)</f>
        <v>0.6512189663</v>
      </c>
      <c r="I304" s="15">
        <v>656.0</v>
      </c>
      <c r="J304" s="4"/>
      <c r="K304" s="14" t="s">
        <v>1046</v>
      </c>
      <c r="L304" s="17">
        <f>IFERROR(__xludf.DUMMYFUNCTION("SPLIT(K:K, "" "")"),0.963959295869144)</f>
        <v>0.9639592959</v>
      </c>
      <c r="M304" s="4">
        <f>IFERROR(__xludf.DUMMYFUNCTION("""COMPUTED_VALUE"""),1.06791341308919)</f>
        <v>1.067913413</v>
      </c>
      <c r="N304" s="15">
        <v>24.0</v>
      </c>
      <c r="O304" s="4"/>
      <c r="P304" s="14" t="s">
        <v>1047</v>
      </c>
      <c r="Q304" s="17">
        <f>IFERROR(__xludf.DUMMYFUNCTION("SPLIT(P:P, "" "")"),0.916179500524548)</f>
        <v>0.9161795005</v>
      </c>
      <c r="R304" s="4">
        <f>IFERROR(__xludf.DUMMYFUNCTION("""COMPUTED_VALUE"""),1.02467549569927)</f>
        <v>1.024675496</v>
      </c>
      <c r="S304" s="15">
        <v>36.0</v>
      </c>
      <c r="T304" s="4"/>
      <c r="U304" s="4"/>
    </row>
    <row r="305">
      <c r="A305" s="14" t="s">
        <v>1048</v>
      </c>
      <c r="B305" s="4">
        <f>IFERROR(__xludf.DUMMYFUNCTION("SPLIT(A:A, "" "")"),0.367584029748912)</f>
        <v>0.3675840297</v>
      </c>
      <c r="C305" s="4">
        <f>IFERROR(__xludf.DUMMYFUNCTION("""COMPUTED_VALUE"""),0.75563508417103)</f>
        <v>0.7556350842</v>
      </c>
      <c r="D305" s="15">
        <v>332.0</v>
      </c>
      <c r="E305" s="4"/>
      <c r="F305" s="14" t="s">
        <v>1049</v>
      </c>
      <c r="G305" s="17">
        <f>IFERROR(__xludf.DUMMYFUNCTION("SPLIT(F:F, "" "")"),0.291561428175352)</f>
        <v>0.2915614282</v>
      </c>
      <c r="H305" s="4">
        <f>IFERROR(__xludf.DUMMYFUNCTION("""COMPUTED_VALUE"""),0.643510459090467)</f>
        <v>0.6435104591</v>
      </c>
      <c r="I305" s="15">
        <v>664.0</v>
      </c>
      <c r="J305" s="4"/>
      <c r="K305" s="14" t="s">
        <v>1050</v>
      </c>
      <c r="L305" s="17">
        <f>IFERROR(__xludf.DUMMYFUNCTION("SPLIT(K:K, "" "")"),0.95047647003498)</f>
        <v>0.95047647</v>
      </c>
      <c r="M305" s="4">
        <f>IFERROR(__xludf.DUMMYFUNCTION("""COMPUTED_VALUE"""),1.09280374656979)</f>
        <v>1.092803747</v>
      </c>
      <c r="N305" s="15">
        <v>32.0</v>
      </c>
      <c r="O305" s="4"/>
      <c r="P305" s="14" t="s">
        <v>1051</v>
      </c>
      <c r="Q305" s="17">
        <f>IFERROR(__xludf.DUMMYFUNCTION("SPLIT(P:P, "" "")"),0.881379166531762)</f>
        <v>0.8813791665</v>
      </c>
      <c r="R305" s="4">
        <f>IFERROR(__xludf.DUMMYFUNCTION("""COMPUTED_VALUE"""),0.99771107789956)</f>
        <v>0.9977110779</v>
      </c>
      <c r="S305" s="15">
        <v>48.0</v>
      </c>
      <c r="T305" s="4"/>
      <c r="U305" s="4"/>
    </row>
    <row r="306">
      <c r="A306" s="14" t="s">
        <v>1052</v>
      </c>
      <c r="B306" s="4">
        <f>IFERROR(__xludf.DUMMYFUNCTION("SPLIT(A:A, "" "")"),0.374277462888361)</f>
        <v>0.3742774629</v>
      </c>
      <c r="C306" s="4">
        <f>IFERROR(__xludf.DUMMYFUNCTION("""COMPUTED_VALUE"""),0.762724581393454)</f>
        <v>0.7627245814</v>
      </c>
      <c r="D306" s="15">
        <v>336.0</v>
      </c>
      <c r="E306" s="4"/>
      <c r="F306" s="14" t="s">
        <v>1053</v>
      </c>
      <c r="G306" s="17">
        <f>IFERROR(__xludf.DUMMYFUNCTION("SPLIT(F:F, "" "")"),0.28928677048108)</f>
        <v>0.2892867705</v>
      </c>
      <c r="H306" s="4">
        <f>IFERROR(__xludf.DUMMYFUNCTION("""COMPUTED_VALUE"""),0.64393865659471)</f>
        <v>0.6439386566</v>
      </c>
      <c r="I306" s="15">
        <v>672.0</v>
      </c>
      <c r="J306" s="4"/>
      <c r="K306" s="14" t="s">
        <v>1054</v>
      </c>
      <c r="L306" s="17">
        <f>IFERROR(__xludf.DUMMYFUNCTION("SPLIT(K:K, "" "")"),0.905269948939964)</f>
        <v>0.9052699489</v>
      </c>
      <c r="M306" s="4">
        <f>IFERROR(__xludf.DUMMYFUNCTION("""COMPUTED_VALUE"""),1.05669461424756)</f>
        <v>1.056694614</v>
      </c>
      <c r="N306" s="15">
        <v>40.0</v>
      </c>
      <c r="O306" s="4"/>
      <c r="P306" s="14" t="s">
        <v>1055</v>
      </c>
      <c r="Q306" s="17">
        <f>IFERROR(__xludf.DUMMYFUNCTION("SPLIT(P:P, "" "")"),0.824818523881918)</f>
        <v>0.8248185239</v>
      </c>
      <c r="R306" s="4">
        <f>IFERROR(__xludf.DUMMYFUNCTION("""COMPUTED_VALUE"""),0.94488201710932)</f>
        <v>0.9448820171</v>
      </c>
      <c r="S306" s="15">
        <v>60.0</v>
      </c>
      <c r="T306" s="4"/>
      <c r="U306" s="4"/>
    </row>
    <row r="307">
      <c r="A307" s="14" t="s">
        <v>1056</v>
      </c>
      <c r="B307" s="4">
        <f>IFERROR(__xludf.DUMMYFUNCTION("SPLIT(A:A, "" "")"),0.378726855984517)</f>
        <v>0.378726856</v>
      </c>
      <c r="C307" s="4">
        <f>IFERROR(__xludf.DUMMYFUNCTION("""COMPUTED_VALUE"""),0.769423602821771)</f>
        <v>0.7694236028</v>
      </c>
      <c r="D307" s="15">
        <v>340.0</v>
      </c>
      <c r="E307" s="4"/>
      <c r="F307" s="14" t="s">
        <v>1057</v>
      </c>
      <c r="G307" s="17">
        <f>IFERROR(__xludf.DUMMYFUNCTION("SPLIT(F:F, "" "")"),0.296494993995366)</f>
        <v>0.296494994</v>
      </c>
      <c r="H307" s="4">
        <f>IFERROR(__xludf.DUMMYFUNCTION("""COMPUTED_VALUE"""),0.649469431842588)</f>
        <v>0.6494694318</v>
      </c>
      <c r="I307" s="15">
        <v>680.0</v>
      </c>
      <c r="J307" s="4"/>
      <c r="K307" s="14" t="s">
        <v>1058</v>
      </c>
      <c r="L307" s="17">
        <f>IFERROR(__xludf.DUMMYFUNCTION("SPLIT(K:K, "" "")"),0.821295890525995)</f>
        <v>0.8212958905</v>
      </c>
      <c r="M307" s="4">
        <f>IFERROR(__xludf.DUMMYFUNCTION("""COMPUTED_VALUE"""),0.979753811496975)</f>
        <v>0.9797538115</v>
      </c>
      <c r="N307" s="15">
        <v>48.0</v>
      </c>
      <c r="O307" s="4"/>
      <c r="P307" s="14" t="s">
        <v>1059</v>
      </c>
      <c r="Q307" s="17">
        <f>IFERROR(__xludf.DUMMYFUNCTION("SPLIT(P:P, "" "")"),0.82878372583124)</f>
        <v>0.8287837258</v>
      </c>
      <c r="R307" s="4">
        <f>IFERROR(__xludf.DUMMYFUNCTION("""COMPUTED_VALUE"""),0.948325128951512)</f>
        <v>0.948325129</v>
      </c>
      <c r="S307" s="15">
        <v>72.0</v>
      </c>
      <c r="T307" s="4"/>
      <c r="U307" s="4"/>
    </row>
    <row r="308">
      <c r="A308" s="14" t="s">
        <v>1060</v>
      </c>
      <c r="B308" s="4">
        <f>IFERROR(__xludf.DUMMYFUNCTION("SPLIT(A:A, "" "")"),0.370282381926023)</f>
        <v>0.3702823819</v>
      </c>
      <c r="C308" s="4">
        <f>IFERROR(__xludf.DUMMYFUNCTION("""COMPUTED_VALUE"""),0.783168115408775)</f>
        <v>0.7831681154</v>
      </c>
      <c r="D308" s="15">
        <v>344.0</v>
      </c>
      <c r="E308" s="4"/>
      <c r="F308" s="14" t="s">
        <v>1061</v>
      </c>
      <c r="G308" s="17">
        <f>IFERROR(__xludf.DUMMYFUNCTION("SPLIT(F:F, "" "")"),0.284062000838117)</f>
        <v>0.2840620008</v>
      </c>
      <c r="H308" s="4">
        <f>IFERROR(__xludf.DUMMYFUNCTION("""COMPUTED_VALUE"""),0.645594291415732)</f>
        <v>0.6455942914</v>
      </c>
      <c r="I308" s="15">
        <v>688.0</v>
      </c>
      <c r="J308" s="4"/>
      <c r="K308" s="14" t="s">
        <v>1062</v>
      </c>
      <c r="L308" s="17">
        <f>IFERROR(__xludf.DUMMYFUNCTION("SPLIT(K:K, "" "")"),0.817829595350549)</f>
        <v>0.8178295954</v>
      </c>
      <c r="M308" s="4">
        <f>IFERROR(__xludf.DUMMYFUNCTION("""COMPUTED_VALUE"""),0.982002555849034)</f>
        <v>0.9820025558</v>
      </c>
      <c r="N308" s="15">
        <v>56.0</v>
      </c>
      <c r="O308" s="4"/>
      <c r="P308" s="14" t="s">
        <v>1063</v>
      </c>
      <c r="Q308" s="17">
        <f>IFERROR(__xludf.DUMMYFUNCTION("SPLIT(P:P, "" "")"),0.787590151104543)</f>
        <v>0.7875901511</v>
      </c>
      <c r="R308" s="4">
        <f>IFERROR(__xludf.DUMMYFUNCTION("""COMPUTED_VALUE"""),0.938631203685877)</f>
        <v>0.9386312037</v>
      </c>
      <c r="S308" s="15">
        <v>84.0</v>
      </c>
      <c r="T308" s="4"/>
      <c r="U308" s="4"/>
    </row>
    <row r="309">
      <c r="A309" s="14" t="s">
        <v>1064</v>
      </c>
      <c r="B309" s="4">
        <f>IFERROR(__xludf.DUMMYFUNCTION("SPLIT(A:A, "" "")"),0.374787195732398)</f>
        <v>0.3747871957</v>
      </c>
      <c r="C309" s="4">
        <f>IFERROR(__xludf.DUMMYFUNCTION("""COMPUTED_VALUE"""),0.749005802474832)</f>
        <v>0.7490058025</v>
      </c>
      <c r="D309" s="15">
        <v>348.0</v>
      </c>
      <c r="E309" s="4"/>
      <c r="F309" s="14" t="s">
        <v>1065</v>
      </c>
      <c r="G309" s="17">
        <f>IFERROR(__xludf.DUMMYFUNCTION("SPLIT(F:F, "" "")"),0.293815204027066)</f>
        <v>0.293815204</v>
      </c>
      <c r="H309" s="4">
        <f>IFERROR(__xludf.DUMMYFUNCTION("""COMPUTED_VALUE"""),0.650720991771381)</f>
        <v>0.6507209918</v>
      </c>
      <c r="I309" s="15">
        <v>696.0</v>
      </c>
      <c r="J309" s="4"/>
      <c r="K309" s="14" t="s">
        <v>1066</v>
      </c>
      <c r="L309" s="17">
        <f>IFERROR(__xludf.DUMMYFUNCTION("SPLIT(K:K, "" "")"),0.828748835703874)</f>
        <v>0.8287488357</v>
      </c>
      <c r="M309" s="4">
        <f>IFERROR(__xludf.DUMMYFUNCTION("""COMPUTED_VALUE"""),0.985922832853507)</f>
        <v>0.9859228329</v>
      </c>
      <c r="N309" s="15">
        <v>64.0</v>
      </c>
      <c r="O309" s="4"/>
      <c r="P309" s="14" t="s">
        <v>1067</v>
      </c>
      <c r="Q309" s="17">
        <f>IFERROR(__xludf.DUMMYFUNCTION("SPLIT(P:P, "" "")"),0.749576120469423)</f>
        <v>0.7495761205</v>
      </c>
      <c r="R309" s="4">
        <f>IFERROR(__xludf.DUMMYFUNCTION("""COMPUTED_VALUE"""),0.888267787269015)</f>
        <v>0.8882677873</v>
      </c>
      <c r="S309" s="15">
        <v>96.0</v>
      </c>
      <c r="T309" s="4"/>
      <c r="U309" s="4"/>
    </row>
    <row r="310">
      <c r="A310" s="14" t="s">
        <v>1068</v>
      </c>
      <c r="B310" s="4">
        <f>IFERROR(__xludf.DUMMYFUNCTION("SPLIT(A:A, "" "")"),0.365567176683537)</f>
        <v>0.3655671767</v>
      </c>
      <c r="C310" s="4">
        <f>IFERROR(__xludf.DUMMYFUNCTION("""COMPUTED_VALUE"""),0.770414879470384)</f>
        <v>0.7704148795</v>
      </c>
      <c r="D310" s="15">
        <v>352.0</v>
      </c>
      <c r="E310" s="4"/>
      <c r="F310" s="14" t="s">
        <v>1069</v>
      </c>
      <c r="G310" s="17">
        <f>IFERROR(__xludf.DUMMYFUNCTION("SPLIT(F:F, "" "")"),0.300987241440532)</f>
        <v>0.3009872414</v>
      </c>
      <c r="H310" s="4">
        <f>IFERROR(__xludf.DUMMYFUNCTION("""COMPUTED_VALUE"""),0.657239316213986)</f>
        <v>0.6572393162</v>
      </c>
      <c r="I310" s="15">
        <v>704.0</v>
      </c>
      <c r="J310" s="4"/>
      <c r="K310" s="14" t="s">
        <v>1070</v>
      </c>
      <c r="L310" s="17">
        <f>IFERROR(__xludf.DUMMYFUNCTION("SPLIT(K:K, "" "")"),0.764856828652653)</f>
        <v>0.7648568287</v>
      </c>
      <c r="M310" s="4">
        <f>IFERROR(__xludf.DUMMYFUNCTION("""COMPUTED_VALUE"""),0.925161828091027)</f>
        <v>0.9251618281</v>
      </c>
      <c r="N310" s="15">
        <v>72.0</v>
      </c>
      <c r="O310" s="4"/>
      <c r="P310" s="14" t="s">
        <v>1071</v>
      </c>
      <c r="Q310" s="17">
        <f>IFERROR(__xludf.DUMMYFUNCTION("SPLIT(P:P, "" "")"),0.716626706578214)</f>
        <v>0.7166267066</v>
      </c>
      <c r="R310" s="4">
        <f>IFERROR(__xludf.DUMMYFUNCTION("""COMPUTED_VALUE"""),0.847627416709412)</f>
        <v>0.8476274167</v>
      </c>
      <c r="S310" s="15">
        <v>108.0</v>
      </c>
      <c r="T310" s="4"/>
      <c r="U310" s="4"/>
    </row>
    <row r="311">
      <c r="A311" s="14" t="s">
        <v>1072</v>
      </c>
      <c r="B311" s="4">
        <f>IFERROR(__xludf.DUMMYFUNCTION("SPLIT(A:A, "" "")"),0.368204491716055)</f>
        <v>0.3682044917</v>
      </c>
      <c r="C311" s="4">
        <f>IFERROR(__xludf.DUMMYFUNCTION("""COMPUTED_VALUE"""),0.774868901253402)</f>
        <v>0.7748689013</v>
      </c>
      <c r="D311" s="15">
        <v>356.0</v>
      </c>
      <c r="E311" s="4"/>
      <c r="F311" s="14" t="s">
        <v>1073</v>
      </c>
      <c r="G311" s="17">
        <f>IFERROR(__xludf.DUMMYFUNCTION("SPLIT(F:F, "" "")"),0.280855443767793)</f>
        <v>0.2808554438</v>
      </c>
      <c r="H311" s="4">
        <f>IFERROR(__xludf.DUMMYFUNCTION("""COMPUTED_VALUE"""),0.638581818494053)</f>
        <v>0.6385818185</v>
      </c>
      <c r="I311" s="15">
        <v>712.0</v>
      </c>
      <c r="J311" s="4"/>
      <c r="K311" s="14" t="s">
        <v>1074</v>
      </c>
      <c r="L311" s="17">
        <f>IFERROR(__xludf.DUMMYFUNCTION("SPLIT(K:K, "" "")"),0.737236367628265)</f>
        <v>0.7372363676</v>
      </c>
      <c r="M311" s="4">
        <f>IFERROR(__xludf.DUMMYFUNCTION("""COMPUTED_VALUE"""),0.89363626037366)</f>
        <v>0.8936362604</v>
      </c>
      <c r="N311" s="15">
        <v>80.0</v>
      </c>
      <c r="O311" s="4"/>
      <c r="P311" s="14" t="s">
        <v>1075</v>
      </c>
      <c r="Q311" s="17">
        <f>IFERROR(__xludf.DUMMYFUNCTION("SPLIT(P:P, "" "")"),0.680996964173936)</f>
        <v>0.6809969642</v>
      </c>
      <c r="R311" s="4">
        <f>IFERROR(__xludf.DUMMYFUNCTION("""COMPUTED_VALUE"""),0.825472952413371)</f>
        <v>0.8254729524</v>
      </c>
      <c r="S311" s="15">
        <v>120.0</v>
      </c>
      <c r="T311" s="4"/>
      <c r="U311" s="4"/>
    </row>
    <row r="312">
      <c r="A312" s="14" t="s">
        <v>1076</v>
      </c>
      <c r="B312" s="4">
        <f>IFERROR(__xludf.DUMMYFUNCTION("SPLIT(A:A, "" "")"),0.365124586476522)</f>
        <v>0.3651245865</v>
      </c>
      <c r="C312" s="4">
        <f>IFERROR(__xludf.DUMMYFUNCTION("""COMPUTED_VALUE"""),0.773834012199572)</f>
        <v>0.7738340122</v>
      </c>
      <c r="D312" s="15">
        <v>360.0</v>
      </c>
      <c r="E312" s="4"/>
      <c r="F312" s="14" t="s">
        <v>1077</v>
      </c>
      <c r="G312" s="17">
        <f>IFERROR(__xludf.DUMMYFUNCTION("SPLIT(F:F, "" "")"),0.282627361596052)</f>
        <v>0.2826273616</v>
      </c>
      <c r="H312" s="4">
        <f>IFERROR(__xludf.DUMMYFUNCTION("""COMPUTED_VALUE"""),0.644274527827519)</f>
        <v>0.6442745278</v>
      </c>
      <c r="I312" s="15">
        <v>720.0</v>
      </c>
      <c r="J312" s="4"/>
      <c r="K312" s="14" t="s">
        <v>1078</v>
      </c>
      <c r="L312" s="17">
        <f>IFERROR(__xludf.DUMMYFUNCTION("SPLIT(K:K, "" "")"),0.745959845715947)</f>
        <v>0.7459598457</v>
      </c>
      <c r="M312" s="4">
        <f>IFERROR(__xludf.DUMMYFUNCTION("""COMPUTED_VALUE"""),0.90637849455359)</f>
        <v>0.9063784946</v>
      </c>
      <c r="N312" s="15">
        <v>88.0</v>
      </c>
      <c r="O312" s="4"/>
      <c r="P312" s="14" t="s">
        <v>1079</v>
      </c>
      <c r="Q312" s="17">
        <f>IFERROR(__xludf.DUMMYFUNCTION("SPLIT(P:P, "" "")"),0.663337031296924)</f>
        <v>0.6633370313</v>
      </c>
      <c r="R312" s="4">
        <f>IFERROR(__xludf.DUMMYFUNCTION("""COMPUTED_VALUE"""),0.803626964374372)</f>
        <v>0.8036269644</v>
      </c>
      <c r="S312" s="15">
        <v>132.0</v>
      </c>
      <c r="T312" s="4"/>
      <c r="U312" s="4"/>
    </row>
    <row r="313">
      <c r="A313" s="14" t="s">
        <v>1080</v>
      </c>
      <c r="B313" s="4">
        <f>IFERROR(__xludf.DUMMYFUNCTION("SPLIT(A:A, "" "")"),0.358730188960718)</f>
        <v>0.358730189</v>
      </c>
      <c r="C313" s="4">
        <f>IFERROR(__xludf.DUMMYFUNCTION("""COMPUTED_VALUE"""),0.767841169631816)</f>
        <v>0.7678411696</v>
      </c>
      <c r="D313" s="15">
        <v>364.0</v>
      </c>
      <c r="E313" s="4"/>
      <c r="F313" s="14" t="s">
        <v>1081</v>
      </c>
      <c r="G313" s="17">
        <f>IFERROR(__xludf.DUMMYFUNCTION("SPLIT(F:F, "" "")"),0.290366190520201)</f>
        <v>0.2903661905</v>
      </c>
      <c r="H313" s="4">
        <f>IFERROR(__xludf.DUMMYFUNCTION("""COMPUTED_VALUE"""),0.648379868149962)</f>
        <v>0.6483798681</v>
      </c>
      <c r="I313" s="15">
        <v>728.0</v>
      </c>
      <c r="J313" s="4"/>
      <c r="K313" s="14" t="s">
        <v>1082</v>
      </c>
      <c r="L313" s="17">
        <f>IFERROR(__xludf.DUMMYFUNCTION("SPLIT(K:K, "" "")"),0.704804019673734)</f>
        <v>0.7048040197</v>
      </c>
      <c r="M313" s="4">
        <f>IFERROR(__xludf.DUMMYFUNCTION("""COMPUTED_VALUE"""),0.872430746000025)</f>
        <v>0.872430746</v>
      </c>
      <c r="N313" s="15">
        <v>96.0</v>
      </c>
      <c r="O313" s="4"/>
      <c r="P313" s="14" t="s">
        <v>1083</v>
      </c>
      <c r="Q313" s="17">
        <f>IFERROR(__xludf.DUMMYFUNCTION("SPLIT(P:P, "" "")"),0.645508053391012)</f>
        <v>0.6455080534</v>
      </c>
      <c r="R313" s="4">
        <f>IFERROR(__xludf.DUMMYFUNCTION("""COMPUTED_VALUE"""),0.790339447752206)</f>
        <v>0.7903394478</v>
      </c>
      <c r="S313" s="15">
        <v>144.0</v>
      </c>
      <c r="T313" s="4"/>
      <c r="U313" s="4"/>
    </row>
    <row r="314">
      <c r="A314" s="14" t="s">
        <v>1084</v>
      </c>
      <c r="B314" s="4">
        <f>IFERROR(__xludf.DUMMYFUNCTION("SPLIT(A:A, "" "")"),0.361531879833062)</f>
        <v>0.3615318798</v>
      </c>
      <c r="C314" s="4">
        <f>IFERROR(__xludf.DUMMYFUNCTION("""COMPUTED_VALUE"""),0.753924879387878)</f>
        <v>0.7539248794</v>
      </c>
      <c r="D314" s="15">
        <v>368.0</v>
      </c>
      <c r="E314" s="4"/>
      <c r="F314" s="14" t="s">
        <v>1085</v>
      </c>
      <c r="G314" s="17">
        <f>IFERROR(__xludf.DUMMYFUNCTION("SPLIT(F:F, "" "")"),0.281384914041234)</f>
        <v>0.281384914</v>
      </c>
      <c r="H314" s="4">
        <f>IFERROR(__xludf.DUMMYFUNCTION("""COMPUTED_VALUE"""),0.642506659417849)</f>
        <v>0.6425066594</v>
      </c>
      <c r="I314" s="15">
        <v>736.0</v>
      </c>
      <c r="J314" s="4"/>
      <c r="K314" s="14" t="s">
        <v>1086</v>
      </c>
      <c r="L314" s="17">
        <f>IFERROR(__xludf.DUMMYFUNCTION("SPLIT(K:K, "" "")"),0.700723849720394)</f>
        <v>0.7007238497</v>
      </c>
      <c r="M314" s="4">
        <f>IFERROR(__xludf.DUMMYFUNCTION("""COMPUTED_VALUE"""),0.884699465031785)</f>
        <v>0.884699465</v>
      </c>
      <c r="N314" s="15">
        <v>104.0</v>
      </c>
      <c r="O314" s="4"/>
      <c r="P314" s="14" t="s">
        <v>1087</v>
      </c>
      <c r="Q314" s="17">
        <f>IFERROR(__xludf.DUMMYFUNCTION("SPLIT(P:P, "" "")"),0.613045863365)</f>
        <v>0.6130458634</v>
      </c>
      <c r="R314" s="4">
        <f>IFERROR(__xludf.DUMMYFUNCTION("""COMPUTED_VALUE"""),0.761065282768711)</f>
        <v>0.7610652828</v>
      </c>
      <c r="S314" s="15">
        <v>156.0</v>
      </c>
      <c r="T314" s="4"/>
      <c r="U314" s="4"/>
    </row>
    <row r="315">
      <c r="A315" s="14" t="s">
        <v>1088</v>
      </c>
      <c r="B315" s="4">
        <f>IFERROR(__xludf.DUMMYFUNCTION("SPLIT(A:A, "" "")"),0.358646993801871)</f>
        <v>0.3586469938</v>
      </c>
      <c r="C315" s="4">
        <f>IFERROR(__xludf.DUMMYFUNCTION("""COMPUTED_VALUE"""),0.759583097764918)</f>
        <v>0.7595830978</v>
      </c>
      <c r="D315" s="15">
        <v>372.0</v>
      </c>
      <c r="E315" s="4"/>
      <c r="F315" s="14" t="s">
        <v>1089</v>
      </c>
      <c r="G315" s="17">
        <f>IFERROR(__xludf.DUMMYFUNCTION("SPLIT(F:F, "" "")"),0.283390720553867)</f>
        <v>0.2833907206</v>
      </c>
      <c r="H315" s="4">
        <f>IFERROR(__xludf.DUMMYFUNCTION("""COMPUTED_VALUE"""),0.652762651506816)</f>
        <v>0.6527626515</v>
      </c>
      <c r="I315" s="15">
        <v>744.0</v>
      </c>
      <c r="J315" s="4"/>
      <c r="K315" s="14" t="s">
        <v>1090</v>
      </c>
      <c r="L315" s="17">
        <f>IFERROR(__xludf.DUMMYFUNCTION("SPLIT(K:K, "" "")"),0.676798260420564)</f>
        <v>0.6767982604</v>
      </c>
      <c r="M315" s="4">
        <f>IFERROR(__xludf.DUMMYFUNCTION("""COMPUTED_VALUE"""),0.869523663702999)</f>
        <v>0.8695236637</v>
      </c>
      <c r="N315" s="15">
        <v>112.0</v>
      </c>
      <c r="O315" s="4"/>
      <c r="P315" s="14" t="s">
        <v>1091</v>
      </c>
      <c r="Q315" s="17">
        <f>IFERROR(__xludf.DUMMYFUNCTION("SPLIT(P:P, "" "")"),0.603110426606624)</f>
        <v>0.6031104266</v>
      </c>
      <c r="R315" s="4">
        <f>IFERROR(__xludf.DUMMYFUNCTION("""COMPUTED_VALUE"""),0.752842315893738)</f>
        <v>0.7528423159</v>
      </c>
      <c r="S315" s="15">
        <v>168.0</v>
      </c>
      <c r="T315" s="4"/>
      <c r="U315" s="4"/>
    </row>
    <row r="316">
      <c r="A316" s="14" t="s">
        <v>1092</v>
      </c>
      <c r="B316" s="4">
        <f>IFERROR(__xludf.DUMMYFUNCTION("SPLIT(A:A, "" "")"),0.343840075721386)</f>
        <v>0.3438400757</v>
      </c>
      <c r="C316" s="4">
        <f>IFERROR(__xludf.DUMMYFUNCTION("""COMPUTED_VALUE"""),0.731091675593549)</f>
        <v>0.7310916756</v>
      </c>
      <c r="D316" s="15">
        <v>376.0</v>
      </c>
      <c r="E316" s="4"/>
      <c r="F316" s="14" t="s">
        <v>1093</v>
      </c>
      <c r="G316" s="17">
        <f>IFERROR(__xludf.DUMMYFUNCTION("SPLIT(F:F, "" "")"),0.27723632129597)</f>
        <v>0.2772363213</v>
      </c>
      <c r="H316" s="4">
        <f>IFERROR(__xludf.DUMMYFUNCTION("""COMPUTED_VALUE"""),0.632689778218888)</f>
        <v>0.6326897782</v>
      </c>
      <c r="I316" s="15">
        <v>752.0</v>
      </c>
      <c r="J316" s="4"/>
      <c r="K316" s="14" t="s">
        <v>1094</v>
      </c>
      <c r="L316" s="17">
        <f>IFERROR(__xludf.DUMMYFUNCTION("SPLIT(K:K, "" "")"),0.66633381280454)</f>
        <v>0.6663338128</v>
      </c>
      <c r="M316" s="4">
        <f>IFERROR(__xludf.DUMMYFUNCTION("""COMPUTED_VALUE"""),0.8725482688478)</f>
        <v>0.8725482688</v>
      </c>
      <c r="N316" s="15">
        <v>120.0</v>
      </c>
      <c r="O316" s="4"/>
      <c r="P316" s="14" t="s">
        <v>1095</v>
      </c>
      <c r="Q316" s="17">
        <f>IFERROR(__xludf.DUMMYFUNCTION("SPLIT(P:P, "" "")"),0.589873373539294)</f>
        <v>0.5898733735</v>
      </c>
      <c r="R316" s="4">
        <f>IFERROR(__xludf.DUMMYFUNCTION("""COMPUTED_VALUE"""),0.748703605924453)</f>
        <v>0.7487036059</v>
      </c>
      <c r="S316" s="15">
        <v>180.0</v>
      </c>
      <c r="T316" s="4"/>
      <c r="U316" s="4"/>
    </row>
    <row r="317">
      <c r="A317" s="14" t="s">
        <v>1096</v>
      </c>
      <c r="B317" s="4">
        <f>IFERROR(__xludf.DUMMYFUNCTION("SPLIT(A:A, "" "")"),0.360239376902925)</f>
        <v>0.3602393769</v>
      </c>
      <c r="C317" s="4">
        <f>IFERROR(__xludf.DUMMYFUNCTION("""COMPUTED_VALUE"""),0.76047113254823)</f>
        <v>0.7604711325</v>
      </c>
      <c r="D317" s="15">
        <v>380.0</v>
      </c>
      <c r="E317" s="4"/>
      <c r="F317" s="14" t="s">
        <v>1097</v>
      </c>
      <c r="G317" s="17">
        <f>IFERROR(__xludf.DUMMYFUNCTION("SPLIT(F:F, "" "")"),0.268898697776729)</f>
        <v>0.2688986978</v>
      </c>
      <c r="H317" s="4">
        <f>IFERROR(__xludf.DUMMYFUNCTION("""COMPUTED_VALUE"""),0.624455897131167)</f>
        <v>0.6244558971</v>
      </c>
      <c r="I317" s="15">
        <v>760.0</v>
      </c>
      <c r="J317" s="4"/>
      <c r="K317" s="14" t="s">
        <v>1098</v>
      </c>
      <c r="L317" s="17">
        <f>IFERROR(__xludf.DUMMYFUNCTION("SPLIT(K:K, "" "")"),0.649899579515944)</f>
        <v>0.6498995795</v>
      </c>
      <c r="M317" s="4">
        <f>IFERROR(__xludf.DUMMYFUNCTION("""COMPUTED_VALUE"""),0.842084128486066)</f>
        <v>0.8420841285</v>
      </c>
      <c r="N317" s="15">
        <v>128.0</v>
      </c>
      <c r="O317" s="4"/>
      <c r="P317" s="14" t="s">
        <v>1099</v>
      </c>
      <c r="Q317" s="17">
        <f>IFERROR(__xludf.DUMMYFUNCTION("SPLIT(P:P, "" "")"),0.598428393063846)</f>
        <v>0.5984283931</v>
      </c>
      <c r="R317" s="4">
        <f>IFERROR(__xludf.DUMMYFUNCTION("""COMPUTED_VALUE"""),0.760518003313495)</f>
        <v>0.7605180033</v>
      </c>
      <c r="S317" s="15">
        <v>192.0</v>
      </c>
      <c r="T317" s="4"/>
      <c r="U317" s="4"/>
    </row>
    <row r="318">
      <c r="A318" s="14" t="s">
        <v>1100</v>
      </c>
      <c r="B318" s="4">
        <f>IFERROR(__xludf.DUMMYFUNCTION("SPLIT(A:A, "" "")"),0.35838774884439)</f>
        <v>0.3583877488</v>
      </c>
      <c r="C318" s="4">
        <f>IFERROR(__xludf.DUMMYFUNCTION("""COMPUTED_VALUE"""),0.76538232687327)</f>
        <v>0.7653823269</v>
      </c>
      <c r="D318" s="15">
        <v>384.0</v>
      </c>
      <c r="E318" s="4"/>
      <c r="F318" s="14" t="s">
        <v>1101</v>
      </c>
      <c r="G318" s="17">
        <f>IFERROR(__xludf.DUMMYFUNCTION("SPLIT(F:F, "" "")"),0.273115996049436)</f>
        <v>0.273115996</v>
      </c>
      <c r="H318" s="4">
        <f>IFERROR(__xludf.DUMMYFUNCTION("""COMPUTED_VALUE"""),0.635898226546495)</f>
        <v>0.6358982265</v>
      </c>
      <c r="I318" s="15">
        <v>768.0</v>
      </c>
      <c r="J318" s="4"/>
      <c r="K318" s="14" t="s">
        <v>1102</v>
      </c>
      <c r="L318" s="17">
        <f>IFERROR(__xludf.DUMMYFUNCTION("SPLIT(K:K, "" "")"),0.665037376158775)</f>
        <v>0.6650373762</v>
      </c>
      <c r="M318" s="4">
        <f>IFERROR(__xludf.DUMMYFUNCTION("""COMPUTED_VALUE"""),0.87003318248791)</f>
        <v>0.8700331825</v>
      </c>
      <c r="N318" s="15">
        <v>136.0</v>
      </c>
      <c r="O318" s="4"/>
      <c r="P318" s="14" t="s">
        <v>1103</v>
      </c>
      <c r="Q318" s="17">
        <f>IFERROR(__xludf.DUMMYFUNCTION("SPLIT(P:P, "" "")"),0.553144132465932)</f>
        <v>0.5531441325</v>
      </c>
      <c r="R318" s="4">
        <f>IFERROR(__xludf.DUMMYFUNCTION("""COMPUTED_VALUE"""),0.717779030109295)</f>
        <v>0.7177790301</v>
      </c>
      <c r="S318" s="15">
        <v>204.0</v>
      </c>
      <c r="T318" s="4"/>
      <c r="U318" s="4"/>
    </row>
    <row r="319">
      <c r="A319" s="14" t="s">
        <v>1104</v>
      </c>
      <c r="B319" s="4">
        <f>IFERROR(__xludf.DUMMYFUNCTION("SPLIT(A:A, "" "")"),0.343393639122644)</f>
        <v>0.3433936391</v>
      </c>
      <c r="C319" s="4">
        <f>IFERROR(__xludf.DUMMYFUNCTION("""COMPUTED_VALUE"""),0.749851965103737)</f>
        <v>0.7498519651</v>
      </c>
      <c r="D319" s="15">
        <v>388.0</v>
      </c>
      <c r="E319" s="4"/>
      <c r="F319" s="14" t="s">
        <v>1105</v>
      </c>
      <c r="G319" s="17">
        <f>IFERROR(__xludf.DUMMYFUNCTION("SPLIT(F:F, "" "")"),0.268605168576994)</f>
        <v>0.2686051686</v>
      </c>
      <c r="H319" s="4">
        <f>IFERROR(__xludf.DUMMYFUNCTION("""COMPUTED_VALUE"""),0.639555430166441)</f>
        <v>0.6395554302</v>
      </c>
      <c r="I319" s="15">
        <v>776.0</v>
      </c>
      <c r="J319" s="4"/>
      <c r="K319" s="14" t="s">
        <v>1106</v>
      </c>
      <c r="L319" s="17">
        <f>IFERROR(__xludf.DUMMYFUNCTION("SPLIT(K:K, "" "")"),0.648680014970337)</f>
        <v>0.648680015</v>
      </c>
      <c r="M319" s="4">
        <f>IFERROR(__xludf.DUMMYFUNCTION("""COMPUTED_VALUE"""),0.8518139402269)</f>
        <v>0.8518139402</v>
      </c>
      <c r="N319" s="15">
        <v>144.0</v>
      </c>
      <c r="O319" s="4"/>
      <c r="P319" s="14" t="s">
        <v>1107</v>
      </c>
      <c r="Q319" s="17">
        <f>IFERROR(__xludf.DUMMYFUNCTION("SPLIT(P:P, "" "")"),0.570074053416988)</f>
        <v>0.5700740534</v>
      </c>
      <c r="R319" s="4">
        <f>IFERROR(__xludf.DUMMYFUNCTION("""COMPUTED_VALUE"""),0.745847512626353)</f>
        <v>0.7458475126</v>
      </c>
      <c r="S319" s="15">
        <v>216.0</v>
      </c>
      <c r="T319" s="4"/>
      <c r="U319" s="4"/>
    </row>
    <row r="320">
      <c r="A320" s="14" t="s">
        <v>1108</v>
      </c>
      <c r="B320" s="4">
        <f>IFERROR(__xludf.DUMMYFUNCTION("SPLIT(A:A, "" "")"),0.37208562424075)</f>
        <v>0.3720856242</v>
      </c>
      <c r="C320" s="4">
        <f>IFERROR(__xludf.DUMMYFUNCTION("""COMPUTED_VALUE"""),0.8046953177478)</f>
        <v>0.8046953177</v>
      </c>
      <c r="D320" s="15">
        <v>392.0</v>
      </c>
      <c r="E320" s="4"/>
      <c r="F320" s="14" t="s">
        <v>1109</v>
      </c>
      <c r="G320" s="17">
        <f>IFERROR(__xludf.DUMMYFUNCTION("SPLIT(F:F, "" "")"),0.268041545524199)</f>
        <v>0.2680415455</v>
      </c>
      <c r="H320" s="4">
        <f>IFERROR(__xludf.DUMMYFUNCTION("""COMPUTED_VALUE"""),0.634319580778907)</f>
        <v>0.6343195808</v>
      </c>
      <c r="I320" s="15">
        <v>784.0</v>
      </c>
      <c r="J320" s="4"/>
      <c r="K320" s="14" t="s">
        <v>1110</v>
      </c>
      <c r="L320" s="17">
        <f>IFERROR(__xludf.DUMMYFUNCTION("SPLIT(K:K, "" "")"),0.614146399412378)</f>
        <v>0.6141463994</v>
      </c>
      <c r="M320" s="4">
        <f>IFERROR(__xludf.DUMMYFUNCTION("""COMPUTED_VALUE"""),0.821123052871939)</f>
        <v>0.8211230529</v>
      </c>
      <c r="N320" s="15">
        <v>152.0</v>
      </c>
      <c r="O320" s="4"/>
      <c r="P320" s="14" t="s">
        <v>1111</v>
      </c>
      <c r="Q320" s="17">
        <f>IFERROR(__xludf.DUMMYFUNCTION("SPLIT(P:P, "" "")"),0.553809491629615)</f>
        <v>0.5538094916</v>
      </c>
      <c r="R320" s="4">
        <f>IFERROR(__xludf.DUMMYFUNCTION("""COMPUTED_VALUE"""),0.730541328259777)</f>
        <v>0.7305413283</v>
      </c>
      <c r="S320" s="15">
        <v>228.0</v>
      </c>
      <c r="T320" s="4"/>
      <c r="U320" s="4"/>
    </row>
    <row r="321">
      <c r="A321" s="14" t="s">
        <v>1112</v>
      </c>
      <c r="B321" s="4">
        <f>IFERROR(__xludf.DUMMYFUNCTION("SPLIT(A:A, "" "")"),0.352508522473645)</f>
        <v>0.3525085225</v>
      </c>
      <c r="C321" s="4">
        <f>IFERROR(__xludf.DUMMYFUNCTION("""COMPUTED_VALUE"""),0.773146923883666)</f>
        <v>0.7731469239</v>
      </c>
      <c r="D321" s="15">
        <v>396.0</v>
      </c>
      <c r="E321" s="4"/>
      <c r="F321" s="14" t="s">
        <v>1113</v>
      </c>
      <c r="G321" s="17">
        <f>IFERROR(__xludf.DUMMYFUNCTION("SPLIT(F:F, "" "")"),0.26768320960052)</f>
        <v>0.2676832096</v>
      </c>
      <c r="H321" s="4">
        <f>IFERROR(__xludf.DUMMYFUNCTION("""COMPUTED_VALUE"""),0.632962112368171)</f>
        <v>0.6329621124</v>
      </c>
      <c r="I321" s="15">
        <v>792.0</v>
      </c>
      <c r="J321" s="4"/>
      <c r="K321" s="14" t="s">
        <v>1114</v>
      </c>
      <c r="L321" s="17">
        <f>IFERROR(__xludf.DUMMYFUNCTION("SPLIT(K:K, "" "")"),0.644799825306472)</f>
        <v>0.6447998253</v>
      </c>
      <c r="M321" s="4">
        <f>IFERROR(__xludf.DUMMYFUNCTION("""COMPUTED_VALUE"""),0.841447570941795)</f>
        <v>0.8414475709</v>
      </c>
      <c r="N321" s="15">
        <v>160.0</v>
      </c>
      <c r="O321" s="4"/>
      <c r="P321" s="14" t="s">
        <v>1115</v>
      </c>
      <c r="Q321" s="17">
        <f>IFERROR(__xludf.DUMMYFUNCTION("SPLIT(P:P, "" "")"),0.539456492950873)</f>
        <v>0.539456493</v>
      </c>
      <c r="R321" s="4">
        <f>IFERROR(__xludf.DUMMYFUNCTION("""COMPUTED_VALUE"""),0.712136288041132)</f>
        <v>0.712136288</v>
      </c>
      <c r="S321" s="15">
        <v>240.0</v>
      </c>
      <c r="T321" s="4"/>
      <c r="U321" s="4"/>
    </row>
    <row r="322">
      <c r="A322" s="14" t="s">
        <v>1116</v>
      </c>
      <c r="B322" s="4">
        <f>IFERROR(__xludf.DUMMYFUNCTION("SPLIT(A:A, "" "")"),0.362803765799502)</f>
        <v>0.3628037658</v>
      </c>
      <c r="C322" s="4">
        <f>IFERROR(__xludf.DUMMYFUNCTION("""COMPUTED_VALUE"""),0.775051230717613)</f>
        <v>0.7750512307</v>
      </c>
      <c r="D322" s="15">
        <v>400.0</v>
      </c>
      <c r="E322" s="4"/>
      <c r="F322" s="14" t="s">
        <v>1117</v>
      </c>
      <c r="G322" s="17">
        <f>IFERROR(__xludf.DUMMYFUNCTION("SPLIT(F:F, "" "")"),0.258814504971252)</f>
        <v>0.258814505</v>
      </c>
      <c r="H322" s="4">
        <f>IFERROR(__xludf.DUMMYFUNCTION("""COMPUTED_VALUE"""),0.63462860057093)</f>
        <v>0.6346286006</v>
      </c>
      <c r="I322" s="15">
        <v>800.0</v>
      </c>
      <c r="J322" s="4"/>
      <c r="K322" s="14" t="s">
        <v>1118</v>
      </c>
      <c r="L322" s="17">
        <f>IFERROR(__xludf.DUMMYFUNCTION("SPLIT(K:K, "" "")"),0.59777744162904)</f>
        <v>0.5977774416</v>
      </c>
      <c r="M322" s="4">
        <f>IFERROR(__xludf.DUMMYFUNCTION("""COMPUTED_VALUE"""),0.817314005760988)</f>
        <v>0.8173140058</v>
      </c>
      <c r="N322" s="15">
        <v>168.0</v>
      </c>
      <c r="O322" s="4"/>
      <c r="P322" s="14" t="s">
        <v>1119</v>
      </c>
      <c r="Q322" s="17">
        <f>IFERROR(__xludf.DUMMYFUNCTION("SPLIT(P:P, "" "")"),0.533830060728315)</f>
        <v>0.5338300607</v>
      </c>
      <c r="R322" s="4">
        <f>IFERROR(__xludf.DUMMYFUNCTION("""COMPUTED_VALUE"""),0.698970239850029)</f>
        <v>0.6989702399</v>
      </c>
      <c r="S322" s="15">
        <v>252.0</v>
      </c>
      <c r="T322" s="4"/>
      <c r="U322" s="4"/>
    </row>
    <row r="323">
      <c r="A323" s="14" t="s">
        <v>1120</v>
      </c>
      <c r="B323" s="4">
        <f>IFERROR(__xludf.DUMMYFUNCTION("SPLIT(A:A, "" "")"),0.357361788986148)</f>
        <v>0.357361789</v>
      </c>
      <c r="C323" s="4">
        <f>IFERROR(__xludf.DUMMYFUNCTION("""COMPUTED_VALUE"""),0.766056240998823)</f>
        <v>0.766056241</v>
      </c>
      <c r="D323" s="15">
        <v>404.0</v>
      </c>
      <c r="E323" s="4"/>
      <c r="F323" s="14" t="s">
        <v>1121</v>
      </c>
      <c r="G323" s="17">
        <f>IFERROR(__xludf.DUMMYFUNCTION("SPLIT(F:F, "" "")"),0.280411776721838)</f>
        <v>0.2804117767</v>
      </c>
      <c r="H323" s="4">
        <f>IFERROR(__xludf.DUMMYFUNCTION("""COMPUTED_VALUE"""),0.648212515631496)</f>
        <v>0.6482125156</v>
      </c>
      <c r="I323" s="15">
        <v>808.0</v>
      </c>
      <c r="J323" s="4"/>
      <c r="K323" s="14" t="s">
        <v>1122</v>
      </c>
      <c r="L323" s="17">
        <f>IFERROR(__xludf.DUMMYFUNCTION("SPLIT(K:K, "" "")"),0.590876584253578)</f>
        <v>0.5908765843</v>
      </c>
      <c r="M323" s="4">
        <f>IFERROR(__xludf.DUMMYFUNCTION("""COMPUTED_VALUE"""),0.815497329212041)</f>
        <v>0.8154973292</v>
      </c>
      <c r="N323" s="15">
        <v>176.0</v>
      </c>
      <c r="O323" s="4"/>
      <c r="P323" s="14" t="s">
        <v>1123</v>
      </c>
      <c r="Q323" s="17">
        <f>IFERROR(__xludf.DUMMYFUNCTION("SPLIT(P:P, "" "")"),0.52272224001635)</f>
        <v>0.52272224</v>
      </c>
      <c r="R323" s="4">
        <f>IFERROR(__xludf.DUMMYFUNCTION("""COMPUTED_VALUE"""),0.698876148901981)</f>
        <v>0.6988761489</v>
      </c>
      <c r="S323" s="15">
        <v>264.0</v>
      </c>
      <c r="T323" s="4"/>
      <c r="U323" s="4"/>
    </row>
    <row r="324">
      <c r="A324" s="14" t="s">
        <v>1124</v>
      </c>
      <c r="B324" s="4">
        <f>IFERROR(__xludf.DUMMYFUNCTION("SPLIT(A:A, "" "")"),0.349789857369586)</f>
        <v>0.3497898574</v>
      </c>
      <c r="C324" s="4">
        <f>IFERROR(__xludf.DUMMYFUNCTION("""COMPUTED_VALUE"""),0.748500465044614)</f>
        <v>0.748500465</v>
      </c>
      <c r="D324" s="15">
        <v>408.0</v>
      </c>
      <c r="E324" s="4"/>
      <c r="F324" s="14" t="s">
        <v>1125</v>
      </c>
      <c r="G324" s="17">
        <f>IFERROR(__xludf.DUMMYFUNCTION("SPLIT(F:F, "" "")"),0.269818596529768)</f>
        <v>0.2698185965</v>
      </c>
      <c r="H324" s="4">
        <f>IFERROR(__xludf.DUMMYFUNCTION("""COMPUTED_VALUE"""),0.646307510885353)</f>
        <v>0.6463075109</v>
      </c>
      <c r="I324" s="15">
        <v>816.0</v>
      </c>
      <c r="J324" s="4"/>
      <c r="K324" s="14" t="s">
        <v>1126</v>
      </c>
      <c r="L324" s="17">
        <f>IFERROR(__xludf.DUMMYFUNCTION("SPLIT(K:K, "" "")"),0.579809541120119)</f>
        <v>0.5798095411</v>
      </c>
      <c r="M324" s="4">
        <f>IFERROR(__xludf.DUMMYFUNCTION("""COMPUTED_VALUE"""),0.777634463122759)</f>
        <v>0.7776344631</v>
      </c>
      <c r="N324" s="15">
        <v>184.0</v>
      </c>
      <c r="O324" s="4"/>
      <c r="P324" s="14" t="s">
        <v>1127</v>
      </c>
      <c r="Q324" s="17">
        <f>IFERROR(__xludf.DUMMYFUNCTION("SPLIT(P:P, "" "")"),0.524771589252097)</f>
        <v>0.5247715893</v>
      </c>
      <c r="R324" s="4">
        <f>IFERROR(__xludf.DUMMYFUNCTION("""COMPUTED_VALUE"""),0.711084108098922)</f>
        <v>0.7110841081</v>
      </c>
      <c r="S324" s="15">
        <v>276.0</v>
      </c>
      <c r="T324" s="4"/>
      <c r="U324" s="4"/>
    </row>
    <row r="325">
      <c r="A325" s="14" t="s">
        <v>1128</v>
      </c>
      <c r="B325" s="4">
        <f>IFERROR(__xludf.DUMMYFUNCTION("SPLIT(A:A, "" "")"),0.336035664619805)</f>
        <v>0.3360356646</v>
      </c>
      <c r="C325" s="4">
        <f>IFERROR(__xludf.DUMMYFUNCTION("""COMPUTED_VALUE"""),0.749696814899875)</f>
        <v>0.7496968149</v>
      </c>
      <c r="D325" s="15">
        <v>412.0</v>
      </c>
      <c r="E325" s="4"/>
      <c r="F325" s="14" t="s">
        <v>1129</v>
      </c>
      <c r="G325" s="17">
        <f>IFERROR(__xludf.DUMMYFUNCTION("SPLIT(F:F, "" "")"),0.261930901462903)</f>
        <v>0.2619309015</v>
      </c>
      <c r="H325" s="4">
        <f>IFERROR(__xludf.DUMMYFUNCTION("""COMPUTED_VALUE"""),0.622293159612538)</f>
        <v>0.6222931596</v>
      </c>
      <c r="I325" s="15">
        <v>824.0</v>
      </c>
      <c r="J325" s="4"/>
      <c r="K325" s="14" t="s">
        <v>1130</v>
      </c>
      <c r="L325" s="17">
        <f>IFERROR(__xludf.DUMMYFUNCTION("SPLIT(K:K, "" "")"),0.567042869972684)</f>
        <v>0.56704287</v>
      </c>
      <c r="M325" s="4">
        <f>IFERROR(__xludf.DUMMYFUNCTION("""COMPUTED_VALUE"""),0.778381606169616)</f>
        <v>0.7783816062</v>
      </c>
      <c r="N325" s="15">
        <v>192.0</v>
      </c>
      <c r="O325" s="4"/>
      <c r="P325" s="14" t="s">
        <v>1131</v>
      </c>
      <c r="Q325" s="17">
        <f>IFERROR(__xludf.DUMMYFUNCTION("SPLIT(P:P, "" "")"),0.496457470726236)</f>
        <v>0.4964574707</v>
      </c>
      <c r="R325" s="4">
        <f>IFERROR(__xludf.DUMMYFUNCTION("""COMPUTED_VALUE"""),0.671436597713009)</f>
        <v>0.6714365977</v>
      </c>
      <c r="S325" s="15">
        <v>288.0</v>
      </c>
      <c r="T325" s="4"/>
      <c r="U325" s="4"/>
    </row>
    <row r="326">
      <c r="A326" s="14" t="s">
        <v>1132</v>
      </c>
      <c r="B326" s="4">
        <f>IFERROR(__xludf.DUMMYFUNCTION("SPLIT(A:A, "" "")"),0.344065197341342)</f>
        <v>0.3440651973</v>
      </c>
      <c r="C326" s="4">
        <f>IFERROR(__xludf.DUMMYFUNCTION("""COMPUTED_VALUE"""),0.7643981667934)</f>
        <v>0.7643981668</v>
      </c>
      <c r="D326" s="15">
        <v>416.0</v>
      </c>
      <c r="E326" s="4"/>
      <c r="F326" s="14" t="s">
        <v>1133</v>
      </c>
      <c r="G326" s="17">
        <f>IFERROR(__xludf.DUMMYFUNCTION("SPLIT(F:F, "" "")"),0.258138271034884)</f>
        <v>0.258138271</v>
      </c>
      <c r="H326" s="4">
        <f>IFERROR(__xludf.DUMMYFUNCTION("""COMPUTED_VALUE"""),0.634103664114536)</f>
        <v>0.6341036641</v>
      </c>
      <c r="I326" s="15">
        <v>832.0</v>
      </c>
      <c r="J326" s="4"/>
      <c r="K326" s="14" t="s">
        <v>1134</v>
      </c>
      <c r="L326" s="17">
        <f>IFERROR(__xludf.DUMMYFUNCTION("SPLIT(K:K, "" "")"),0.568083222911853)</f>
        <v>0.5680832229</v>
      </c>
      <c r="M326" s="4">
        <f>IFERROR(__xludf.DUMMYFUNCTION("""COMPUTED_VALUE"""),0.78792198189219)</f>
        <v>0.7879219819</v>
      </c>
      <c r="N326" s="15">
        <v>200.0</v>
      </c>
      <c r="O326" s="4"/>
      <c r="P326" s="14" t="s">
        <v>1135</v>
      </c>
      <c r="Q326" s="17">
        <f>IFERROR(__xludf.DUMMYFUNCTION("SPLIT(P:P, "" "")"),0.503614308508356)</f>
        <v>0.5036143085</v>
      </c>
      <c r="R326" s="4">
        <f>IFERROR(__xludf.DUMMYFUNCTION("""COMPUTED_VALUE"""),0.687120105439444)</f>
        <v>0.6871201054</v>
      </c>
      <c r="S326" s="15">
        <v>300.0</v>
      </c>
      <c r="T326" s="4"/>
      <c r="U326" s="4"/>
    </row>
    <row r="327">
      <c r="A327" s="14" t="s">
        <v>1136</v>
      </c>
      <c r="B327" s="4">
        <f>IFERROR(__xludf.DUMMYFUNCTION("SPLIT(A:A, "" "")"),0.333547149967404)</f>
        <v>0.33354715</v>
      </c>
      <c r="C327" s="4">
        <f>IFERROR(__xludf.DUMMYFUNCTION("""COMPUTED_VALUE"""),0.75771303838027)</f>
        <v>0.7577130384</v>
      </c>
      <c r="D327" s="15">
        <v>420.0</v>
      </c>
      <c r="E327" s="4"/>
      <c r="F327" s="14" t="s">
        <v>1137</v>
      </c>
      <c r="G327" s="17">
        <f>IFERROR(__xludf.DUMMYFUNCTION("SPLIT(F:F, "" "")"),0.256032425365937)</f>
        <v>0.2560324254</v>
      </c>
      <c r="H327" s="4">
        <f>IFERROR(__xludf.DUMMYFUNCTION("""COMPUTED_VALUE"""),0.625978744233302)</f>
        <v>0.6259787442</v>
      </c>
      <c r="I327" s="15">
        <v>840.0</v>
      </c>
      <c r="J327" s="4"/>
      <c r="K327" s="14" t="s">
        <v>1138</v>
      </c>
      <c r="L327" s="17">
        <f>IFERROR(__xludf.DUMMYFUNCTION("SPLIT(K:K, "" "")"),0.537849851964762)</f>
        <v>0.537849852</v>
      </c>
      <c r="M327" s="4">
        <f>IFERROR(__xludf.DUMMYFUNCTION("""COMPUTED_VALUE"""),0.759208848110269)</f>
        <v>0.7592088481</v>
      </c>
      <c r="N327" s="15">
        <v>208.0</v>
      </c>
      <c r="O327" s="4"/>
      <c r="P327" s="14" t="s">
        <v>1139</v>
      </c>
      <c r="Q327" s="17">
        <f>IFERROR(__xludf.DUMMYFUNCTION("SPLIT(P:P, "" "")"),0.480643910808489)</f>
        <v>0.4806439108</v>
      </c>
      <c r="R327" s="4">
        <f>IFERROR(__xludf.DUMMYFUNCTION("""COMPUTED_VALUE"""),0.652606572672878)</f>
        <v>0.6526065727</v>
      </c>
      <c r="S327" s="15">
        <v>312.0</v>
      </c>
      <c r="T327" s="4"/>
      <c r="U327" s="4"/>
    </row>
    <row r="328">
      <c r="A328" s="14" t="s">
        <v>1140</v>
      </c>
      <c r="B328" s="4">
        <f>IFERROR(__xludf.DUMMYFUNCTION("SPLIT(A:A, "" "")"),0.34017531004932)</f>
        <v>0.34017531</v>
      </c>
      <c r="C328" s="4">
        <f>IFERROR(__xludf.DUMMYFUNCTION("""COMPUTED_VALUE"""),0.756450181876113)</f>
        <v>0.7564501819</v>
      </c>
      <c r="D328" s="15">
        <v>424.0</v>
      </c>
      <c r="E328" s="4"/>
      <c r="F328" s="14" t="s">
        <v>1141</v>
      </c>
      <c r="G328" s="17">
        <f>IFERROR(__xludf.DUMMYFUNCTION("SPLIT(F:F, "" "")"),0.253119177886796)</f>
        <v>0.2531191779</v>
      </c>
      <c r="H328" s="4">
        <f>IFERROR(__xludf.DUMMYFUNCTION("""COMPUTED_VALUE"""),0.622395678424775)</f>
        <v>0.6223956784</v>
      </c>
      <c r="I328" s="15">
        <v>848.0</v>
      </c>
      <c r="J328" s="4"/>
      <c r="K328" s="14" t="s">
        <v>1142</v>
      </c>
      <c r="L328" s="17">
        <f>IFERROR(__xludf.DUMMYFUNCTION("SPLIT(K:K, "" "")"),0.559517868161134)</f>
        <v>0.5595178682</v>
      </c>
      <c r="M328" s="4">
        <f>IFERROR(__xludf.DUMMYFUNCTION("""COMPUTED_VALUE"""),0.781856476696614)</f>
        <v>0.7818564767</v>
      </c>
      <c r="N328" s="15">
        <v>216.0</v>
      </c>
      <c r="O328" s="4"/>
      <c r="P328" s="14" t="s">
        <v>1143</v>
      </c>
      <c r="Q328" s="17">
        <f>IFERROR(__xludf.DUMMYFUNCTION("SPLIT(P:P, "" "")"),0.47535946565616)</f>
        <v>0.4753594657</v>
      </c>
      <c r="R328" s="4">
        <f>IFERROR(__xludf.DUMMYFUNCTION("""COMPUTED_VALUE"""),0.65582185125093)</f>
        <v>0.6558218513</v>
      </c>
      <c r="S328" s="15">
        <v>324.0</v>
      </c>
      <c r="T328" s="4"/>
      <c r="U328" s="4"/>
    </row>
    <row r="329">
      <c r="A329" s="14" t="s">
        <v>1144</v>
      </c>
      <c r="B329" s="4">
        <f>IFERROR(__xludf.DUMMYFUNCTION("SPLIT(A:A, "" "")"),0.331518255751965)</f>
        <v>0.3315182558</v>
      </c>
      <c r="C329" s="4">
        <f>IFERROR(__xludf.DUMMYFUNCTION("""COMPUTED_VALUE"""),0.733137356650279)</f>
        <v>0.7331373567</v>
      </c>
      <c r="D329" s="15">
        <v>428.0</v>
      </c>
      <c r="E329" s="4"/>
      <c r="F329" s="14" t="s">
        <v>1145</v>
      </c>
      <c r="G329" s="17">
        <f>IFERROR(__xludf.DUMMYFUNCTION("SPLIT(F:F, "" "")"),0.25790214771848)</f>
        <v>0.2579021477</v>
      </c>
      <c r="H329" s="4">
        <f>IFERROR(__xludf.DUMMYFUNCTION("""COMPUTED_VALUE"""),0.636452742420335)</f>
        <v>0.6364527424</v>
      </c>
      <c r="I329" s="15">
        <v>856.0</v>
      </c>
      <c r="J329" s="4"/>
      <c r="K329" s="14" t="s">
        <v>1146</v>
      </c>
      <c r="L329" s="17">
        <f>IFERROR(__xludf.DUMMYFUNCTION("SPLIT(K:K, "" "")"),0.534348913028772)</f>
        <v>0.534348913</v>
      </c>
      <c r="M329" s="4">
        <f>IFERROR(__xludf.DUMMYFUNCTION("""COMPUTED_VALUE"""),0.746071462968516)</f>
        <v>0.746071463</v>
      </c>
      <c r="N329" s="15">
        <v>224.0</v>
      </c>
      <c r="O329" s="4"/>
      <c r="P329" s="14" t="s">
        <v>1147</v>
      </c>
      <c r="Q329" s="17">
        <f>IFERROR(__xludf.DUMMYFUNCTION("SPLIT(P:P, "" "")"),0.457505513141065)</f>
        <v>0.4575055131</v>
      </c>
      <c r="R329" s="4">
        <f>IFERROR(__xludf.DUMMYFUNCTION("""COMPUTED_VALUE"""),0.636353935203218)</f>
        <v>0.6363539352</v>
      </c>
      <c r="S329" s="15">
        <v>336.0</v>
      </c>
      <c r="T329" s="4"/>
      <c r="U329" s="4"/>
    </row>
    <row r="330">
      <c r="A330" s="14" t="s">
        <v>1148</v>
      </c>
      <c r="B330" s="4">
        <f>IFERROR(__xludf.DUMMYFUNCTION("SPLIT(A:A, "" "")"),0.342047257003422)</f>
        <v>0.342047257</v>
      </c>
      <c r="C330" s="4">
        <f>IFERROR(__xludf.DUMMYFUNCTION("""COMPUTED_VALUE"""),0.76053064269314)</f>
        <v>0.7605306427</v>
      </c>
      <c r="D330" s="15">
        <v>432.0</v>
      </c>
      <c r="E330" s="4"/>
      <c r="F330" s="14" t="s">
        <v>1149</v>
      </c>
      <c r="G330" s="17">
        <f>IFERROR(__xludf.DUMMYFUNCTION("SPLIT(F:F, "" "")"),0.253776631881608)</f>
        <v>0.2537766319</v>
      </c>
      <c r="H330" s="4">
        <f>IFERROR(__xludf.DUMMYFUNCTION("""COMPUTED_VALUE"""),0.625313865696765)</f>
        <v>0.6253138657</v>
      </c>
      <c r="I330" s="15">
        <v>864.0</v>
      </c>
      <c r="J330" s="4"/>
      <c r="K330" s="14" t="s">
        <v>1150</v>
      </c>
      <c r="L330" s="17">
        <f>IFERROR(__xludf.DUMMYFUNCTION("SPLIT(K:K, "" "")"),0.515978949530258)</f>
        <v>0.5159789495</v>
      </c>
      <c r="M330" s="4">
        <f>IFERROR(__xludf.DUMMYFUNCTION("""COMPUTED_VALUE"""),0.73493403778296)</f>
        <v>0.7349340378</v>
      </c>
      <c r="N330" s="15">
        <v>232.0</v>
      </c>
      <c r="O330" s="4"/>
      <c r="P330" s="14" t="s">
        <v>1151</v>
      </c>
      <c r="Q330" s="17">
        <f>IFERROR(__xludf.DUMMYFUNCTION("SPLIT(P:P, "" "")"),0.461951272218429)</f>
        <v>0.4619512722</v>
      </c>
      <c r="R330" s="4">
        <f>IFERROR(__xludf.DUMMYFUNCTION("""COMPUTED_VALUE"""),0.651200765715019)</f>
        <v>0.6512007657</v>
      </c>
      <c r="S330" s="15">
        <v>348.0</v>
      </c>
      <c r="T330" s="4"/>
      <c r="U330" s="4"/>
    </row>
    <row r="331">
      <c r="A331" s="14" t="s">
        <v>1152</v>
      </c>
      <c r="B331" s="4">
        <f>IFERROR(__xludf.DUMMYFUNCTION("SPLIT(A:A, "" "")"),0.323513258891898)</f>
        <v>0.3235132589</v>
      </c>
      <c r="C331" s="4">
        <f>IFERROR(__xludf.DUMMYFUNCTION("""COMPUTED_VALUE"""),0.745793921634378)</f>
        <v>0.7457939216</v>
      </c>
      <c r="D331" s="15">
        <v>436.0</v>
      </c>
      <c r="E331" s="4"/>
      <c r="F331" s="14" t="s">
        <v>1153</v>
      </c>
      <c r="G331" s="17">
        <f>IFERROR(__xludf.DUMMYFUNCTION("SPLIT(F:F, "" "")"),0.255746460351857)</f>
        <v>0.2557464604</v>
      </c>
      <c r="H331" s="4">
        <f>IFERROR(__xludf.DUMMYFUNCTION("""COMPUTED_VALUE"""),0.634653371277777)</f>
        <v>0.6346533713</v>
      </c>
      <c r="I331" s="15">
        <v>872.0</v>
      </c>
      <c r="J331" s="4"/>
      <c r="K331" s="14" t="s">
        <v>1154</v>
      </c>
      <c r="L331" s="17">
        <f>IFERROR(__xludf.DUMMYFUNCTION("SPLIT(K:K, "" "")"),0.508890554115256)</f>
        <v>0.5088905541</v>
      </c>
      <c r="M331" s="4">
        <f>IFERROR(__xludf.DUMMYFUNCTION("""COMPUTED_VALUE"""),0.739317097798012)</f>
        <v>0.7393170978</v>
      </c>
      <c r="N331" s="15">
        <v>240.0</v>
      </c>
      <c r="O331" s="4"/>
      <c r="P331" s="14" t="s">
        <v>1155</v>
      </c>
      <c r="Q331" s="17">
        <f>IFERROR(__xludf.DUMMYFUNCTION("SPLIT(P:P, "" "")"),0.446817261032289)</f>
        <v>0.446817261</v>
      </c>
      <c r="R331" s="4">
        <f>IFERROR(__xludf.DUMMYFUNCTION("""COMPUTED_VALUE"""),0.627736556203133)</f>
        <v>0.6277365562</v>
      </c>
      <c r="S331" s="15">
        <v>360.0</v>
      </c>
      <c r="T331" s="4"/>
      <c r="U331" s="4"/>
    </row>
    <row r="332">
      <c r="A332" s="14" t="s">
        <v>1156</v>
      </c>
      <c r="B332" s="4">
        <f>IFERROR(__xludf.DUMMYFUNCTION("SPLIT(A:A, "" "")"),0.319263442854788)</f>
        <v>0.3192634429</v>
      </c>
      <c r="C332" s="4">
        <f>IFERROR(__xludf.DUMMYFUNCTION("""COMPUTED_VALUE"""),0.722865885182969)</f>
        <v>0.7228658852</v>
      </c>
      <c r="D332" s="15">
        <v>440.0</v>
      </c>
      <c r="E332" s="4"/>
      <c r="F332" s="14" t="s">
        <v>1157</v>
      </c>
      <c r="G332" s="17">
        <f>IFERROR(__xludf.DUMMYFUNCTION("SPLIT(F:F, "" "")"),0.251636860371341)</f>
        <v>0.2516368604</v>
      </c>
      <c r="H332" s="4">
        <f>IFERROR(__xludf.DUMMYFUNCTION("""COMPUTED_VALUE"""),0.632006941226903)</f>
        <v>0.6320069412</v>
      </c>
      <c r="I332" s="15">
        <v>880.0</v>
      </c>
      <c r="J332" s="4"/>
      <c r="K332" s="14" t="s">
        <v>1158</v>
      </c>
      <c r="L332" s="17">
        <f>IFERROR(__xludf.DUMMYFUNCTION("SPLIT(K:K, "" "")"),0.512838725730162)</f>
        <v>0.5128387257</v>
      </c>
      <c r="M332" s="4">
        <f>IFERROR(__xludf.DUMMYFUNCTION("""COMPUTED_VALUE"""),0.751326546835893)</f>
        <v>0.7513265468</v>
      </c>
      <c r="N332" s="15">
        <v>248.0</v>
      </c>
      <c r="O332" s="4"/>
      <c r="P332" s="14" t="s">
        <v>1159</v>
      </c>
      <c r="Q332" s="17">
        <f>IFERROR(__xludf.DUMMYFUNCTION("SPLIT(P:P, "" "")"),0.456809964275419)</f>
        <v>0.4568099643</v>
      </c>
      <c r="R332" s="4">
        <f>IFERROR(__xludf.DUMMYFUNCTION("""COMPUTED_VALUE"""),0.647138814105888)</f>
        <v>0.6471388141</v>
      </c>
      <c r="S332" s="15">
        <v>372.0</v>
      </c>
      <c r="T332" s="4"/>
      <c r="U332" s="4"/>
    </row>
    <row r="333">
      <c r="A333" s="14" t="s">
        <v>1160</v>
      </c>
      <c r="B333" s="4">
        <f>IFERROR(__xludf.DUMMYFUNCTION("SPLIT(A:A, "" "")"),0.32138829654361)</f>
        <v>0.3213882965</v>
      </c>
      <c r="C333" s="4">
        <f>IFERROR(__xludf.DUMMYFUNCTION("""COMPUTED_VALUE"""),0.740855412552765)</f>
        <v>0.7408554126</v>
      </c>
      <c r="D333" s="15">
        <v>444.0</v>
      </c>
      <c r="E333" s="4"/>
      <c r="F333" s="14" t="s">
        <v>1161</v>
      </c>
      <c r="G333" s="17">
        <f>IFERROR(__xludf.DUMMYFUNCTION("SPLIT(F:F, "" "")"),0.25563463331016)</f>
        <v>0.2556346333</v>
      </c>
      <c r="H333" s="4">
        <f>IFERROR(__xludf.DUMMYFUNCTION("""COMPUTED_VALUE"""),0.636659786904574)</f>
        <v>0.6366597869</v>
      </c>
      <c r="I333" s="15">
        <v>888.0</v>
      </c>
      <c r="J333" s="4"/>
      <c r="K333" s="14" t="s">
        <v>1162</v>
      </c>
      <c r="L333" s="17">
        <f>IFERROR(__xludf.DUMMYFUNCTION("SPLIT(K:K, "" "")"),0.494605113696449)</f>
        <v>0.4946051137</v>
      </c>
      <c r="M333" s="4">
        <f>IFERROR(__xludf.DUMMYFUNCTION("""COMPUTED_VALUE"""),0.725086820264208)</f>
        <v>0.7250868203</v>
      </c>
      <c r="N333" s="15">
        <v>256.0</v>
      </c>
      <c r="O333" s="4"/>
      <c r="P333" s="14" t="s">
        <v>1163</v>
      </c>
      <c r="Q333" s="17">
        <f>IFERROR(__xludf.DUMMYFUNCTION("SPLIT(P:P, "" "")"),0.446541920587124)</f>
        <v>0.4465419206</v>
      </c>
      <c r="R333" s="4">
        <f>IFERROR(__xludf.DUMMYFUNCTION("""COMPUTED_VALUE"""),0.640060559924324)</f>
        <v>0.6400605599</v>
      </c>
      <c r="S333" s="15">
        <v>384.0</v>
      </c>
      <c r="T333" s="4"/>
      <c r="U333" s="4"/>
    </row>
    <row r="334">
      <c r="A334" s="14" t="s">
        <v>1164</v>
      </c>
      <c r="B334" s="4">
        <f>IFERROR(__xludf.DUMMYFUNCTION("SPLIT(A:A, "" "")"),0.325913819933005)</f>
        <v>0.3259138199</v>
      </c>
      <c r="C334" s="4">
        <f>IFERROR(__xludf.DUMMYFUNCTION("""COMPUTED_VALUE"""),0.73109939467396)</f>
        <v>0.7310993947</v>
      </c>
      <c r="D334" s="15">
        <v>448.0</v>
      </c>
      <c r="E334" s="4"/>
      <c r="F334" s="14" t="s">
        <v>1165</v>
      </c>
      <c r="G334" s="17">
        <f>IFERROR(__xludf.DUMMYFUNCTION("SPLIT(F:F, "" "")"),0.247770242084316)</f>
        <v>0.2477702421</v>
      </c>
      <c r="H334" s="4">
        <f>IFERROR(__xludf.DUMMYFUNCTION("""COMPUTED_VALUE"""),0.62463095765912)</f>
        <v>0.6246309577</v>
      </c>
      <c r="I334" s="15">
        <v>896.0</v>
      </c>
      <c r="J334" s="4"/>
      <c r="K334" s="14" t="s">
        <v>1166</v>
      </c>
      <c r="L334" s="17">
        <f>IFERROR(__xludf.DUMMYFUNCTION("SPLIT(K:K, "" "")"),0.498048411567343)</f>
        <v>0.4980484116</v>
      </c>
      <c r="M334" s="4">
        <f>IFERROR(__xludf.DUMMYFUNCTION("""COMPUTED_VALUE"""),0.730295665015976)</f>
        <v>0.730295665</v>
      </c>
      <c r="N334" s="15">
        <v>264.0</v>
      </c>
      <c r="O334" s="4"/>
      <c r="P334" s="14" t="s">
        <v>1167</v>
      </c>
      <c r="Q334" s="17">
        <f>IFERROR(__xludf.DUMMYFUNCTION("SPLIT(P:P, "" "")"),0.441808246336408)</f>
        <v>0.4418082463</v>
      </c>
      <c r="R334" s="4">
        <f>IFERROR(__xludf.DUMMYFUNCTION("""COMPUTED_VALUE"""),0.636461991814126)</f>
        <v>0.6364619918</v>
      </c>
      <c r="S334" s="15">
        <v>396.0</v>
      </c>
      <c r="T334" s="4"/>
      <c r="U334" s="4"/>
    </row>
    <row r="335">
      <c r="A335" s="14" t="s">
        <v>1168</v>
      </c>
      <c r="B335" s="4">
        <f>IFERROR(__xludf.DUMMYFUNCTION("SPLIT(A:A, "" "")"),0.323698068070359)</f>
        <v>0.3236980681</v>
      </c>
      <c r="C335" s="4">
        <f>IFERROR(__xludf.DUMMYFUNCTION("""COMPUTED_VALUE"""),0.744247086636287)</f>
        <v>0.7442470866</v>
      </c>
      <c r="D335" s="15">
        <v>452.0</v>
      </c>
      <c r="E335" s="4"/>
      <c r="F335" s="14" t="s">
        <v>1169</v>
      </c>
      <c r="G335" s="17">
        <f>IFERROR(__xludf.DUMMYFUNCTION("SPLIT(F:F, "" "")"),0.240916874096039)</f>
        <v>0.2409168741</v>
      </c>
      <c r="H335" s="4">
        <f>IFERROR(__xludf.DUMMYFUNCTION("""COMPUTED_VALUE"""),0.62037067293164)</f>
        <v>0.6203706729</v>
      </c>
      <c r="I335" s="15">
        <v>904.0</v>
      </c>
      <c r="J335" s="4"/>
      <c r="K335" s="14" t="s">
        <v>1170</v>
      </c>
      <c r="L335" s="17">
        <f>IFERROR(__xludf.DUMMYFUNCTION("SPLIT(K:K, "" "")"),0.48439298370932)</f>
        <v>0.4843929837</v>
      </c>
      <c r="M335" s="4">
        <f>IFERROR(__xludf.DUMMYFUNCTION("""COMPUTED_VALUE"""),0.717221115829147)</f>
        <v>0.7172211158</v>
      </c>
      <c r="N335" s="15">
        <v>272.0</v>
      </c>
      <c r="O335" s="4"/>
      <c r="P335" s="14" t="s">
        <v>1171</v>
      </c>
      <c r="Q335" s="17">
        <f>IFERROR(__xludf.DUMMYFUNCTION("SPLIT(P:P, "" "")"),0.433093377435927)</f>
        <v>0.4330933774</v>
      </c>
      <c r="R335" s="4">
        <f>IFERROR(__xludf.DUMMYFUNCTION("""COMPUTED_VALUE"""),0.636497568367317)</f>
        <v>0.6364975684</v>
      </c>
      <c r="S335" s="15">
        <v>408.0</v>
      </c>
      <c r="T335" s="4"/>
      <c r="U335" s="4"/>
    </row>
    <row r="336">
      <c r="A336" s="14" t="s">
        <v>1172</v>
      </c>
      <c r="B336" s="4">
        <f>IFERROR(__xludf.DUMMYFUNCTION("SPLIT(A:A, "" "")"),0.314888793965062)</f>
        <v>0.314888794</v>
      </c>
      <c r="C336" s="4">
        <f>IFERROR(__xludf.DUMMYFUNCTION("""COMPUTED_VALUE"""),0.734212737818568)</f>
        <v>0.7342127378</v>
      </c>
      <c r="D336" s="15">
        <v>456.0</v>
      </c>
      <c r="E336" s="4"/>
      <c r="F336" s="14" t="s">
        <v>1173</v>
      </c>
      <c r="G336" s="17">
        <f>IFERROR(__xludf.DUMMYFUNCTION("SPLIT(F:F, "" "")"),0.247819806673014)</f>
        <v>0.2478198067</v>
      </c>
      <c r="H336" s="4">
        <f>IFERROR(__xludf.DUMMYFUNCTION("""COMPUTED_VALUE"""),0.628269796835697)</f>
        <v>0.6282697968</v>
      </c>
      <c r="I336" s="15">
        <v>912.0</v>
      </c>
      <c r="J336" s="4"/>
      <c r="K336" s="14" t="s">
        <v>1174</v>
      </c>
      <c r="L336" s="17">
        <f>IFERROR(__xludf.DUMMYFUNCTION("SPLIT(K:K, "" "")"),0.480793872387671)</f>
        <v>0.4807938724</v>
      </c>
      <c r="M336" s="4">
        <f>IFERROR(__xludf.DUMMYFUNCTION("""COMPUTED_VALUE"""),0.7101654639513)</f>
        <v>0.710165464</v>
      </c>
      <c r="N336" s="15">
        <v>280.0</v>
      </c>
      <c r="O336" s="4"/>
      <c r="P336" s="14" t="s">
        <v>1175</v>
      </c>
      <c r="Q336" s="17">
        <f>IFERROR(__xludf.DUMMYFUNCTION("SPLIT(P:P, "" "")"),0.429678813968649)</f>
        <v>0.429678814</v>
      </c>
      <c r="R336" s="4">
        <f>IFERROR(__xludf.DUMMYFUNCTION("""COMPUTED_VALUE"""),0.62223197422812)</f>
        <v>0.6222319742</v>
      </c>
      <c r="S336" s="15">
        <v>420.0</v>
      </c>
      <c r="T336" s="4"/>
      <c r="U336" s="4"/>
    </row>
    <row r="337">
      <c r="A337" s="14" t="s">
        <v>1176</v>
      </c>
      <c r="B337" s="4">
        <f>IFERROR(__xludf.DUMMYFUNCTION("SPLIT(A:A, "" "")"),0.312683746927748)</f>
        <v>0.3126837469</v>
      </c>
      <c r="C337" s="4">
        <f>IFERROR(__xludf.DUMMYFUNCTION("""COMPUTED_VALUE"""),0.72983576445408)</f>
        <v>0.7298357645</v>
      </c>
      <c r="D337" s="15">
        <v>460.0</v>
      </c>
      <c r="E337" s="4"/>
      <c r="F337" s="14" t="s">
        <v>1177</v>
      </c>
      <c r="G337" s="17">
        <f>IFERROR(__xludf.DUMMYFUNCTION("SPLIT(F:F, "" "")"),0.246201254287668)</f>
        <v>0.2462012543</v>
      </c>
      <c r="H337" s="4">
        <f>IFERROR(__xludf.DUMMYFUNCTION("""COMPUTED_VALUE"""),0.628344151289926)</f>
        <v>0.6283441513</v>
      </c>
      <c r="I337" s="15">
        <v>920.0</v>
      </c>
      <c r="J337" s="4"/>
      <c r="K337" s="14" t="s">
        <v>1178</v>
      </c>
      <c r="L337" s="17">
        <f>IFERROR(__xludf.DUMMYFUNCTION("SPLIT(K:K, "" "")"),0.475357522404455)</f>
        <v>0.4753575224</v>
      </c>
      <c r="M337" s="4">
        <f>IFERROR(__xludf.DUMMYFUNCTION("""COMPUTED_VALUE"""),0.712486809936768)</f>
        <v>0.7124868099</v>
      </c>
      <c r="N337" s="15">
        <v>288.0</v>
      </c>
      <c r="O337" s="4"/>
      <c r="P337" s="14" t="s">
        <v>1179</v>
      </c>
      <c r="Q337" s="17">
        <f>IFERROR(__xludf.DUMMYFUNCTION("SPLIT(P:P, "" "")"),0.420697659489772)</f>
        <v>0.4206976595</v>
      </c>
      <c r="R337" s="4">
        <f>IFERROR(__xludf.DUMMYFUNCTION("""COMPUTED_VALUE"""),0.611646592595564)</f>
        <v>0.6116465926</v>
      </c>
      <c r="S337" s="15">
        <v>432.0</v>
      </c>
      <c r="T337" s="4"/>
      <c r="U337" s="4"/>
    </row>
    <row r="338">
      <c r="A338" s="14" t="s">
        <v>1180</v>
      </c>
      <c r="B338" s="4">
        <f>IFERROR(__xludf.DUMMYFUNCTION("SPLIT(A:A, "" "")"),0.321721826891465)</f>
        <v>0.3217218269</v>
      </c>
      <c r="C338" s="4">
        <f>IFERROR(__xludf.DUMMYFUNCTION("""COMPUTED_VALUE"""),0.747212752448578)</f>
        <v>0.7472127524</v>
      </c>
      <c r="D338" s="15">
        <v>464.0</v>
      </c>
      <c r="E338" s="4"/>
      <c r="F338" s="14" t="s">
        <v>1181</v>
      </c>
      <c r="G338" s="17">
        <f>IFERROR(__xludf.DUMMYFUNCTION("SPLIT(F:F, "" "")"),0.238762808894858)</f>
        <v>0.2387628089</v>
      </c>
      <c r="H338" s="4">
        <f>IFERROR(__xludf.DUMMYFUNCTION("""COMPUTED_VALUE"""),0.622855311082703)</f>
        <v>0.6228553111</v>
      </c>
      <c r="I338" s="15">
        <v>928.0</v>
      </c>
      <c r="J338" s="4"/>
      <c r="K338" s="14" t="s">
        <v>1182</v>
      </c>
      <c r="L338" s="17">
        <f>IFERROR(__xludf.DUMMYFUNCTION("SPLIT(K:K, "" "")"),0.469778138609472)</f>
        <v>0.4697781386</v>
      </c>
      <c r="M338" s="4">
        <f>IFERROR(__xludf.DUMMYFUNCTION("""COMPUTED_VALUE"""),0.699548458366859)</f>
        <v>0.6995484584</v>
      </c>
      <c r="N338" s="15">
        <v>296.0</v>
      </c>
      <c r="O338" s="4"/>
      <c r="P338" s="14" t="s">
        <v>1183</v>
      </c>
      <c r="Q338" s="17">
        <f>IFERROR(__xludf.DUMMYFUNCTION("SPLIT(P:P, "" "")"),0.444411298339917)</f>
        <v>0.4444112983</v>
      </c>
      <c r="R338" s="4">
        <f>IFERROR(__xludf.DUMMYFUNCTION("""COMPUTED_VALUE"""),0.63322344614233)</f>
        <v>0.6332234461</v>
      </c>
      <c r="S338" s="15">
        <v>444.0</v>
      </c>
      <c r="T338" s="4"/>
      <c r="U338" s="4"/>
    </row>
    <row r="339">
      <c r="A339" s="14" t="s">
        <v>1184</v>
      </c>
      <c r="B339" s="4">
        <f>IFERROR(__xludf.DUMMYFUNCTION("SPLIT(A:A, "" "")"),0.307357935695878)</f>
        <v>0.3073579357</v>
      </c>
      <c r="C339" s="4">
        <f>IFERROR(__xludf.DUMMYFUNCTION("""COMPUTED_VALUE"""),0.72669653776774)</f>
        <v>0.7266965378</v>
      </c>
      <c r="D339" s="15">
        <v>468.0</v>
      </c>
      <c r="E339" s="4"/>
      <c r="F339" s="14" t="s">
        <v>1185</v>
      </c>
      <c r="G339" s="17">
        <f>IFERROR(__xludf.DUMMYFUNCTION("SPLIT(F:F, "" "")"),0.238327390696007)</f>
        <v>0.2383273907</v>
      </c>
      <c r="H339" s="4">
        <f>IFERROR(__xludf.DUMMYFUNCTION("""COMPUTED_VALUE"""),0.619511807424348)</f>
        <v>0.6195118074</v>
      </c>
      <c r="I339" s="15">
        <v>936.0</v>
      </c>
      <c r="J339" s="4"/>
      <c r="K339" s="14" t="s">
        <v>1186</v>
      </c>
      <c r="L339" s="17">
        <f>IFERROR(__xludf.DUMMYFUNCTION("SPLIT(K:K, "" "")"),0.501214830643343)</f>
        <v>0.5012148306</v>
      </c>
      <c r="M339" s="4">
        <f>IFERROR(__xludf.DUMMYFUNCTION("""COMPUTED_VALUE"""),0.743750859889711)</f>
        <v>0.7437508599</v>
      </c>
      <c r="N339" s="15">
        <v>304.0</v>
      </c>
      <c r="O339" s="4"/>
      <c r="P339" s="14" t="s">
        <v>1187</v>
      </c>
      <c r="Q339" s="17">
        <f>IFERROR(__xludf.DUMMYFUNCTION("SPLIT(P:P, "" "")"),0.427139533309214)</f>
        <v>0.4271395333</v>
      </c>
      <c r="R339" s="4">
        <f>IFERROR(__xludf.DUMMYFUNCTION("""COMPUTED_VALUE"""),0.626211444094266)</f>
        <v>0.6262114441</v>
      </c>
      <c r="S339" s="15">
        <v>456.0</v>
      </c>
      <c r="T339" s="4"/>
      <c r="U339" s="4"/>
    </row>
    <row r="340">
      <c r="A340" s="14" t="s">
        <v>1188</v>
      </c>
      <c r="B340" s="4">
        <f>IFERROR(__xludf.DUMMYFUNCTION("SPLIT(A:A, "" "")"),0.313758863074158)</f>
        <v>0.3137588631</v>
      </c>
      <c r="C340" s="4">
        <f>IFERROR(__xludf.DUMMYFUNCTION("""COMPUTED_VALUE"""),0.72199476306155)</f>
        <v>0.7219947631</v>
      </c>
      <c r="D340" s="15">
        <v>472.0</v>
      </c>
      <c r="E340" s="4"/>
      <c r="F340" s="14" t="s">
        <v>1189</v>
      </c>
      <c r="G340" s="17">
        <f>IFERROR(__xludf.DUMMYFUNCTION("SPLIT(F:F, "" "")"),0.241244810786593)</f>
        <v>0.2412448108</v>
      </c>
      <c r="H340" s="4">
        <f>IFERROR(__xludf.DUMMYFUNCTION("""COMPUTED_VALUE"""),0.627128655837096)</f>
        <v>0.6271286558</v>
      </c>
      <c r="I340" s="15">
        <v>944.0</v>
      </c>
      <c r="J340" s="4"/>
      <c r="K340" s="14" t="s">
        <v>1190</v>
      </c>
      <c r="L340" s="17">
        <f>IFERROR(__xludf.DUMMYFUNCTION("SPLIT(K:K, "" "")"),0.456346414850759)</f>
        <v>0.4563464149</v>
      </c>
      <c r="M340" s="4">
        <f>IFERROR(__xludf.DUMMYFUNCTION("""COMPUTED_VALUE"""),0.69128968453993)</f>
        <v>0.6912896845</v>
      </c>
      <c r="N340" s="15">
        <v>312.0</v>
      </c>
      <c r="O340" s="4"/>
      <c r="P340" s="14" t="s">
        <v>1191</v>
      </c>
      <c r="Q340" s="17">
        <f>IFERROR(__xludf.DUMMYFUNCTION("SPLIT(P:P, "" "")"),0.411429210347466)</f>
        <v>0.4114292103</v>
      </c>
      <c r="R340" s="4">
        <f>IFERROR(__xludf.DUMMYFUNCTION("""COMPUTED_VALUE"""),0.607682009305963)</f>
        <v>0.6076820093</v>
      </c>
      <c r="S340" s="15">
        <v>468.0</v>
      </c>
      <c r="T340" s="4"/>
      <c r="U340" s="4"/>
    </row>
    <row r="341">
      <c r="A341" s="14" t="s">
        <v>1192</v>
      </c>
      <c r="B341" s="4">
        <f>IFERROR(__xludf.DUMMYFUNCTION("SPLIT(A:A, "" "")"),0.308574354416859)</f>
        <v>0.3085743544</v>
      </c>
      <c r="C341" s="4">
        <f>IFERROR(__xludf.DUMMYFUNCTION("""COMPUTED_VALUE"""),0.715857872300761)</f>
        <v>0.7158578723</v>
      </c>
      <c r="D341" s="15">
        <v>476.0</v>
      </c>
      <c r="E341" s="4"/>
      <c r="F341" s="14" t="s">
        <v>1193</v>
      </c>
      <c r="G341" s="17">
        <f>IFERROR(__xludf.DUMMYFUNCTION("SPLIT(F:F, "" "")"),0.248071022496934)</f>
        <v>0.2480710225</v>
      </c>
      <c r="H341" s="4">
        <f>IFERROR(__xludf.DUMMYFUNCTION("""COMPUTED_VALUE"""),0.640016218113708)</f>
        <v>0.6400162181</v>
      </c>
      <c r="I341" s="15">
        <v>952.0</v>
      </c>
      <c r="J341" s="4"/>
      <c r="K341" s="14" t="s">
        <v>1194</v>
      </c>
      <c r="L341" s="17">
        <f>IFERROR(__xludf.DUMMYFUNCTION("SPLIT(K:K, "" "")"),0.448326243133698)</f>
        <v>0.4483262431</v>
      </c>
      <c r="M341" s="4">
        <f>IFERROR(__xludf.DUMMYFUNCTION("""COMPUTED_VALUE"""),0.708315510157385)</f>
        <v>0.7083155102</v>
      </c>
      <c r="N341" s="15">
        <v>320.0</v>
      </c>
      <c r="O341" s="4"/>
      <c r="P341" s="14" t="s">
        <v>1195</v>
      </c>
      <c r="Q341" s="17">
        <f>IFERROR(__xludf.DUMMYFUNCTION("SPLIT(P:P, "" "")"),0.408532388415596)</f>
        <v>0.4085323884</v>
      </c>
      <c r="R341" s="4">
        <f>IFERROR(__xludf.DUMMYFUNCTION("""COMPUTED_VALUE"""),0.615021057804367)</f>
        <v>0.6150210578</v>
      </c>
      <c r="S341" s="15">
        <v>480.0</v>
      </c>
      <c r="T341" s="4"/>
      <c r="U341" s="4"/>
    </row>
    <row r="342">
      <c r="A342" s="14" t="s">
        <v>1196</v>
      </c>
      <c r="B342" s="4">
        <f>IFERROR(__xludf.DUMMYFUNCTION("SPLIT(A:A, "" "")"),0.307401701294721)</f>
        <v>0.3074017013</v>
      </c>
      <c r="C342" s="4">
        <f>IFERROR(__xludf.DUMMYFUNCTION("""COMPUTED_VALUE"""),0.718542326618196)</f>
        <v>0.7185423266</v>
      </c>
      <c r="D342" s="15">
        <v>480.0</v>
      </c>
      <c r="E342" s="4"/>
      <c r="F342" s="14" t="s">
        <v>1197</v>
      </c>
      <c r="G342" s="17">
        <f>IFERROR(__xludf.DUMMYFUNCTION("SPLIT(F:F, "" "")"),0.238124058439403)</f>
        <v>0.2381240584</v>
      </c>
      <c r="H342" s="4">
        <f>IFERROR(__xludf.DUMMYFUNCTION("""COMPUTED_VALUE"""),0.615538479572388)</f>
        <v>0.6155384796</v>
      </c>
      <c r="I342" s="15">
        <v>960.0</v>
      </c>
      <c r="J342" s="4"/>
      <c r="K342" s="14" t="s">
        <v>1198</v>
      </c>
      <c r="L342" s="17">
        <f>IFERROR(__xludf.DUMMYFUNCTION("SPLIT(K:K, "" "")"),0.466983367436431)</f>
        <v>0.4669833674</v>
      </c>
      <c r="M342" s="4">
        <f>IFERROR(__xludf.DUMMYFUNCTION("""COMPUTED_VALUE"""),0.718810395652989)</f>
        <v>0.7188103957</v>
      </c>
      <c r="N342" s="15">
        <v>328.0</v>
      </c>
      <c r="O342" s="4"/>
      <c r="P342" s="14" t="s">
        <v>1199</v>
      </c>
      <c r="Q342" s="17">
        <f>IFERROR(__xludf.DUMMYFUNCTION("SPLIT(P:P, "" "")"),0.404282324318436)</f>
        <v>0.4042823243</v>
      </c>
      <c r="R342" s="4">
        <f>IFERROR(__xludf.DUMMYFUNCTION("""COMPUTED_VALUE"""),0.60254691455053)</f>
        <v>0.6025469146</v>
      </c>
      <c r="S342" s="15">
        <v>492.0</v>
      </c>
      <c r="T342" s="4"/>
      <c r="U342" s="4"/>
    </row>
    <row r="343">
      <c r="A343" s="14" t="s">
        <v>1200</v>
      </c>
      <c r="B343" s="4">
        <f>IFERROR(__xludf.DUMMYFUNCTION("SPLIT(A:A, "" "")"),0.319388350084142)</f>
        <v>0.3193883501</v>
      </c>
      <c r="C343" s="4">
        <f>IFERROR(__xludf.DUMMYFUNCTION("""COMPUTED_VALUE"""),0.753078789005566)</f>
        <v>0.753078789</v>
      </c>
      <c r="D343" s="15">
        <v>484.0</v>
      </c>
      <c r="E343" s="4"/>
      <c r="F343" s="14" t="s">
        <v>1201</v>
      </c>
      <c r="G343" s="17">
        <f>IFERROR(__xludf.DUMMYFUNCTION("SPLIT(F:F, "" "")"),0.238561279803122)</f>
        <v>0.2385612798</v>
      </c>
      <c r="H343" s="4">
        <f>IFERROR(__xludf.DUMMYFUNCTION("""COMPUTED_VALUE"""),0.632826741338444)</f>
        <v>0.6328267413</v>
      </c>
      <c r="I343" s="15">
        <v>968.0</v>
      </c>
      <c r="J343" s="4"/>
      <c r="K343" s="14" t="s">
        <v>1202</v>
      </c>
      <c r="L343" s="17">
        <f>IFERROR(__xludf.DUMMYFUNCTION("SPLIT(K:K, "" "")"),0.442326422681606)</f>
        <v>0.4423264227</v>
      </c>
      <c r="M343" s="4">
        <f>IFERROR(__xludf.DUMMYFUNCTION("""COMPUTED_VALUE"""),0.689532186762527)</f>
        <v>0.6895321868</v>
      </c>
      <c r="N343" s="15">
        <v>336.0</v>
      </c>
      <c r="O343" s="4"/>
      <c r="P343" s="14" t="s">
        <v>1203</v>
      </c>
      <c r="Q343" s="17">
        <f>IFERROR(__xludf.DUMMYFUNCTION("SPLIT(P:P, "" "")"),0.396263062669696)</f>
        <v>0.3962630627</v>
      </c>
      <c r="R343" s="4">
        <f>IFERROR(__xludf.DUMMYFUNCTION("""COMPUTED_VALUE"""),0.605555158318598)</f>
        <v>0.6055551583</v>
      </c>
      <c r="S343" s="15">
        <v>504.0</v>
      </c>
      <c r="T343" s="4"/>
      <c r="U343" s="4"/>
    </row>
    <row r="344">
      <c r="A344" s="14" t="s">
        <v>1204</v>
      </c>
      <c r="B344" s="4">
        <f>IFERROR(__xludf.DUMMYFUNCTION("SPLIT(A:A, "" "")"),0.305895660290833)</f>
        <v>0.3058956603</v>
      </c>
      <c r="C344" s="4">
        <f>IFERROR(__xludf.DUMMYFUNCTION("""COMPUTED_VALUE"""),0.745245104949045)</f>
        <v>0.7452451049</v>
      </c>
      <c r="D344" s="15">
        <v>488.0</v>
      </c>
      <c r="E344" s="4"/>
      <c r="F344" s="14" t="s">
        <v>1205</v>
      </c>
      <c r="G344" s="17">
        <f>IFERROR(__xludf.DUMMYFUNCTION("SPLIT(F:F, "" "")"),0.229696914829975)</f>
        <v>0.2296969148</v>
      </c>
      <c r="H344" s="4">
        <f>IFERROR(__xludf.DUMMYFUNCTION("""COMPUTED_VALUE"""),0.617495083067273)</f>
        <v>0.6174950831</v>
      </c>
      <c r="I344" s="15">
        <v>976.0</v>
      </c>
      <c r="J344" s="4"/>
      <c r="K344" s="14" t="s">
        <v>1206</v>
      </c>
      <c r="L344" s="17">
        <f>IFERROR(__xludf.DUMMYFUNCTION("SPLIT(K:K, "" "")"),0.447060676871065)</f>
        <v>0.4470606769</v>
      </c>
      <c r="M344" s="4">
        <f>IFERROR(__xludf.DUMMYFUNCTION("""COMPUTED_VALUE"""),0.693625070954421)</f>
        <v>0.693625071</v>
      </c>
      <c r="N344" s="15">
        <v>344.0</v>
      </c>
      <c r="O344" s="4"/>
      <c r="P344" s="14" t="s">
        <v>1207</v>
      </c>
      <c r="Q344" s="17">
        <f>IFERROR(__xludf.DUMMYFUNCTION("SPLIT(P:P, "" "")"),0.386371718161354)</f>
        <v>0.3863717182</v>
      </c>
      <c r="R344" s="4">
        <f>IFERROR(__xludf.DUMMYFUNCTION("""COMPUTED_VALUE"""),0.595683741899653)</f>
        <v>0.5956837419</v>
      </c>
      <c r="S344" s="15">
        <v>516.0</v>
      </c>
      <c r="T344" s="4"/>
      <c r="U344" s="4"/>
    </row>
    <row r="345">
      <c r="A345" s="14" t="s">
        <v>1208</v>
      </c>
      <c r="B345" s="4">
        <f>IFERROR(__xludf.DUMMYFUNCTION("SPLIT(A:A, "" "")"),0.300066624113838)</f>
        <v>0.3000666241</v>
      </c>
      <c r="C345" s="4">
        <f>IFERROR(__xludf.DUMMYFUNCTION("""COMPUTED_VALUE"""),0.731128561409738)</f>
        <v>0.7311285614</v>
      </c>
      <c r="D345" s="15">
        <v>492.0</v>
      </c>
      <c r="E345" s="4"/>
      <c r="F345" s="14" t="s">
        <v>1209</v>
      </c>
      <c r="G345" s="17">
        <f>IFERROR(__xludf.DUMMYFUNCTION("SPLIT(F:F, "" "")"),0.242932818264698)</f>
        <v>0.2429328183</v>
      </c>
      <c r="H345" s="4">
        <f>IFERROR(__xludf.DUMMYFUNCTION("""COMPUTED_VALUE"""),0.618928652852173)</f>
        <v>0.6189286529</v>
      </c>
      <c r="I345" s="15">
        <v>984.0</v>
      </c>
      <c r="J345" s="4"/>
      <c r="K345" s="14" t="s">
        <v>1210</v>
      </c>
      <c r="L345" s="17">
        <f>IFERROR(__xludf.DUMMYFUNCTION("SPLIT(K:K, "" "")"),0.441106040666301)</f>
        <v>0.4411060407</v>
      </c>
      <c r="M345" s="4">
        <f>IFERROR(__xludf.DUMMYFUNCTION("""COMPUTED_VALUE"""),0.695684161969875)</f>
        <v>0.695684162</v>
      </c>
      <c r="N345" s="15">
        <v>352.0</v>
      </c>
      <c r="O345" s="4"/>
      <c r="P345" s="14" t="s">
        <v>1211</v>
      </c>
      <c r="Q345" s="17">
        <f>IFERROR(__xludf.DUMMYFUNCTION("SPLIT(P:P, "" "")"),0.390609389270484)</f>
        <v>0.3906093893</v>
      </c>
      <c r="R345" s="4">
        <f>IFERROR(__xludf.DUMMYFUNCTION("""COMPUTED_VALUE"""),0.593164296416304)</f>
        <v>0.5931642964</v>
      </c>
      <c r="S345" s="15">
        <v>528.0</v>
      </c>
      <c r="T345" s="4"/>
      <c r="U345" s="4"/>
    </row>
    <row r="346">
      <c r="A346" s="14" t="s">
        <v>1212</v>
      </c>
      <c r="B346" s="4">
        <f>IFERROR(__xludf.DUMMYFUNCTION("SPLIT(A:A, "" "")"),0.302076246595188)</f>
        <v>0.3020762466</v>
      </c>
      <c r="C346" s="4">
        <f>IFERROR(__xludf.DUMMYFUNCTION("""COMPUTED_VALUE"""),0.725562281768394)</f>
        <v>0.7255622818</v>
      </c>
      <c r="D346" s="15">
        <v>496.0</v>
      </c>
      <c r="E346" s="4"/>
      <c r="F346" s="14" t="s">
        <v>1213</v>
      </c>
      <c r="G346" s="17">
        <f>IFERROR(__xludf.DUMMYFUNCTION("SPLIT(F:F, "" "")"),0.24076609107094)</f>
        <v>0.2407660911</v>
      </c>
      <c r="H346" s="4">
        <f>IFERROR(__xludf.DUMMYFUNCTION("""COMPUTED_VALUE"""),0.620418202787178)</f>
        <v>0.6204182028</v>
      </c>
      <c r="I346" s="15">
        <v>992.0</v>
      </c>
      <c r="J346" s="4"/>
      <c r="K346" s="14" t="s">
        <v>1214</v>
      </c>
      <c r="L346" s="17">
        <f>IFERROR(__xludf.DUMMYFUNCTION("SPLIT(K:K, "" "")"),0.43866388099867)</f>
        <v>0.438663881</v>
      </c>
      <c r="M346" s="4">
        <f>IFERROR(__xludf.DUMMYFUNCTION("""COMPUTED_VALUE"""),0.691407718190294)</f>
        <v>0.6914077182</v>
      </c>
      <c r="N346" s="15">
        <v>360.0</v>
      </c>
      <c r="O346" s="4"/>
      <c r="P346" s="14" t="s">
        <v>1215</v>
      </c>
      <c r="Q346" s="17">
        <f>IFERROR(__xludf.DUMMYFUNCTION("SPLIT(P:P, "" "")"),0.402858559960712)</f>
        <v>0.40285856</v>
      </c>
      <c r="R346" s="4">
        <f>IFERROR(__xludf.DUMMYFUNCTION("""COMPUTED_VALUE"""),0.612178735785532)</f>
        <v>0.6121787358</v>
      </c>
      <c r="S346" s="15">
        <v>540.0</v>
      </c>
      <c r="T346" s="4"/>
      <c r="U346" s="4"/>
    </row>
    <row r="347">
      <c r="A347" s="14" t="s">
        <v>1216</v>
      </c>
      <c r="B347" s="4">
        <f>IFERROR(__xludf.DUMMYFUNCTION("SPLIT(A:A, "" "")"),0.301984822944191)</f>
        <v>0.3019848229</v>
      </c>
      <c r="C347" s="4">
        <f>IFERROR(__xludf.DUMMYFUNCTION("""COMPUTED_VALUE"""),0.730578731882212)</f>
        <v>0.7305787319</v>
      </c>
      <c r="D347" s="15">
        <v>500.0</v>
      </c>
      <c r="E347" s="4"/>
      <c r="F347" s="14" t="s">
        <v>1217</v>
      </c>
      <c r="G347" s="17">
        <f>IFERROR(__xludf.DUMMYFUNCTION("SPLIT(F:F, "" "")"),0.235732672126371)</f>
        <v>0.2357326721</v>
      </c>
      <c r="H347" s="4">
        <f>IFERROR(__xludf.DUMMYFUNCTION("""COMPUTED_VALUE"""),0.632977714191004)</f>
        <v>0.6329777142</v>
      </c>
      <c r="I347" s="15">
        <v>1000.0</v>
      </c>
      <c r="J347" s="4"/>
      <c r="K347" s="14" t="s">
        <v>1218</v>
      </c>
      <c r="L347" s="17">
        <f>IFERROR(__xludf.DUMMYFUNCTION("SPLIT(K:K, "" "")"),0.426492524581293)</f>
        <v>0.4264925246</v>
      </c>
      <c r="M347" s="4">
        <f>IFERROR(__xludf.DUMMYFUNCTION("""COMPUTED_VALUE"""),0.67339180182379)</f>
        <v>0.6733918018</v>
      </c>
      <c r="N347" s="15">
        <v>368.0</v>
      </c>
      <c r="O347" s="4"/>
      <c r="P347" s="14" t="s">
        <v>1219</v>
      </c>
      <c r="Q347" s="17">
        <f>IFERROR(__xludf.DUMMYFUNCTION("SPLIT(P:P, "" "")"),0.378600998686795)</f>
        <v>0.3786009987</v>
      </c>
      <c r="R347" s="4">
        <f>IFERROR(__xludf.DUMMYFUNCTION("""COMPUTED_VALUE"""),0.582858952691407)</f>
        <v>0.5828589527</v>
      </c>
      <c r="S347" s="15">
        <v>552.0</v>
      </c>
      <c r="T347" s="4"/>
      <c r="U347" s="4"/>
    </row>
    <row r="348">
      <c r="A348" s="14" t="s">
        <v>1220</v>
      </c>
      <c r="B348" s="4">
        <f>IFERROR(__xludf.DUMMYFUNCTION("SPLIT(A:A, "" "")"),0.308611464364514)</f>
        <v>0.3086114644</v>
      </c>
      <c r="C348" s="4">
        <f>IFERROR(__xludf.DUMMYFUNCTION("""COMPUTED_VALUE"""),0.742487663706173)</f>
        <v>0.7424876637</v>
      </c>
      <c r="D348" s="15">
        <v>504.0</v>
      </c>
      <c r="E348" s="4"/>
      <c r="F348" s="14" t="s">
        <v>1221</v>
      </c>
      <c r="G348" s="17">
        <f>IFERROR(__xludf.DUMMYFUNCTION("SPLIT(F:F, "" "")"),0.229753421781948)</f>
        <v>0.2297534218</v>
      </c>
      <c r="H348" s="4">
        <f>IFERROR(__xludf.DUMMYFUNCTION("""COMPUTED_VALUE"""),0.62290510921391)</f>
        <v>0.6229051092</v>
      </c>
      <c r="I348" s="15">
        <v>1008.0</v>
      </c>
      <c r="J348" s="4"/>
      <c r="K348" s="14" t="s">
        <v>1222</v>
      </c>
      <c r="L348" s="17">
        <f>IFERROR(__xludf.DUMMYFUNCTION("SPLIT(K:K, "" "")"),0.442179705278499)</f>
        <v>0.4421797053</v>
      </c>
      <c r="M348" s="4">
        <f>IFERROR(__xludf.DUMMYFUNCTION("""COMPUTED_VALUE"""),0.688173704430733)</f>
        <v>0.6881737044</v>
      </c>
      <c r="N348" s="15">
        <v>376.0</v>
      </c>
      <c r="O348" s="4"/>
      <c r="P348" s="14" t="s">
        <v>1223</v>
      </c>
      <c r="Q348" s="17">
        <f>IFERROR(__xludf.DUMMYFUNCTION("SPLIT(P:P, "" "")"),0.382581540578883)</f>
        <v>0.3825815406</v>
      </c>
      <c r="R348" s="4">
        <f>IFERROR(__xludf.DUMMYFUNCTION("""COMPUTED_VALUE"""),0.586489380764801)</f>
        <v>0.5864893808</v>
      </c>
      <c r="S348" s="15">
        <v>564.0</v>
      </c>
      <c r="T348" s="4"/>
      <c r="U348" s="4"/>
    </row>
    <row r="349">
      <c r="A349" s="14" t="s">
        <v>1224</v>
      </c>
      <c r="B349" s="4">
        <f>IFERROR(__xludf.DUMMYFUNCTION("SPLIT(A:A, "" "")"),0.301377102695952)</f>
        <v>0.3013771027</v>
      </c>
      <c r="C349" s="4">
        <f>IFERROR(__xludf.DUMMYFUNCTION("""COMPUTED_VALUE"""),0.727884696773944)</f>
        <v>0.7278846968</v>
      </c>
      <c r="D349" s="15">
        <v>508.0</v>
      </c>
      <c r="E349" s="4"/>
      <c r="F349" s="14" t="s">
        <v>1225</v>
      </c>
      <c r="G349" s="17">
        <f>IFERROR(__xludf.DUMMYFUNCTION("SPLIT(F:F, "" "")"),0.23275176453597)</f>
        <v>0.2327517645</v>
      </c>
      <c r="H349" s="4">
        <f>IFERROR(__xludf.DUMMYFUNCTION("""COMPUTED_VALUE"""),0.619476335888203)</f>
        <v>0.6194763359</v>
      </c>
      <c r="I349" s="15">
        <v>1016.0</v>
      </c>
      <c r="J349" s="4"/>
      <c r="K349" s="14" t="s">
        <v>1226</v>
      </c>
      <c r="L349" s="17">
        <f>IFERROR(__xludf.DUMMYFUNCTION("SPLIT(K:K, "" "")"),0.406717872627298)</f>
        <v>0.4067178726</v>
      </c>
      <c r="M349" s="4">
        <f>IFERROR(__xludf.DUMMYFUNCTION("""COMPUTED_VALUE"""),0.659638873374505)</f>
        <v>0.6596388734</v>
      </c>
      <c r="N349" s="15">
        <v>384.0</v>
      </c>
      <c r="O349" s="4"/>
      <c r="P349" s="14" t="s">
        <v>1227</v>
      </c>
      <c r="Q349" s="17">
        <f>IFERROR(__xludf.DUMMYFUNCTION("SPLIT(P:P, "" "")"),0.4024628237446)</f>
        <v>0.4024628237</v>
      </c>
      <c r="R349" s="4">
        <f>IFERROR(__xludf.DUMMYFUNCTION("""COMPUTED_VALUE"""),0.607224071549148)</f>
        <v>0.6072240715</v>
      </c>
      <c r="S349" s="15">
        <v>576.0</v>
      </c>
      <c r="T349" s="4"/>
      <c r="U349" s="4"/>
    </row>
    <row r="350">
      <c r="A350" s="14" t="s">
        <v>1228</v>
      </c>
      <c r="B350" s="4">
        <f>IFERROR(__xludf.DUMMYFUNCTION("SPLIT(A:A, "" "")"),0.296870049005792)</f>
        <v>0.296870049</v>
      </c>
      <c r="C350" s="4">
        <f>IFERROR(__xludf.DUMMYFUNCTION("""COMPUTED_VALUE"""),0.719372422639811)</f>
        <v>0.7193724226</v>
      </c>
      <c r="D350" s="15">
        <v>512.0</v>
      </c>
      <c r="E350" s="4"/>
      <c r="F350" s="14" t="s">
        <v>1229</v>
      </c>
      <c r="G350" s="17">
        <f>IFERROR(__xludf.DUMMYFUNCTION("SPLIT(F:F, "" "")"),0.230641256819609)</f>
        <v>0.2306412568</v>
      </c>
      <c r="H350" s="4">
        <f>IFERROR(__xludf.DUMMYFUNCTION("""COMPUTED_VALUE"""),0.621266120233794)</f>
        <v>0.6212661202</v>
      </c>
      <c r="I350" s="15">
        <v>1024.0</v>
      </c>
      <c r="J350" s="4"/>
      <c r="K350" s="14" t="s">
        <v>1230</v>
      </c>
      <c r="L350" s="17">
        <f>IFERROR(__xludf.DUMMYFUNCTION("SPLIT(K:K, "" "")"),0.421615720663524)</f>
        <v>0.4216157207</v>
      </c>
      <c r="M350" s="4">
        <f>IFERROR(__xludf.DUMMYFUNCTION("""COMPUTED_VALUE"""),0.669686061651057)</f>
        <v>0.6696860617</v>
      </c>
      <c r="N350" s="15">
        <v>392.0</v>
      </c>
      <c r="O350" s="4"/>
      <c r="P350" s="14" t="s">
        <v>1231</v>
      </c>
      <c r="Q350" s="17">
        <f>IFERROR(__xludf.DUMMYFUNCTION("SPLIT(P:P, "" "")"),0.381672429591014)</f>
        <v>0.3816724296</v>
      </c>
      <c r="R350" s="4">
        <f>IFERROR(__xludf.DUMMYFUNCTION("""COMPUTED_VALUE"""),0.594833797568802)</f>
        <v>0.5948337976</v>
      </c>
      <c r="S350" s="15">
        <v>588.0</v>
      </c>
      <c r="T350" s="4"/>
      <c r="U350" s="4"/>
    </row>
    <row r="351">
      <c r="A351" s="14" t="s">
        <v>1232</v>
      </c>
      <c r="B351" s="4">
        <f>IFERROR(__xludf.DUMMYFUNCTION("SPLIT(A:A, "" "")"),0.310926403097867)</f>
        <v>0.3109264031</v>
      </c>
      <c r="C351" s="4">
        <f>IFERROR(__xludf.DUMMYFUNCTION("""COMPUTED_VALUE"""),0.767730274046988)</f>
        <v>0.767730274</v>
      </c>
      <c r="D351" s="15">
        <v>516.0</v>
      </c>
      <c r="E351" s="4"/>
      <c r="F351" s="14" t="s">
        <v>1233</v>
      </c>
      <c r="G351" s="17">
        <f>IFERROR(__xludf.DUMMYFUNCTION("SPLIT(F:F, "" "")"),0.231999677329784)</f>
        <v>0.2319996773</v>
      </c>
      <c r="H351" s="4">
        <f>IFERROR(__xludf.DUMMYFUNCTION("""COMPUTED_VALUE"""),0.632367274002589)</f>
        <v>0.632367274</v>
      </c>
      <c r="I351" s="15">
        <v>1032.0</v>
      </c>
      <c r="J351" s="4"/>
      <c r="K351" s="14" t="s">
        <v>1234</v>
      </c>
      <c r="L351" s="17">
        <f>IFERROR(__xludf.DUMMYFUNCTION("SPLIT(K:K, "" "")"),0.428331762254485)</f>
        <v>0.4283317623</v>
      </c>
      <c r="M351" s="4">
        <f>IFERROR(__xludf.DUMMYFUNCTION("""COMPUTED_VALUE"""),0.678705875371716)</f>
        <v>0.6787058754</v>
      </c>
      <c r="N351" s="15">
        <v>400.0</v>
      </c>
      <c r="O351" s="4"/>
      <c r="P351" s="14" t="s">
        <v>1235</v>
      </c>
      <c r="Q351" s="17">
        <f>IFERROR(__xludf.DUMMYFUNCTION("SPLIT(P:P, "" "")"),0.385448480080455)</f>
        <v>0.3854484801</v>
      </c>
      <c r="R351" s="4">
        <f>IFERROR(__xludf.DUMMYFUNCTION("""COMPUTED_VALUE"""),0.583907624334339)</f>
        <v>0.5839076243</v>
      </c>
      <c r="S351" s="15">
        <v>600.0</v>
      </c>
      <c r="T351" s="4"/>
      <c r="U351" s="4"/>
    </row>
    <row r="352">
      <c r="A352" s="14" t="s">
        <v>1236</v>
      </c>
      <c r="B352" s="4">
        <f>IFERROR(__xludf.DUMMYFUNCTION("SPLIT(A:A, "" "")"),0.294115598950862)</f>
        <v>0.294115599</v>
      </c>
      <c r="C352" s="4">
        <f>IFERROR(__xludf.DUMMYFUNCTION("""COMPUTED_VALUE"""),0.720682870546748)</f>
        <v>0.7206828705</v>
      </c>
      <c r="D352" s="15">
        <v>520.0</v>
      </c>
      <c r="E352" s="4"/>
      <c r="F352" s="14" t="s">
        <v>1237</v>
      </c>
      <c r="G352" s="17">
        <f>IFERROR(__xludf.DUMMYFUNCTION("SPLIT(F:F, "" "")"),0.230859629652382)</f>
        <v>0.2308596297</v>
      </c>
      <c r="H352" s="4">
        <f>IFERROR(__xludf.DUMMYFUNCTION("""COMPUTED_VALUE"""),0.635960937055883)</f>
        <v>0.6359609371</v>
      </c>
      <c r="I352" s="15">
        <v>1040.0</v>
      </c>
      <c r="J352" s="4"/>
      <c r="K352" s="14" t="s">
        <v>1238</v>
      </c>
      <c r="L352" s="17">
        <f>IFERROR(__xludf.DUMMYFUNCTION("SPLIT(K:K, "" "")"),0.414362685674316)</f>
        <v>0.4143626857</v>
      </c>
      <c r="M352" s="4">
        <f>IFERROR(__xludf.DUMMYFUNCTION("""COMPUTED_VALUE"""),0.665616719233364)</f>
        <v>0.6656167192</v>
      </c>
      <c r="N352" s="15">
        <v>408.0</v>
      </c>
      <c r="O352" s="4"/>
      <c r="P352" s="14" t="s">
        <v>1239</v>
      </c>
      <c r="Q352" s="17">
        <f>IFERROR(__xludf.DUMMYFUNCTION("SPLIT(P:P, "" "")"),0.367203190976724)</f>
        <v>0.367203191</v>
      </c>
      <c r="R352" s="4">
        <f>IFERROR(__xludf.DUMMYFUNCTION("""COMPUTED_VALUE"""),0.59125201789732)</f>
        <v>0.5912520179</v>
      </c>
      <c r="S352" s="15">
        <v>612.0</v>
      </c>
      <c r="T352" s="4"/>
      <c r="U352" s="4"/>
    </row>
    <row r="353">
      <c r="A353" s="14" t="s">
        <v>1240</v>
      </c>
      <c r="B353" s="4">
        <f>IFERROR(__xludf.DUMMYFUNCTION("SPLIT(A:A, "" "")"),0.296253052174604)</f>
        <v>0.2962530522</v>
      </c>
      <c r="C353" s="4">
        <f>IFERROR(__xludf.DUMMYFUNCTION("""COMPUTED_VALUE"""),0.729465691064725)</f>
        <v>0.7294656911</v>
      </c>
      <c r="D353" s="15">
        <v>524.0</v>
      </c>
      <c r="E353" s="4"/>
      <c r="F353" s="14" t="s">
        <v>1241</v>
      </c>
      <c r="G353" s="17">
        <f>IFERROR(__xludf.DUMMYFUNCTION("SPLIT(F:F, "" "")"),0.232535325211)</f>
        <v>0.2325353252</v>
      </c>
      <c r="H353" s="4">
        <f>IFERROR(__xludf.DUMMYFUNCTION("""COMPUTED_VALUE"""),0.633251892602999)</f>
        <v>0.6332518926</v>
      </c>
      <c r="I353" s="15">
        <v>1048.0</v>
      </c>
      <c r="J353" s="4"/>
      <c r="K353" s="14" t="s">
        <v>1242</v>
      </c>
      <c r="L353" s="17">
        <f>IFERROR(__xludf.DUMMYFUNCTION("SPLIT(K:K, "" "")"),0.406300662647877)</f>
        <v>0.4063006626</v>
      </c>
      <c r="M353" s="4">
        <f>IFERROR(__xludf.DUMMYFUNCTION("""COMPUTED_VALUE"""),0.674708866545566)</f>
        <v>0.6747088665</v>
      </c>
      <c r="N353" s="15">
        <v>416.0</v>
      </c>
      <c r="O353" s="4"/>
      <c r="P353" s="14" t="s">
        <v>1243</v>
      </c>
      <c r="Q353" s="17">
        <f>IFERROR(__xludf.DUMMYFUNCTION("SPLIT(P:P, "" "")"),0.360696913582566)</f>
        <v>0.3606969136</v>
      </c>
      <c r="R353" s="4">
        <f>IFERROR(__xludf.DUMMYFUNCTION("""COMPUTED_VALUE"""),0.570204077951623)</f>
        <v>0.570204078</v>
      </c>
      <c r="S353" s="15">
        <v>624.0</v>
      </c>
      <c r="T353" s="4"/>
      <c r="U353" s="4"/>
    </row>
    <row r="354">
      <c r="A354" s="14" t="s">
        <v>1244</v>
      </c>
      <c r="B354" s="4">
        <f>IFERROR(__xludf.DUMMYFUNCTION("SPLIT(A:A, "" "")"),0.299430293725867)</f>
        <v>0.2994302937</v>
      </c>
      <c r="C354" s="4">
        <f>IFERROR(__xludf.DUMMYFUNCTION("""COMPUTED_VALUE"""),0.735879785495497)</f>
        <v>0.7358797855</v>
      </c>
      <c r="D354" s="15">
        <v>528.0</v>
      </c>
      <c r="E354" s="4"/>
      <c r="F354" s="14" t="s">
        <v>1245</v>
      </c>
      <c r="G354" s="17">
        <f>IFERROR(__xludf.DUMMYFUNCTION("SPLIT(F:F, "" "")"),0.228476749546576)</f>
        <v>0.2284767495</v>
      </c>
      <c r="H354" s="4">
        <f>IFERROR(__xludf.DUMMYFUNCTION("""COMPUTED_VALUE"""),0.620624663300286)</f>
        <v>0.6206246633</v>
      </c>
      <c r="I354" s="15">
        <v>1056.0</v>
      </c>
      <c r="J354" s="4"/>
      <c r="K354" s="14" t="s">
        <v>1246</v>
      </c>
      <c r="L354" s="17">
        <f>IFERROR(__xludf.DUMMYFUNCTION("SPLIT(K:K, "" "")"),0.399028366399633)</f>
        <v>0.3990283664</v>
      </c>
      <c r="M354" s="4">
        <f>IFERROR(__xludf.DUMMYFUNCTION("""COMPUTED_VALUE"""),0.647632744853396)</f>
        <v>0.6476327449</v>
      </c>
      <c r="N354" s="15">
        <v>424.0</v>
      </c>
      <c r="O354" s="4"/>
      <c r="P354" s="14" t="s">
        <v>1247</v>
      </c>
      <c r="Q354" s="17">
        <f>IFERROR(__xludf.DUMMYFUNCTION("SPLIT(P:P, "" "")"),0.370520386526999)</f>
        <v>0.3705203865</v>
      </c>
      <c r="R354" s="4">
        <f>IFERROR(__xludf.DUMMYFUNCTION("""COMPUTED_VALUE"""),0.578273403713605)</f>
        <v>0.5782734037</v>
      </c>
      <c r="S354" s="15">
        <v>636.0</v>
      </c>
      <c r="T354" s="4"/>
      <c r="U354" s="4"/>
    </row>
    <row r="355">
      <c r="A355" s="14" t="s">
        <v>1248</v>
      </c>
      <c r="B355" s="4">
        <f>IFERROR(__xludf.DUMMYFUNCTION("SPLIT(A:A, "" "")"),0.298059252379291)</f>
        <v>0.2980592524</v>
      </c>
      <c r="C355" s="4">
        <f>IFERROR(__xludf.DUMMYFUNCTION("""COMPUTED_VALUE"""),0.723284693709266)</f>
        <v>0.7232846937</v>
      </c>
      <c r="D355" s="15">
        <v>532.0</v>
      </c>
      <c r="E355" s="4"/>
      <c r="F355" s="14" t="s">
        <v>1249</v>
      </c>
      <c r="G355" s="17">
        <f>IFERROR(__xludf.DUMMYFUNCTION("SPLIT(F:F, "" "")"),0.228621425128729)</f>
        <v>0.2286214251</v>
      </c>
      <c r="H355" s="4">
        <f>IFERROR(__xludf.DUMMYFUNCTION("""COMPUTED_VALUE"""),0.633413990272388)</f>
        <v>0.6334139903</v>
      </c>
      <c r="I355" s="15">
        <v>1064.0</v>
      </c>
      <c r="J355" s="4"/>
      <c r="K355" s="14" t="s">
        <v>1250</v>
      </c>
      <c r="L355" s="17">
        <f>IFERROR(__xludf.DUMMYFUNCTION("SPLIT(K:K, "" "")"),0.396344109716001)</f>
        <v>0.3963441097</v>
      </c>
      <c r="M355" s="4">
        <f>IFERROR(__xludf.DUMMYFUNCTION("""COMPUTED_VALUE"""),0.648685693107101)</f>
        <v>0.6486856931</v>
      </c>
      <c r="N355" s="15">
        <v>432.0</v>
      </c>
      <c r="O355" s="4"/>
      <c r="P355" s="14" t="s">
        <v>1251</v>
      </c>
      <c r="Q355" s="17">
        <f>IFERROR(__xludf.DUMMYFUNCTION("SPLIT(P:P, "" "")"),0.34952310984023)</f>
        <v>0.3495231098</v>
      </c>
      <c r="R355" s="4">
        <f>IFERROR(__xludf.DUMMYFUNCTION("""COMPUTED_VALUE"""),0.554144562498922)</f>
        <v>0.5541445625</v>
      </c>
      <c r="S355" s="15">
        <v>648.0</v>
      </c>
      <c r="T355" s="4"/>
      <c r="U355" s="4"/>
    </row>
    <row r="356">
      <c r="A356" s="14" t="s">
        <v>1252</v>
      </c>
      <c r="B356" s="4">
        <f>IFERROR(__xludf.DUMMYFUNCTION("SPLIT(A:A, "" "")"),0.295464054446816)</f>
        <v>0.2954640544</v>
      </c>
      <c r="C356" s="4">
        <f>IFERROR(__xludf.DUMMYFUNCTION("""COMPUTED_VALUE"""),0.733665997584115)</f>
        <v>0.7336659976</v>
      </c>
      <c r="D356" s="15">
        <v>536.0</v>
      </c>
      <c r="E356" s="4"/>
      <c r="F356" s="14" t="s">
        <v>1253</v>
      </c>
      <c r="G356" s="17">
        <f>IFERROR(__xludf.DUMMYFUNCTION("SPLIT(F:F, "" "")"),0.221304965518089)</f>
        <v>0.2213049655</v>
      </c>
      <c r="H356" s="4">
        <f>IFERROR(__xludf.DUMMYFUNCTION("""COMPUTED_VALUE"""),0.61586712653498)</f>
        <v>0.6158671265</v>
      </c>
      <c r="I356" s="15">
        <v>1072.0</v>
      </c>
      <c r="J356" s="4"/>
      <c r="K356" s="14" t="s">
        <v>1254</v>
      </c>
      <c r="L356" s="17">
        <f>IFERROR(__xludf.DUMMYFUNCTION("SPLIT(K:K, "" "")"),0.391014005998077)</f>
        <v>0.391014006</v>
      </c>
      <c r="M356" s="4">
        <f>IFERROR(__xludf.DUMMYFUNCTION("""COMPUTED_VALUE"""),0.645044052626967)</f>
        <v>0.6450440526</v>
      </c>
      <c r="N356" s="15">
        <v>440.0</v>
      </c>
      <c r="O356" s="4"/>
      <c r="P356" s="14" t="s">
        <v>1255</v>
      </c>
      <c r="Q356" s="17">
        <f>IFERROR(__xludf.DUMMYFUNCTION("SPLIT(P:P, "" "")"),0.35939657922719)</f>
        <v>0.3593965792</v>
      </c>
      <c r="R356" s="4">
        <f>IFERROR(__xludf.DUMMYFUNCTION("""COMPUTED_VALUE"""),0.577238379177667)</f>
        <v>0.5772383792</v>
      </c>
      <c r="S356" s="15">
        <v>660.0</v>
      </c>
      <c r="T356" s="4"/>
      <c r="U356" s="4"/>
    </row>
    <row r="357">
      <c r="A357" s="14" t="s">
        <v>1256</v>
      </c>
      <c r="B357" s="4">
        <f>IFERROR(__xludf.DUMMYFUNCTION("SPLIT(A:A, "" "")"),0.29619368694768)</f>
        <v>0.2961936869</v>
      </c>
      <c r="C357" s="4">
        <f>IFERROR(__xludf.DUMMYFUNCTION("""COMPUTED_VALUE"""),0.734474151832214)</f>
        <v>0.7344741518</v>
      </c>
      <c r="D357" s="15">
        <v>540.0</v>
      </c>
      <c r="E357" s="4"/>
      <c r="F357" s="14" t="s">
        <v>1257</v>
      </c>
      <c r="G357" s="17">
        <f>IFERROR(__xludf.DUMMYFUNCTION("SPLIT(F:F, "" "")"),0.22424747550056)</f>
        <v>0.2242474755</v>
      </c>
      <c r="H357" s="4">
        <f>IFERROR(__xludf.DUMMYFUNCTION("""COMPUTED_VALUE"""),0.616975876610349)</f>
        <v>0.6169758766</v>
      </c>
      <c r="I357" s="15">
        <v>1080.0</v>
      </c>
      <c r="J357" s="4"/>
      <c r="K357" s="14" t="s">
        <v>1258</v>
      </c>
      <c r="L357" s="17">
        <f>IFERROR(__xludf.DUMMYFUNCTION("SPLIT(K:K, "" "")"),0.393665182172941)</f>
        <v>0.3936651822</v>
      </c>
      <c r="M357" s="4">
        <f>IFERROR(__xludf.DUMMYFUNCTION("""COMPUTED_VALUE"""),0.65885816736317)</f>
        <v>0.6588581674</v>
      </c>
      <c r="N357" s="15">
        <v>448.0</v>
      </c>
      <c r="O357" s="4"/>
      <c r="P357" s="14" t="s">
        <v>1259</v>
      </c>
      <c r="Q357" s="17">
        <f>IFERROR(__xludf.DUMMYFUNCTION("SPLIT(P:P, "" "")"),0.349552879680924)</f>
        <v>0.3495528797</v>
      </c>
      <c r="R357" s="4">
        <f>IFERROR(__xludf.DUMMYFUNCTION("""COMPUTED_VALUE"""),0.555030622261684)</f>
        <v>0.5550306223</v>
      </c>
      <c r="S357" s="15">
        <v>672.0</v>
      </c>
      <c r="T357" s="4"/>
      <c r="U357" s="4"/>
    </row>
    <row r="358">
      <c r="A358" s="14" t="s">
        <v>1260</v>
      </c>
      <c r="B358" s="4">
        <f>IFERROR(__xludf.DUMMYFUNCTION("SPLIT(A:A, "" "")"),0.287899454533399)</f>
        <v>0.2878994545</v>
      </c>
      <c r="C358" s="4">
        <f>IFERROR(__xludf.DUMMYFUNCTION("""COMPUTED_VALUE"""),0.717416574465916)</f>
        <v>0.7174165745</v>
      </c>
      <c r="D358" s="15">
        <v>544.0</v>
      </c>
      <c r="E358" s="4"/>
      <c r="F358" s="14" t="s">
        <v>1261</v>
      </c>
      <c r="G358" s="17">
        <f>IFERROR(__xludf.DUMMYFUNCTION("SPLIT(F:F, "" "")"),0.224809244314778)</f>
        <v>0.2248092443</v>
      </c>
      <c r="H358" s="4">
        <f>IFERROR(__xludf.DUMMYFUNCTION("""COMPUTED_VALUE"""),0.623321677048897)</f>
        <v>0.623321677</v>
      </c>
      <c r="I358" s="15">
        <v>1088.0</v>
      </c>
      <c r="J358" s="4"/>
      <c r="K358" s="14" t="s">
        <v>1262</v>
      </c>
      <c r="L358" s="17">
        <f>IFERROR(__xludf.DUMMYFUNCTION("SPLIT(K:K, "" "")"),0.382856748247524)</f>
        <v>0.3828567482</v>
      </c>
      <c r="M358" s="4">
        <f>IFERROR(__xludf.DUMMYFUNCTION("""COMPUTED_VALUE"""),0.63807689424996)</f>
        <v>0.6380768942</v>
      </c>
      <c r="N358" s="15">
        <v>456.0</v>
      </c>
      <c r="O358" s="4"/>
      <c r="P358" s="14" t="s">
        <v>1263</v>
      </c>
      <c r="Q358" s="17">
        <f>IFERROR(__xludf.DUMMYFUNCTION("SPLIT(P:P, "" "")"),0.367263270939858)</f>
        <v>0.3672632709</v>
      </c>
      <c r="R358" s="4">
        <f>IFERROR(__xludf.DUMMYFUNCTION("""COMPUTED_VALUE"""),0.579666401713798)</f>
        <v>0.5796664017</v>
      </c>
      <c r="S358" s="15">
        <v>684.0</v>
      </c>
      <c r="T358" s="4"/>
      <c r="U358" s="4"/>
    </row>
    <row r="359">
      <c r="A359" s="14" t="s">
        <v>1264</v>
      </c>
      <c r="B359" s="4">
        <f>IFERROR(__xludf.DUMMYFUNCTION("SPLIT(A:A, "" "")"),0.289721062315091)</f>
        <v>0.2897210623</v>
      </c>
      <c r="C359" s="4">
        <f>IFERROR(__xludf.DUMMYFUNCTION("""COMPUTED_VALUE"""),0.726447745848789)</f>
        <v>0.7264477458</v>
      </c>
      <c r="D359" s="15">
        <v>548.0</v>
      </c>
      <c r="E359" s="4"/>
      <c r="F359" s="14" t="s">
        <v>1265</v>
      </c>
      <c r="G359" s="17">
        <f>IFERROR(__xludf.DUMMYFUNCTION("SPLIT(F:F, "" "")"),0.221316630546577)</f>
        <v>0.2213166305</v>
      </c>
      <c r="H359" s="4">
        <f>IFERROR(__xludf.DUMMYFUNCTION("""COMPUTED_VALUE"""),0.612095353487241)</f>
        <v>0.6120953535</v>
      </c>
      <c r="I359" s="15">
        <v>1096.0</v>
      </c>
      <c r="J359" s="4"/>
      <c r="K359" s="14" t="s">
        <v>1266</v>
      </c>
      <c r="L359" s="17">
        <f>IFERROR(__xludf.DUMMYFUNCTION("SPLIT(K:K, "" "")"),0.400937216443336)</f>
        <v>0.4009372164</v>
      </c>
      <c r="M359" s="4">
        <f>IFERROR(__xludf.DUMMYFUNCTION("""COMPUTED_VALUE"""),0.659710554686204)</f>
        <v>0.6597105547</v>
      </c>
      <c r="N359" s="15">
        <v>464.0</v>
      </c>
      <c r="O359" s="4"/>
      <c r="P359" s="14" t="s">
        <v>1267</v>
      </c>
      <c r="Q359" s="17">
        <f>IFERROR(__xludf.DUMMYFUNCTION("SPLIT(P:P, "" "")"),0.340350715697379)</f>
        <v>0.3403507157</v>
      </c>
      <c r="R359" s="4">
        <f>IFERROR(__xludf.DUMMYFUNCTION("""COMPUTED_VALUE"""),0.545494527021776)</f>
        <v>0.545494527</v>
      </c>
      <c r="S359" s="15">
        <v>696.0</v>
      </c>
      <c r="T359" s="4"/>
      <c r="U359" s="4"/>
    </row>
    <row r="360">
      <c r="A360" s="14" t="s">
        <v>1268</v>
      </c>
      <c r="B360" s="4">
        <f>IFERROR(__xludf.DUMMYFUNCTION("SPLIT(A:A, "" "")"),0.279838312345286)</f>
        <v>0.2798383123</v>
      </c>
      <c r="C360" s="4">
        <f>IFERROR(__xludf.DUMMYFUNCTION("""COMPUTED_VALUE"""),0.706656648971932)</f>
        <v>0.706656649</v>
      </c>
      <c r="D360" s="15">
        <v>552.0</v>
      </c>
      <c r="E360" s="4"/>
      <c r="F360" s="14" t="s">
        <v>1269</v>
      </c>
      <c r="G360" s="17">
        <f>IFERROR(__xludf.DUMMYFUNCTION("SPLIT(F:F, "" "")"),0.218996454578703)</f>
        <v>0.2189964546</v>
      </c>
      <c r="H360" s="4">
        <f>IFERROR(__xludf.DUMMYFUNCTION("""COMPUTED_VALUE"""),0.615557052914513)</f>
        <v>0.6155570529</v>
      </c>
      <c r="I360" s="15">
        <v>1104.0</v>
      </c>
      <c r="J360" s="4"/>
      <c r="K360" s="14" t="s">
        <v>1270</v>
      </c>
      <c r="L360" s="17">
        <f>IFERROR(__xludf.DUMMYFUNCTION("SPLIT(K:K, "" "")"),0.390595069868139)</f>
        <v>0.3905950699</v>
      </c>
      <c r="M360" s="4">
        <f>IFERROR(__xludf.DUMMYFUNCTION("""COMPUTED_VALUE"""),0.657199109709353)</f>
        <v>0.6571991097</v>
      </c>
      <c r="N360" s="15">
        <v>472.0</v>
      </c>
      <c r="O360" s="4"/>
      <c r="P360" s="14" t="s">
        <v>1271</v>
      </c>
      <c r="Q360" s="17">
        <f>IFERROR(__xludf.DUMMYFUNCTION("SPLIT(P:P, "" "")"),0.342446209505712)</f>
        <v>0.3424462095</v>
      </c>
      <c r="R360" s="4">
        <f>IFERROR(__xludf.DUMMYFUNCTION("""COMPUTED_VALUE"""),0.562688562276498)</f>
        <v>0.5626885623</v>
      </c>
      <c r="S360" s="15">
        <v>708.0</v>
      </c>
      <c r="T360" s="4"/>
      <c r="U360" s="4"/>
    </row>
    <row r="361">
      <c r="A361" s="14" t="s">
        <v>1272</v>
      </c>
      <c r="B361" s="4">
        <f>IFERROR(__xludf.DUMMYFUNCTION("SPLIT(A:A, "" "")"),0.292995519496131)</f>
        <v>0.2929955195</v>
      </c>
      <c r="C361" s="4">
        <f>IFERROR(__xludf.DUMMYFUNCTION("""COMPUTED_VALUE"""),0.719142486865133)</f>
        <v>0.7191424869</v>
      </c>
      <c r="D361" s="15">
        <v>556.0</v>
      </c>
      <c r="E361" s="4"/>
      <c r="F361" s="14" t="s">
        <v>1273</v>
      </c>
      <c r="G361" s="17">
        <f>IFERROR(__xludf.DUMMYFUNCTION("SPLIT(F:F, "" "")"),0.220926449336154)</f>
        <v>0.2209264493</v>
      </c>
      <c r="H361" s="4">
        <f>IFERROR(__xludf.DUMMYFUNCTION("""COMPUTED_VALUE"""),0.602621028109844)</f>
        <v>0.6026210281</v>
      </c>
      <c r="I361" s="15">
        <v>1112.0</v>
      </c>
      <c r="J361" s="4"/>
      <c r="K361" s="14" t="s">
        <v>1274</v>
      </c>
      <c r="L361" s="17">
        <f>IFERROR(__xludf.DUMMYFUNCTION("SPLIT(K:K, "" "")"),0.383932001441329)</f>
        <v>0.3839320014</v>
      </c>
      <c r="M361" s="4">
        <f>IFERROR(__xludf.DUMMYFUNCTION("""COMPUTED_VALUE"""),0.645551990735491)</f>
        <v>0.6455519907</v>
      </c>
      <c r="N361" s="15">
        <v>480.0</v>
      </c>
      <c r="O361" s="4"/>
      <c r="P361" s="14" t="s">
        <v>1275</v>
      </c>
      <c r="Q361" s="17">
        <f>IFERROR(__xludf.DUMMYFUNCTION("SPLIT(P:P, "" "")"),0.3350818890821)</f>
        <v>0.3350818891</v>
      </c>
      <c r="R361" s="4">
        <f>IFERROR(__xludf.DUMMYFUNCTION("""COMPUTED_VALUE"""),0.542459335250578)</f>
        <v>0.5424593353</v>
      </c>
      <c r="S361" s="15">
        <v>720.0</v>
      </c>
      <c r="T361" s="4"/>
      <c r="U361" s="4"/>
    </row>
    <row r="362">
      <c r="A362" s="14" t="s">
        <v>1276</v>
      </c>
      <c r="B362" s="4">
        <f>IFERROR(__xludf.DUMMYFUNCTION("SPLIT(A:A, "" "")"),0.288998524503645)</f>
        <v>0.2889985245</v>
      </c>
      <c r="C362" s="4">
        <f>IFERROR(__xludf.DUMMYFUNCTION("""COMPUTED_VALUE"""),0.715696326152237)</f>
        <v>0.7156963262</v>
      </c>
      <c r="D362" s="15">
        <v>560.0</v>
      </c>
      <c r="E362" s="4"/>
      <c r="F362" s="14" t="s">
        <v>1277</v>
      </c>
      <c r="G362" s="17">
        <f>IFERROR(__xludf.DUMMYFUNCTION("SPLIT(F:F, "" "")"),0.230418128928376)</f>
        <v>0.2304181289</v>
      </c>
      <c r="H362" s="4">
        <f>IFERROR(__xludf.DUMMYFUNCTION("""COMPUTED_VALUE"""),0.639817595920237)</f>
        <v>0.6398175959</v>
      </c>
      <c r="I362" s="15">
        <v>1120.0</v>
      </c>
      <c r="J362" s="4"/>
      <c r="K362" s="14" t="s">
        <v>1278</v>
      </c>
      <c r="L362" s="17">
        <f>IFERROR(__xludf.DUMMYFUNCTION("SPLIT(K:K, "" "")"),0.380400988761044)</f>
        <v>0.3804009888</v>
      </c>
      <c r="M362" s="4">
        <f>IFERROR(__xludf.DUMMYFUNCTION("""COMPUTED_VALUE"""),0.641913553862673)</f>
        <v>0.6419135539</v>
      </c>
      <c r="N362" s="15">
        <v>488.0</v>
      </c>
      <c r="O362" s="4"/>
      <c r="P362" s="14" t="s">
        <v>1279</v>
      </c>
      <c r="Q362" s="17">
        <f>IFERROR(__xludf.DUMMYFUNCTION("SPLIT(P:P, "" "")"),0.327918219162497)</f>
        <v>0.3279182192</v>
      </c>
      <c r="R362" s="4">
        <f>IFERROR(__xludf.DUMMYFUNCTION("""COMPUTED_VALUE"""),0.542377709489518)</f>
        <v>0.5423777095</v>
      </c>
      <c r="S362" s="15">
        <v>732.0</v>
      </c>
      <c r="T362" s="4"/>
      <c r="U362" s="4"/>
    </row>
    <row r="363">
      <c r="A363" s="14" t="s">
        <v>1280</v>
      </c>
      <c r="B363" s="4">
        <f>IFERROR(__xludf.DUMMYFUNCTION("SPLIT(A:A, "" "")"),0.281013229888155)</f>
        <v>0.2810132299</v>
      </c>
      <c r="C363" s="4">
        <f>IFERROR(__xludf.DUMMYFUNCTION("""COMPUTED_VALUE"""),0.717352761573041)</f>
        <v>0.7173527616</v>
      </c>
      <c r="D363" s="15">
        <v>564.0</v>
      </c>
      <c r="E363" s="4"/>
      <c r="F363" s="14" t="s">
        <v>1281</v>
      </c>
      <c r="G363" s="17">
        <f>IFERROR(__xludf.DUMMYFUNCTION("SPLIT(F:F, "" "")"),0.210834331018724)</f>
        <v>0.210834331</v>
      </c>
      <c r="H363" s="4">
        <f>IFERROR(__xludf.DUMMYFUNCTION("""COMPUTED_VALUE"""),0.609380027867914)</f>
        <v>0.6093800279</v>
      </c>
      <c r="I363" s="15">
        <v>1128.0</v>
      </c>
      <c r="J363" s="4"/>
      <c r="K363" s="14" t="s">
        <v>1282</v>
      </c>
      <c r="L363" s="17">
        <f>IFERROR(__xludf.DUMMYFUNCTION("SPLIT(K:K, "" "")"),0.378814652689486)</f>
        <v>0.3788146527</v>
      </c>
      <c r="M363" s="4">
        <f>IFERROR(__xludf.DUMMYFUNCTION("""COMPUTED_VALUE"""),0.642757342639422)</f>
        <v>0.6427573426</v>
      </c>
      <c r="N363" s="15">
        <v>496.0</v>
      </c>
      <c r="O363" s="4"/>
      <c r="P363" s="14" t="s">
        <v>1283</v>
      </c>
      <c r="Q363" s="17">
        <f>IFERROR(__xludf.DUMMYFUNCTION("SPLIT(P:P, "" "")"),0.335938621597262)</f>
        <v>0.3359386216</v>
      </c>
      <c r="R363" s="4">
        <f>IFERROR(__xludf.DUMMYFUNCTION("""COMPUTED_VALUE"""),0.553456099661805)</f>
        <v>0.5534560997</v>
      </c>
      <c r="S363" s="15">
        <v>744.0</v>
      </c>
      <c r="T363" s="4"/>
      <c r="U363" s="4"/>
    </row>
    <row r="364">
      <c r="A364" s="14" t="s">
        <v>1284</v>
      </c>
      <c r="B364" s="4">
        <f>IFERROR(__xludf.DUMMYFUNCTION("SPLIT(A:A, "" "")"),0.277668912943107)</f>
        <v>0.2776689129</v>
      </c>
      <c r="C364" s="4">
        <f>IFERROR(__xludf.DUMMYFUNCTION("""COMPUTED_VALUE"""),0.727083487868362)</f>
        <v>0.7270834879</v>
      </c>
      <c r="D364" s="15">
        <v>568.0</v>
      </c>
      <c r="E364" s="4"/>
      <c r="F364" s="14" t="s">
        <v>1285</v>
      </c>
      <c r="G364" s="17">
        <f>IFERROR(__xludf.DUMMYFUNCTION("SPLIT(F:F, "" "")"),0.224279101460989)</f>
        <v>0.2242791015</v>
      </c>
      <c r="H364" s="4">
        <f>IFERROR(__xludf.DUMMYFUNCTION("""COMPUTED_VALUE"""),0.628309384616037)</f>
        <v>0.6283093846</v>
      </c>
      <c r="I364" s="15">
        <v>1136.0</v>
      </c>
      <c r="J364" s="4"/>
      <c r="K364" s="14" t="s">
        <v>1286</v>
      </c>
      <c r="L364" s="17">
        <f>IFERROR(__xludf.DUMMYFUNCTION("SPLIT(K:K, "" "")"),0.376031449216198)</f>
        <v>0.3760314492</v>
      </c>
      <c r="M364" s="4">
        <f>IFERROR(__xludf.DUMMYFUNCTION("""COMPUTED_VALUE"""),0.638701303984745)</f>
        <v>0.638701304</v>
      </c>
      <c r="N364" s="15">
        <v>504.0</v>
      </c>
      <c r="O364" s="4"/>
      <c r="P364" s="14" t="s">
        <v>1287</v>
      </c>
      <c r="Q364" s="17">
        <f>IFERROR(__xludf.DUMMYFUNCTION("SPLIT(P:P, "" "")"),0.327405978948046)</f>
        <v>0.3274059789</v>
      </c>
      <c r="R364" s="4">
        <f>IFERROR(__xludf.DUMMYFUNCTION("""COMPUTED_VALUE"""),0.554390418240979)</f>
        <v>0.5543904182</v>
      </c>
      <c r="S364" s="15">
        <v>756.0</v>
      </c>
      <c r="T364" s="4"/>
      <c r="U364" s="4"/>
    </row>
    <row r="365">
      <c r="A365" s="14" t="s">
        <v>1288</v>
      </c>
      <c r="B365" s="4">
        <f>IFERROR(__xludf.DUMMYFUNCTION("SPLIT(A:A, "" "")"),0.29391890886835)</f>
        <v>0.2939189089</v>
      </c>
      <c r="C365" s="4">
        <f>IFERROR(__xludf.DUMMYFUNCTION("""COMPUTED_VALUE"""),0.724310602304998)</f>
        <v>0.7243106023</v>
      </c>
      <c r="D365" s="15">
        <v>572.0</v>
      </c>
      <c r="E365" s="4"/>
      <c r="F365" s="14" t="s">
        <v>1289</v>
      </c>
      <c r="G365" s="17">
        <f>IFERROR(__xludf.DUMMYFUNCTION("SPLIT(F:F, "" "")"),0.217593736468486)</f>
        <v>0.2175937365</v>
      </c>
      <c r="H365" s="4">
        <f>IFERROR(__xludf.DUMMYFUNCTION("""COMPUTED_VALUE"""),0.618172232855567)</f>
        <v>0.6181722329</v>
      </c>
      <c r="I365" s="15">
        <v>1144.0</v>
      </c>
      <c r="J365" s="4"/>
      <c r="K365" s="14" t="s">
        <v>1290</v>
      </c>
      <c r="L365" s="17">
        <f>IFERROR(__xludf.DUMMYFUNCTION("SPLIT(K:K, "" "")"),0.370499627317265)</f>
        <v>0.3704996273</v>
      </c>
      <c r="M365" s="4">
        <f>IFERROR(__xludf.DUMMYFUNCTION("""COMPUTED_VALUE"""),0.629446471060622)</f>
        <v>0.6294464711</v>
      </c>
      <c r="N365" s="15">
        <v>512.0</v>
      </c>
      <c r="O365" s="4"/>
      <c r="P365" s="14" t="s">
        <v>1291</v>
      </c>
      <c r="Q365" s="17">
        <f>IFERROR(__xludf.DUMMYFUNCTION("SPLIT(P:P, "" "")"),0.321028399854855)</f>
        <v>0.3210283999</v>
      </c>
      <c r="R365" s="4">
        <f>IFERROR(__xludf.DUMMYFUNCTION("""COMPUTED_VALUE"""),0.537152004052422)</f>
        <v>0.5371520041</v>
      </c>
      <c r="S365" s="15">
        <v>768.0</v>
      </c>
      <c r="T365" s="4"/>
      <c r="U365" s="4"/>
    </row>
    <row r="366">
      <c r="A366" s="14" t="s">
        <v>1292</v>
      </c>
      <c r="B366" s="4">
        <f>IFERROR(__xludf.DUMMYFUNCTION("SPLIT(A:A, "" "")"),0.283608063212265)</f>
        <v>0.2836080632</v>
      </c>
      <c r="C366" s="4">
        <f>IFERROR(__xludf.DUMMYFUNCTION("""COMPUTED_VALUE"""),0.732575376176826)</f>
        <v>0.7325753762</v>
      </c>
      <c r="D366" s="15">
        <v>576.0</v>
      </c>
      <c r="E366" s="4"/>
      <c r="F366" s="14" t="s">
        <v>1293</v>
      </c>
      <c r="G366" s="17">
        <f>IFERROR(__xludf.DUMMYFUNCTION("SPLIT(F:F, "" "")"),0.213550974477732)</f>
        <v>0.2135509745</v>
      </c>
      <c r="H366" s="4">
        <f>IFERROR(__xludf.DUMMYFUNCTION("""COMPUTED_VALUE"""),0.613153446182168)</f>
        <v>0.6131534462</v>
      </c>
      <c r="I366" s="15">
        <v>1152.0</v>
      </c>
      <c r="J366" s="4"/>
      <c r="K366" s="14" t="s">
        <v>1294</v>
      </c>
      <c r="L366" s="17">
        <f>IFERROR(__xludf.DUMMYFUNCTION("SPLIT(K:K, "" "")"),0.369270369558155)</f>
        <v>0.3692703696</v>
      </c>
      <c r="M366" s="4">
        <f>IFERROR(__xludf.DUMMYFUNCTION("""COMPUTED_VALUE"""),0.632670007928313)</f>
        <v>0.6326700079</v>
      </c>
      <c r="N366" s="15">
        <v>520.0</v>
      </c>
      <c r="O366" s="4"/>
      <c r="P366" s="14" t="s">
        <v>1295</v>
      </c>
      <c r="Q366" s="17">
        <f>IFERROR(__xludf.DUMMYFUNCTION("SPLIT(P:P, "" "")"),0.328197040061164)</f>
        <v>0.3281970401</v>
      </c>
      <c r="R366" s="4">
        <f>IFERROR(__xludf.DUMMYFUNCTION("""COMPUTED_VALUE"""),0.541888945150453)</f>
        <v>0.5418889452</v>
      </c>
      <c r="S366" s="15">
        <v>780.0</v>
      </c>
      <c r="T366" s="4"/>
      <c r="U366" s="4"/>
    </row>
    <row r="367">
      <c r="A367" s="14" t="s">
        <v>1296</v>
      </c>
      <c r="B367" s="4">
        <f>IFERROR(__xludf.DUMMYFUNCTION("SPLIT(A:A, "" "")"),0.27305536386561)</f>
        <v>0.2730553639</v>
      </c>
      <c r="C367" s="4">
        <f>IFERROR(__xludf.DUMMYFUNCTION("""COMPUTED_VALUE"""),0.701809972467404)</f>
        <v>0.7018099725</v>
      </c>
      <c r="D367" s="15">
        <v>580.0</v>
      </c>
      <c r="E367" s="4"/>
      <c r="F367" s="14" t="s">
        <v>1297</v>
      </c>
      <c r="G367" s="17">
        <f>IFERROR(__xludf.DUMMYFUNCTION("SPLIT(F:F, "" "")"),0.209910321690219)</f>
        <v>0.2099103217</v>
      </c>
      <c r="H367" s="4">
        <f>IFERROR(__xludf.DUMMYFUNCTION("""COMPUTED_VALUE"""),0.602791402008663)</f>
        <v>0.602791402</v>
      </c>
      <c r="I367" s="15">
        <v>1160.0</v>
      </c>
      <c r="J367" s="4"/>
      <c r="K367" s="14" t="s">
        <v>1298</v>
      </c>
      <c r="L367" s="17">
        <f>IFERROR(__xludf.DUMMYFUNCTION("SPLIT(K:K, "" "")"),0.380600527416225)</f>
        <v>0.3806005274</v>
      </c>
      <c r="M367" s="4">
        <f>IFERROR(__xludf.DUMMYFUNCTION("""COMPUTED_VALUE"""),0.648242655569422)</f>
        <v>0.6482426556</v>
      </c>
      <c r="N367" s="15">
        <v>528.0</v>
      </c>
      <c r="O367" s="4"/>
      <c r="P367" s="14" t="s">
        <v>1299</v>
      </c>
      <c r="Q367" s="17">
        <f>IFERROR(__xludf.DUMMYFUNCTION("SPLIT(P:P, "" "")"),0.315796506078886)</f>
        <v>0.3157965061</v>
      </c>
      <c r="R367" s="4">
        <f>IFERROR(__xludf.DUMMYFUNCTION("""COMPUTED_VALUE"""),0.528652646909116)</f>
        <v>0.5286526469</v>
      </c>
      <c r="S367" s="15">
        <v>792.0</v>
      </c>
      <c r="T367" s="4"/>
      <c r="U367" s="4"/>
    </row>
    <row r="368">
      <c r="A368" s="14" t="s">
        <v>1300</v>
      </c>
      <c r="B368" s="4">
        <f>IFERROR(__xludf.DUMMYFUNCTION("SPLIT(A:A, "" "")"),0.286741342310955)</f>
        <v>0.2867413423</v>
      </c>
      <c r="C368" s="4">
        <f>IFERROR(__xludf.DUMMYFUNCTION("""COMPUTED_VALUE"""),0.720115502505594)</f>
        <v>0.7201155025</v>
      </c>
      <c r="D368" s="15">
        <v>584.0</v>
      </c>
      <c r="E368" s="4"/>
      <c r="F368" s="14" t="s">
        <v>1301</v>
      </c>
      <c r="G368" s="17">
        <f>IFERROR(__xludf.DUMMYFUNCTION("SPLIT(F:F, "" "")"),0.213855178179344)</f>
        <v>0.2138551782</v>
      </c>
      <c r="H368" s="4">
        <f>IFERROR(__xludf.DUMMYFUNCTION("""COMPUTED_VALUE"""),0.618289706957638)</f>
        <v>0.618289707</v>
      </c>
      <c r="I368" s="15">
        <v>1168.0</v>
      </c>
      <c r="J368" s="4"/>
      <c r="K368" s="14" t="s">
        <v>1302</v>
      </c>
      <c r="L368" s="17">
        <f>IFERROR(__xludf.DUMMYFUNCTION("SPLIT(K:K, "" "")"),0.371806923308246)</f>
        <v>0.3718069233</v>
      </c>
      <c r="M368" s="4">
        <f>IFERROR(__xludf.DUMMYFUNCTION("""COMPUTED_VALUE"""),0.634080660054953)</f>
        <v>0.6340806601</v>
      </c>
      <c r="N368" s="15">
        <v>536.0</v>
      </c>
      <c r="O368" s="4"/>
      <c r="P368" s="14" t="s">
        <v>1303</v>
      </c>
      <c r="Q368" s="17">
        <f>IFERROR(__xludf.DUMMYFUNCTION("SPLIT(P:P, "" "")"),0.312742061168747)</f>
        <v>0.3127420612</v>
      </c>
      <c r="R368" s="4">
        <f>IFERROR(__xludf.DUMMYFUNCTION("""COMPUTED_VALUE"""),0.534440863068167)</f>
        <v>0.5344408631</v>
      </c>
      <c r="S368" s="15">
        <v>804.0</v>
      </c>
      <c r="T368" s="4"/>
      <c r="U368" s="4"/>
    </row>
    <row r="369">
      <c r="A369" s="14" t="s">
        <v>1304</v>
      </c>
      <c r="B369" s="4">
        <f>IFERROR(__xludf.DUMMYFUNCTION("SPLIT(A:A, "" "")"),0.28562632024462)</f>
        <v>0.2856263202</v>
      </c>
      <c r="C369" s="4">
        <f>IFERROR(__xludf.DUMMYFUNCTION("""COMPUTED_VALUE"""),0.71750307884851)</f>
        <v>0.7175030788</v>
      </c>
      <c r="D369" s="15">
        <v>588.0</v>
      </c>
      <c r="E369" s="4"/>
      <c r="F369" s="14" t="s">
        <v>1305</v>
      </c>
      <c r="G369" s="17">
        <f>IFERROR(__xludf.DUMMYFUNCTION("SPLIT(F:F, "" "")"),0.213724607552792)</f>
        <v>0.2137246076</v>
      </c>
      <c r="H369" s="4">
        <f>IFERROR(__xludf.DUMMYFUNCTION("""COMPUTED_VALUE"""),0.609226320865213)</f>
        <v>0.6092263209</v>
      </c>
      <c r="I369" s="15">
        <v>1176.0</v>
      </c>
      <c r="J369" s="4"/>
      <c r="K369" s="14" t="s">
        <v>1306</v>
      </c>
      <c r="L369" s="17">
        <f>IFERROR(__xludf.DUMMYFUNCTION("SPLIT(K:K, "" "")"),0.362737001308081)</f>
        <v>0.3627370013</v>
      </c>
      <c r="M369" s="4">
        <f>IFERROR(__xludf.DUMMYFUNCTION("""COMPUTED_VALUE"""),0.632554137529704)</f>
        <v>0.6325541375</v>
      </c>
      <c r="N369" s="15">
        <v>544.0</v>
      </c>
      <c r="O369" s="4"/>
      <c r="P369" s="14" t="s">
        <v>1307</v>
      </c>
      <c r="Q369" s="17">
        <f>IFERROR(__xludf.DUMMYFUNCTION("SPLIT(P:P, "" "")"),0.315177390880224)</f>
        <v>0.3151773909</v>
      </c>
      <c r="R369" s="4">
        <f>IFERROR(__xludf.DUMMYFUNCTION("""COMPUTED_VALUE"""),0.528539881490216)</f>
        <v>0.5285398815</v>
      </c>
      <c r="S369" s="15">
        <v>816.0</v>
      </c>
      <c r="T369" s="4"/>
      <c r="U369" s="4"/>
    </row>
    <row r="370">
      <c r="A370" s="14" t="s">
        <v>1308</v>
      </c>
      <c r="B370" s="4">
        <f>IFERROR(__xludf.DUMMYFUNCTION("SPLIT(A:A, "" "")"),0.289073671184676)</f>
        <v>0.2890736712</v>
      </c>
      <c r="C370" s="4">
        <f>IFERROR(__xludf.DUMMYFUNCTION("""COMPUTED_VALUE"""),0.745507126023776)</f>
        <v>0.745507126</v>
      </c>
      <c r="D370" s="15">
        <v>592.0</v>
      </c>
      <c r="E370" s="4"/>
      <c r="F370" s="14" t="s">
        <v>1309</v>
      </c>
      <c r="G370" s="17">
        <f>IFERROR(__xludf.DUMMYFUNCTION("SPLIT(F:F, "" "")"),0.217594841501008)</f>
        <v>0.2175948415</v>
      </c>
      <c r="H370" s="4">
        <f>IFERROR(__xludf.DUMMYFUNCTION("""COMPUTED_VALUE"""),0.618579271090504)</f>
        <v>0.6185792711</v>
      </c>
      <c r="I370" s="15">
        <v>1184.0</v>
      </c>
      <c r="J370" s="4"/>
      <c r="K370" s="14" t="s">
        <v>1310</v>
      </c>
      <c r="L370" s="17">
        <f>IFERROR(__xludf.DUMMYFUNCTION("SPLIT(K:K, "" "")"),0.35540920411351)</f>
        <v>0.3554092041</v>
      </c>
      <c r="M370" s="4">
        <f>IFERROR(__xludf.DUMMYFUNCTION("""COMPUTED_VALUE"""),0.628132657439916)</f>
        <v>0.6281326574</v>
      </c>
      <c r="N370" s="15">
        <v>552.0</v>
      </c>
      <c r="O370" s="4"/>
      <c r="P370" s="14" t="s">
        <v>1311</v>
      </c>
      <c r="Q370" s="17">
        <f>IFERROR(__xludf.DUMMYFUNCTION("SPLIT(P:P, "" "")"),0.325886759268111)</f>
        <v>0.3258867593</v>
      </c>
      <c r="R370" s="4">
        <f>IFERROR(__xludf.DUMMYFUNCTION("""COMPUTED_VALUE"""),0.546138286290652)</f>
        <v>0.5461382863</v>
      </c>
      <c r="S370" s="15">
        <v>828.0</v>
      </c>
      <c r="T370" s="4"/>
      <c r="U370" s="4"/>
    </row>
    <row r="371">
      <c r="A371" s="14" t="s">
        <v>1312</v>
      </c>
      <c r="B371" s="4">
        <f>IFERROR(__xludf.DUMMYFUNCTION("SPLIT(A:A, "" "")"),0.275577825463296)</f>
        <v>0.2755778255</v>
      </c>
      <c r="C371" s="4">
        <f>IFERROR(__xludf.DUMMYFUNCTION("""COMPUTED_VALUE"""),0.716144602232078)</f>
        <v>0.7161446022</v>
      </c>
      <c r="D371" s="15">
        <v>596.0</v>
      </c>
      <c r="E371" s="4"/>
      <c r="F371" s="14" t="s">
        <v>1313</v>
      </c>
      <c r="G371" s="17">
        <f>IFERROR(__xludf.DUMMYFUNCTION("SPLIT(F:F, "" "")"),0.221947333774979)</f>
        <v>0.2219473338</v>
      </c>
      <c r="H371" s="4">
        <f>IFERROR(__xludf.DUMMYFUNCTION("""COMPUTED_VALUE"""),0.642972377434775)</f>
        <v>0.6429723774</v>
      </c>
      <c r="I371" s="15">
        <v>1192.0</v>
      </c>
      <c r="J371" s="4"/>
      <c r="K371" s="14" t="s">
        <v>1314</v>
      </c>
      <c r="L371" s="17">
        <f>IFERROR(__xludf.DUMMYFUNCTION("SPLIT(K:K, "" "")"),0.357356093541652)</f>
        <v>0.3573560935</v>
      </c>
      <c r="M371" s="4">
        <f>IFERROR(__xludf.DUMMYFUNCTION("""COMPUTED_VALUE"""),0.635160535258821)</f>
        <v>0.6351605353</v>
      </c>
      <c r="N371" s="15">
        <v>560.0</v>
      </c>
      <c r="O371" s="4"/>
      <c r="P371" s="14" t="s">
        <v>1315</v>
      </c>
      <c r="Q371" s="17">
        <f>IFERROR(__xludf.DUMMYFUNCTION("SPLIT(P:P, "" "")"),0.308778244862682)</f>
        <v>0.3087782449</v>
      </c>
      <c r="R371" s="4">
        <f>IFERROR(__xludf.DUMMYFUNCTION("""COMPUTED_VALUE"""),0.53047411197904)</f>
        <v>0.530474112</v>
      </c>
      <c r="S371" s="15">
        <v>840.0</v>
      </c>
      <c r="T371" s="4"/>
      <c r="U371" s="4"/>
    </row>
    <row r="372">
      <c r="A372" s="14" t="s">
        <v>1316</v>
      </c>
      <c r="B372" s="4">
        <f>IFERROR(__xludf.DUMMYFUNCTION("SPLIT(A:A, "" "")"),0.269729854888483)</f>
        <v>0.2697298549</v>
      </c>
      <c r="C372" s="4">
        <f>IFERROR(__xludf.DUMMYFUNCTION("""COMPUTED_VALUE"""),0.704995947001747)</f>
        <v>0.704995947</v>
      </c>
      <c r="D372" s="15">
        <v>600.0</v>
      </c>
      <c r="E372" s="4"/>
      <c r="F372" s="14" t="s">
        <v>1317</v>
      </c>
      <c r="G372" s="17">
        <f>IFERROR(__xludf.DUMMYFUNCTION("SPLIT(F:F, "" "")"),0.207294108526753)</f>
        <v>0.2072941085</v>
      </c>
      <c r="H372" s="4">
        <f>IFERROR(__xludf.DUMMYFUNCTION("""COMPUTED_VALUE"""),0.627237616940533)</f>
        <v>0.6272376169</v>
      </c>
      <c r="I372" s="15">
        <v>1200.0</v>
      </c>
      <c r="J372" s="4"/>
      <c r="K372" s="14" t="s">
        <v>1318</v>
      </c>
      <c r="L372" s="17">
        <f>IFERROR(__xludf.DUMMYFUNCTION("SPLIT(K:K, "" "")"),0.359837691808308)</f>
        <v>0.3598376918</v>
      </c>
      <c r="M372" s="4">
        <f>IFERROR(__xludf.DUMMYFUNCTION("""COMPUTED_VALUE"""),0.63661482282753)</f>
        <v>0.6366148228</v>
      </c>
      <c r="N372" s="15">
        <v>568.0</v>
      </c>
      <c r="O372" s="4"/>
      <c r="P372" s="14" t="s">
        <v>1319</v>
      </c>
      <c r="Q372" s="17">
        <f>IFERROR(__xludf.DUMMYFUNCTION("SPLIT(P:P, "" "")"),0.323669751084694)</f>
        <v>0.3236697511</v>
      </c>
      <c r="R372" s="4">
        <f>IFERROR(__xludf.DUMMYFUNCTION("""COMPUTED_VALUE"""),0.542518151350455)</f>
        <v>0.5425181514</v>
      </c>
      <c r="S372" s="15">
        <v>852.0</v>
      </c>
      <c r="T372" s="4"/>
      <c r="U372" s="4"/>
    </row>
    <row r="373">
      <c r="A373" s="14" t="s">
        <v>1320</v>
      </c>
      <c r="B373" s="4">
        <f>IFERROR(__xludf.DUMMYFUNCTION("SPLIT(A:A, "" "")"),0.282600824228297)</f>
        <v>0.2826008242</v>
      </c>
      <c r="C373" s="4">
        <f>IFERROR(__xludf.DUMMYFUNCTION("""COMPUTED_VALUE"""),0.727332657722235)</f>
        <v>0.7273326577</v>
      </c>
      <c r="D373" s="15">
        <v>604.0</v>
      </c>
      <c r="E373" s="4"/>
      <c r="F373" s="14" t="s">
        <v>1321</v>
      </c>
      <c r="G373" s="17">
        <f>IFERROR(__xludf.DUMMYFUNCTION("SPLIT(F:F, "" "")"),0.20814474853395)</f>
        <v>0.2081447485</v>
      </c>
      <c r="H373" s="4">
        <f>IFERROR(__xludf.DUMMYFUNCTION("""COMPUTED_VALUE"""),0.608683544958635)</f>
        <v>0.608683545</v>
      </c>
      <c r="I373" s="15">
        <v>1208.0</v>
      </c>
      <c r="J373" s="4"/>
      <c r="K373" s="14" t="s">
        <v>1322</v>
      </c>
      <c r="L373" s="17">
        <f>IFERROR(__xludf.DUMMYFUNCTION("SPLIT(K:K, "" "")"),0.337876162593367)</f>
        <v>0.3378761626</v>
      </c>
      <c r="M373" s="4">
        <f>IFERROR(__xludf.DUMMYFUNCTION("""COMPUTED_VALUE"""),0.614895509501737)</f>
        <v>0.6148955095</v>
      </c>
      <c r="N373" s="15">
        <v>576.0</v>
      </c>
      <c r="O373" s="4"/>
      <c r="P373" s="14" t="s">
        <v>1323</v>
      </c>
      <c r="Q373" s="17">
        <f>IFERROR(__xludf.DUMMYFUNCTION("SPLIT(P:P, "" "")"),0.308176364137586)</f>
        <v>0.3081763641</v>
      </c>
      <c r="R373" s="4">
        <f>IFERROR(__xludf.DUMMYFUNCTION("""COMPUTED_VALUE"""),0.531142814296622)</f>
        <v>0.5311428143</v>
      </c>
      <c r="S373" s="15">
        <v>864.0</v>
      </c>
      <c r="T373" s="4"/>
      <c r="U373" s="4"/>
    </row>
    <row r="374">
      <c r="A374" s="14" t="s">
        <v>1324</v>
      </c>
      <c r="B374" s="4">
        <f>IFERROR(__xludf.DUMMYFUNCTION("SPLIT(A:A, "" "")"),0.270081281039759)</f>
        <v>0.270081281</v>
      </c>
      <c r="C374" s="4">
        <f>IFERROR(__xludf.DUMMYFUNCTION("""COMPUTED_VALUE"""),0.713215509561575)</f>
        <v>0.7132155096</v>
      </c>
      <c r="D374" s="15">
        <v>608.0</v>
      </c>
      <c r="E374" s="4"/>
      <c r="F374" s="14" t="s">
        <v>1325</v>
      </c>
      <c r="G374" s="17">
        <f>IFERROR(__xludf.DUMMYFUNCTION("SPLIT(F:F, "" "")"),0.202881348445985)</f>
        <v>0.2028813484</v>
      </c>
      <c r="H374" s="4">
        <f>IFERROR(__xludf.DUMMYFUNCTION("""COMPUTED_VALUE"""),0.608545808941006)</f>
        <v>0.6085458089</v>
      </c>
      <c r="I374" s="15">
        <v>1216.0</v>
      </c>
      <c r="J374" s="4"/>
      <c r="K374" s="14" t="s">
        <v>1326</v>
      </c>
      <c r="L374" s="17">
        <f>IFERROR(__xludf.DUMMYFUNCTION("SPLIT(K:K, "" "")"),0.344836017802187)</f>
        <v>0.3448360178</v>
      </c>
      <c r="M374" s="4">
        <f>IFERROR(__xludf.DUMMYFUNCTION("""COMPUTED_VALUE"""),0.616406639589213)</f>
        <v>0.6164066396</v>
      </c>
      <c r="N374" s="15">
        <v>584.0</v>
      </c>
      <c r="O374" s="4"/>
      <c r="P374" s="14" t="s">
        <v>1327</v>
      </c>
      <c r="Q374" s="17">
        <f>IFERROR(__xludf.DUMMYFUNCTION("SPLIT(P:P, "" "")"),0.306302447996898)</f>
        <v>0.306302448</v>
      </c>
      <c r="R374" s="4">
        <f>IFERROR(__xludf.DUMMYFUNCTION("""COMPUTED_VALUE"""),0.526651247018377)</f>
        <v>0.526651247</v>
      </c>
      <c r="S374" s="15">
        <v>876.0</v>
      </c>
      <c r="T374" s="4"/>
      <c r="U374" s="4"/>
    </row>
    <row r="375">
      <c r="A375" s="14" t="s">
        <v>1328</v>
      </c>
      <c r="B375" s="4">
        <f>IFERROR(__xludf.DUMMYFUNCTION("SPLIT(A:A, "" "")"),0.282176258789571)</f>
        <v>0.2821762588</v>
      </c>
      <c r="C375" s="4">
        <f>IFERROR(__xludf.DUMMYFUNCTION("""COMPUTED_VALUE"""),0.751538107545123)</f>
        <v>0.7515381075</v>
      </c>
      <c r="D375" s="15">
        <v>612.0</v>
      </c>
      <c r="E375" s="4"/>
      <c r="F375" s="14" t="s">
        <v>1329</v>
      </c>
      <c r="G375" s="17">
        <f>IFERROR(__xludf.DUMMYFUNCTION("SPLIT(F:F, "" "")"),0.203679230520606)</f>
        <v>0.2036792305</v>
      </c>
      <c r="H375" s="4">
        <f>IFERROR(__xludf.DUMMYFUNCTION("""COMPUTED_VALUE"""),0.610026160508749)</f>
        <v>0.6100261605</v>
      </c>
      <c r="I375" s="15">
        <v>1224.0</v>
      </c>
      <c r="J375" s="4"/>
      <c r="K375" s="14" t="s">
        <v>1330</v>
      </c>
      <c r="L375" s="17">
        <f>IFERROR(__xludf.DUMMYFUNCTION("SPLIT(K:K, "" "")"),0.354087362307966)</f>
        <v>0.3540873623</v>
      </c>
      <c r="M375" s="4">
        <f>IFERROR(__xludf.DUMMYFUNCTION("""COMPUTED_VALUE"""),0.624370781540787)</f>
        <v>0.6243707815</v>
      </c>
      <c r="N375" s="15">
        <v>592.0</v>
      </c>
      <c r="O375" s="4"/>
      <c r="P375" s="14" t="s">
        <v>1331</v>
      </c>
      <c r="Q375" s="17">
        <f>IFERROR(__xludf.DUMMYFUNCTION("SPLIT(P:P, "" "")"),0.300806990393132)</f>
        <v>0.3008069904</v>
      </c>
      <c r="R375" s="4">
        <f>IFERROR(__xludf.DUMMYFUNCTION("""COMPUTED_VALUE"""),0.521919179182425)</f>
        <v>0.5219191792</v>
      </c>
      <c r="S375" s="15">
        <v>888.0</v>
      </c>
      <c r="T375" s="4"/>
      <c r="U375" s="4"/>
    </row>
    <row r="376">
      <c r="A376" s="14" t="s">
        <v>1332</v>
      </c>
      <c r="B376" s="4">
        <f>IFERROR(__xludf.DUMMYFUNCTION("SPLIT(A:A, "" "")"),0.268628257575286)</f>
        <v>0.2686282576</v>
      </c>
      <c r="C376" s="4">
        <f>IFERROR(__xludf.DUMMYFUNCTION("""COMPUTED_VALUE"""),0.725407553607377)</f>
        <v>0.7254075536</v>
      </c>
      <c r="D376" s="15">
        <v>616.0</v>
      </c>
      <c r="E376" s="4"/>
      <c r="F376" s="14" t="s">
        <v>1333</v>
      </c>
      <c r="G376" s="17">
        <f>IFERROR(__xludf.DUMMYFUNCTION("SPLIT(F:F, "" "")"),0.202238246198765)</f>
        <v>0.2022382462</v>
      </c>
      <c r="H376" s="4">
        <f>IFERROR(__xludf.DUMMYFUNCTION("""COMPUTED_VALUE"""),0.610107134945552)</f>
        <v>0.6101071349</v>
      </c>
      <c r="I376" s="15">
        <v>1232.0</v>
      </c>
      <c r="J376" s="4"/>
      <c r="K376" s="14" t="s">
        <v>1334</v>
      </c>
      <c r="L376" s="17">
        <f>IFERROR(__xludf.DUMMYFUNCTION("SPLIT(K:K, "" "")"),0.35264677137737)</f>
        <v>0.3526467714</v>
      </c>
      <c r="M376" s="4">
        <f>IFERROR(__xludf.DUMMYFUNCTION("""COMPUTED_VALUE"""),0.636439080431922)</f>
        <v>0.6364390804</v>
      </c>
      <c r="N376" s="15">
        <v>600.0</v>
      </c>
      <c r="O376" s="4"/>
      <c r="P376" s="14" t="s">
        <v>1335</v>
      </c>
      <c r="Q376" s="17">
        <f>IFERROR(__xludf.DUMMYFUNCTION("SPLIT(P:P, "" "")"),0.315473600488759)</f>
        <v>0.3154736005</v>
      </c>
      <c r="R376" s="4">
        <f>IFERROR(__xludf.DUMMYFUNCTION("""COMPUTED_VALUE"""),0.535018607347155)</f>
        <v>0.5350186073</v>
      </c>
      <c r="S376" s="15">
        <v>900.0</v>
      </c>
      <c r="T376" s="4"/>
      <c r="U376" s="4"/>
    </row>
    <row r="377">
      <c r="A377" s="14" t="s">
        <v>1336</v>
      </c>
      <c r="B377" s="4">
        <f>IFERROR(__xludf.DUMMYFUNCTION("SPLIT(A:A, "" "")"),0.265086330770316)</f>
        <v>0.2650863308</v>
      </c>
      <c r="C377" s="4">
        <f>IFERROR(__xludf.DUMMYFUNCTION("""COMPUTED_VALUE"""),0.717924566159596)</f>
        <v>0.7179245662</v>
      </c>
      <c r="D377" s="15">
        <v>620.0</v>
      </c>
      <c r="E377" s="4"/>
      <c r="F377" s="14" t="s">
        <v>1337</v>
      </c>
      <c r="G377" s="17">
        <f>IFERROR(__xludf.DUMMYFUNCTION("SPLIT(F:F, "" "")"),0.222690340264503)</f>
        <v>0.2226903403</v>
      </c>
      <c r="H377" s="4">
        <f>IFERROR(__xludf.DUMMYFUNCTION("""COMPUTED_VALUE"""),0.63656842010722)</f>
        <v>0.6365684201</v>
      </c>
      <c r="I377" s="15">
        <v>1240.0</v>
      </c>
      <c r="J377" s="4"/>
      <c r="K377" s="14" t="s">
        <v>1338</v>
      </c>
      <c r="L377" s="17">
        <f>IFERROR(__xludf.DUMMYFUNCTION("SPLIT(K:K, "" "")"),0.339679577973945)</f>
        <v>0.339679578</v>
      </c>
      <c r="M377" s="4">
        <f>IFERROR(__xludf.DUMMYFUNCTION("""COMPUTED_VALUE"""),0.61087813799123)</f>
        <v>0.610878138</v>
      </c>
      <c r="N377" s="15">
        <v>608.0</v>
      </c>
      <c r="O377" s="4"/>
      <c r="P377" s="14" t="s">
        <v>1339</v>
      </c>
      <c r="Q377" s="17">
        <f>IFERROR(__xludf.DUMMYFUNCTION("SPLIT(P:P, "" "")"),0.294141882275212)</f>
        <v>0.2941418823</v>
      </c>
      <c r="R377" s="4">
        <f>IFERROR(__xludf.DUMMYFUNCTION("""COMPUTED_VALUE"""),0.517196426544988)</f>
        <v>0.5171964265</v>
      </c>
      <c r="S377" s="15">
        <v>912.0</v>
      </c>
      <c r="T377" s="4"/>
      <c r="U377" s="4"/>
    </row>
    <row r="378">
      <c r="A378" s="14" t="s">
        <v>1340</v>
      </c>
      <c r="B378" s="4">
        <f>IFERROR(__xludf.DUMMYFUNCTION("SPLIT(A:A, "" "")"),0.263668578671103)</f>
        <v>0.2636685787</v>
      </c>
      <c r="C378" s="4">
        <f>IFERROR(__xludf.DUMMYFUNCTION("""COMPUTED_VALUE"""),0.713110637823051)</f>
        <v>0.7131106378</v>
      </c>
      <c r="D378" s="15">
        <v>624.0</v>
      </c>
      <c r="E378" s="4"/>
      <c r="F378" s="14" t="s">
        <v>1341</v>
      </c>
      <c r="G378" s="17">
        <f>IFERROR(__xludf.DUMMYFUNCTION("SPLIT(F:F, "" "")"),0.209674849862956)</f>
        <v>0.2096748499</v>
      </c>
      <c r="H378" s="4">
        <f>IFERROR(__xludf.DUMMYFUNCTION("""COMPUTED_VALUE"""),0.608687234860148)</f>
        <v>0.6086872349</v>
      </c>
      <c r="I378" s="15">
        <v>1248.0</v>
      </c>
      <c r="J378" s="4"/>
      <c r="K378" s="14" t="s">
        <v>1342</v>
      </c>
      <c r="L378" s="17">
        <f>IFERROR(__xludf.DUMMYFUNCTION("SPLIT(K:K, "" "")"),0.339393317747183)</f>
        <v>0.3393933177</v>
      </c>
      <c r="M378" s="4">
        <f>IFERROR(__xludf.DUMMYFUNCTION("""COMPUTED_VALUE"""),0.612574155688897)</f>
        <v>0.6125741557</v>
      </c>
      <c r="N378" s="15">
        <v>616.0</v>
      </c>
      <c r="O378" s="4"/>
      <c r="P378" s="14" t="s">
        <v>1343</v>
      </c>
      <c r="Q378" s="17">
        <f>IFERROR(__xludf.DUMMYFUNCTION("SPLIT(P:P, "" "")"),0.288412144390491)</f>
        <v>0.2884121444</v>
      </c>
      <c r="R378" s="4">
        <f>IFERROR(__xludf.DUMMYFUNCTION("""COMPUTED_VALUE"""),0.508294858717325)</f>
        <v>0.5082948587</v>
      </c>
      <c r="S378" s="15">
        <v>924.0</v>
      </c>
      <c r="T378" s="4"/>
      <c r="U378" s="4"/>
    </row>
    <row r="379">
      <c r="A379" s="14" t="s">
        <v>1344</v>
      </c>
      <c r="B379" s="4">
        <f>IFERROR(__xludf.DUMMYFUNCTION("SPLIT(A:A, "" "")"),0.271849746843896)</f>
        <v>0.2718497468</v>
      </c>
      <c r="C379" s="4">
        <f>IFERROR(__xludf.DUMMYFUNCTION("""COMPUTED_VALUE"""),0.706566768406861)</f>
        <v>0.7065667684</v>
      </c>
      <c r="D379" s="15">
        <v>628.0</v>
      </c>
      <c r="E379" s="4"/>
      <c r="F379" s="14" t="s">
        <v>1345</v>
      </c>
      <c r="G379" s="17">
        <f>IFERROR(__xludf.DUMMYFUNCTION("SPLIT(F:F, "" "")"),0.200611297913829)</f>
        <v>0.2006112979</v>
      </c>
      <c r="H379" s="4">
        <f>IFERROR(__xludf.DUMMYFUNCTION("""COMPUTED_VALUE"""),0.606932826187369)</f>
        <v>0.6069328262</v>
      </c>
      <c r="I379" s="15">
        <v>1256.0</v>
      </c>
      <c r="J379" s="4"/>
      <c r="K379" s="14" t="s">
        <v>1346</v>
      </c>
      <c r="L379" s="17">
        <f>IFERROR(__xludf.DUMMYFUNCTION("SPLIT(K:K, "" "")"),0.339388313514258)</f>
        <v>0.3393883135</v>
      </c>
      <c r="M379" s="4">
        <f>IFERROR(__xludf.DUMMYFUNCTION("""COMPUTED_VALUE"""),0.614910299960139)</f>
        <v>0.6149103</v>
      </c>
      <c r="N379" s="15">
        <v>624.0</v>
      </c>
      <c r="O379" s="4"/>
      <c r="P379" s="14" t="s">
        <v>1347</v>
      </c>
      <c r="Q379" s="17">
        <f>IFERROR(__xludf.DUMMYFUNCTION("SPLIT(P:P, "" "")"),0.295141530115059)</f>
        <v>0.2951415301</v>
      </c>
      <c r="R379" s="4">
        <f>IFERROR(__xludf.DUMMYFUNCTION("""COMPUTED_VALUE"""),0.512554809350616)</f>
        <v>0.5125548094</v>
      </c>
      <c r="S379" s="15">
        <v>936.0</v>
      </c>
      <c r="T379" s="4"/>
      <c r="U379" s="4"/>
    </row>
    <row r="380">
      <c r="A380" s="14" t="s">
        <v>1348</v>
      </c>
      <c r="B380" s="4">
        <f>IFERROR(__xludf.DUMMYFUNCTION("SPLIT(A:A, "" "")"),0.272156024406678)</f>
        <v>0.2721560244</v>
      </c>
      <c r="C380" s="4">
        <f>IFERROR(__xludf.DUMMYFUNCTION("""COMPUTED_VALUE"""),0.741410314452051)</f>
        <v>0.7414103145</v>
      </c>
      <c r="D380" s="15">
        <v>632.0</v>
      </c>
      <c r="E380" s="4"/>
      <c r="F380" s="14" t="s">
        <v>1349</v>
      </c>
      <c r="G380" s="17">
        <f>IFERROR(__xludf.DUMMYFUNCTION("SPLIT(F:F, "" "")"),0.218195426686277)</f>
        <v>0.2181954267</v>
      </c>
      <c r="H380" s="4">
        <f>IFERROR(__xludf.DUMMYFUNCTION("""COMPUTED_VALUE"""),0.630720199820156)</f>
        <v>0.6307201998</v>
      </c>
      <c r="I380" s="15">
        <v>1264.0</v>
      </c>
      <c r="J380" s="4"/>
      <c r="K380" s="14" t="s">
        <v>1350</v>
      </c>
      <c r="L380" s="17">
        <f>IFERROR(__xludf.DUMMYFUNCTION("SPLIT(K:K, "" "")"),0.333671602404127)</f>
        <v>0.3336716024</v>
      </c>
      <c r="M380" s="4">
        <f>IFERROR(__xludf.DUMMYFUNCTION("""COMPUTED_VALUE"""),0.608347283938145)</f>
        <v>0.6083472839</v>
      </c>
      <c r="N380" s="15">
        <v>632.0</v>
      </c>
      <c r="O380" s="4"/>
      <c r="P380" s="14" t="s">
        <v>1351</v>
      </c>
      <c r="Q380" s="17">
        <f>IFERROR(__xludf.DUMMYFUNCTION("SPLIT(P:P, "" "")"),0.294303156812654)</f>
        <v>0.2943031568</v>
      </c>
      <c r="R380" s="4">
        <f>IFERROR(__xludf.DUMMYFUNCTION("""COMPUTED_VALUE"""),0.520403006858936)</f>
        <v>0.5204030069</v>
      </c>
      <c r="S380" s="15">
        <v>948.0</v>
      </c>
      <c r="T380" s="4"/>
      <c r="U380" s="4"/>
    </row>
    <row r="381">
      <c r="A381" s="14" t="s">
        <v>1352</v>
      </c>
      <c r="B381" s="4">
        <f>IFERROR(__xludf.DUMMYFUNCTION("SPLIT(A:A, "" "")"),0.27029013295256)</f>
        <v>0.270290133</v>
      </c>
      <c r="C381" s="4">
        <f>IFERROR(__xludf.DUMMYFUNCTION("""COMPUTED_VALUE"""),0.713901001156505)</f>
        <v>0.7139010012</v>
      </c>
      <c r="D381" s="15">
        <v>636.0</v>
      </c>
      <c r="E381" s="4"/>
      <c r="F381" s="14" t="s">
        <v>1353</v>
      </c>
      <c r="G381" s="17">
        <f>IFERROR(__xludf.DUMMYFUNCTION("SPLIT(F:F, "" "")"),0.201513364910611)</f>
        <v>0.2015133649</v>
      </c>
      <c r="H381" s="4">
        <f>IFERROR(__xludf.DUMMYFUNCTION("""COMPUTED_VALUE"""),0.608871312438847)</f>
        <v>0.6088713124</v>
      </c>
      <c r="I381" s="15">
        <v>1272.0</v>
      </c>
      <c r="J381" s="4"/>
      <c r="K381" s="14" t="s">
        <v>1354</v>
      </c>
      <c r="L381" s="17">
        <f>IFERROR(__xludf.DUMMYFUNCTION("SPLIT(K:K, "" "")"),0.339066033661271)</f>
        <v>0.3390660337</v>
      </c>
      <c r="M381" s="4">
        <f>IFERROR(__xludf.DUMMYFUNCTION("""COMPUTED_VALUE"""),0.622111381647094)</f>
        <v>0.6221113816</v>
      </c>
      <c r="N381" s="15">
        <v>640.0</v>
      </c>
      <c r="O381" s="4"/>
      <c r="P381" s="14" t="s">
        <v>1355</v>
      </c>
      <c r="Q381" s="17">
        <f>IFERROR(__xludf.DUMMYFUNCTION("SPLIT(P:P, "" "")"),0.290457028479992)</f>
        <v>0.2904570285</v>
      </c>
      <c r="R381" s="4">
        <f>IFERROR(__xludf.DUMMYFUNCTION("""COMPUTED_VALUE"""),0.520454114864128)</f>
        <v>0.5204541149</v>
      </c>
      <c r="S381" s="15">
        <v>960.0</v>
      </c>
      <c r="T381" s="4"/>
      <c r="U381" s="4"/>
    </row>
    <row r="382">
      <c r="A382" s="14" t="s">
        <v>1356</v>
      </c>
      <c r="B382" s="4">
        <f>IFERROR(__xludf.DUMMYFUNCTION("SPLIT(A:A, "" "")"),0.275167086736043)</f>
        <v>0.2751670867</v>
      </c>
      <c r="C382" s="4">
        <f>IFERROR(__xludf.DUMMYFUNCTION("""COMPUTED_VALUE"""),0.738250254206221)</f>
        <v>0.7382502542</v>
      </c>
      <c r="D382" s="15">
        <v>640.0</v>
      </c>
      <c r="E382" s="4"/>
      <c r="F382" s="14" t="s">
        <v>1357</v>
      </c>
      <c r="G382" s="17">
        <f>IFERROR(__xludf.DUMMYFUNCTION("SPLIT(F:F, "" "")"),0.200108394674718)</f>
        <v>0.2001083947</v>
      </c>
      <c r="H382" s="4">
        <f>IFERROR(__xludf.DUMMYFUNCTION("""COMPUTED_VALUE"""),0.604072617150355)</f>
        <v>0.6040726172</v>
      </c>
      <c r="I382" s="15">
        <v>1280.0</v>
      </c>
      <c r="J382" s="4"/>
      <c r="K382" s="14" t="s">
        <v>1358</v>
      </c>
      <c r="L382" s="17">
        <f>IFERROR(__xludf.DUMMYFUNCTION("SPLIT(K:K, "" "")"),0.329118125278884)</f>
        <v>0.3291181253</v>
      </c>
      <c r="M382" s="4">
        <f>IFERROR(__xludf.DUMMYFUNCTION("""COMPUTED_VALUE"""),0.603450942609172)</f>
        <v>0.6034509426</v>
      </c>
      <c r="N382" s="15">
        <v>648.0</v>
      </c>
      <c r="O382" s="4"/>
      <c r="P382" s="14" t="s">
        <v>1359</v>
      </c>
      <c r="Q382" s="17">
        <f>IFERROR(__xludf.DUMMYFUNCTION("SPLIT(P:P, "" "")"),0.296691744565187)</f>
        <v>0.2966917446</v>
      </c>
      <c r="R382" s="4">
        <f>IFERROR(__xludf.DUMMYFUNCTION("""COMPUTED_VALUE"""),0.53501721033041)</f>
        <v>0.5350172103</v>
      </c>
      <c r="S382" s="15">
        <v>972.0</v>
      </c>
      <c r="T382" s="4"/>
      <c r="U382" s="4"/>
    </row>
    <row r="383">
      <c r="A383" s="14" t="s">
        <v>1360</v>
      </c>
      <c r="B383" s="4">
        <f>IFERROR(__xludf.DUMMYFUNCTION("SPLIT(A:A, "" "")"),0.269700231520651)</f>
        <v>0.2697002315</v>
      </c>
      <c r="C383" s="4">
        <f>IFERROR(__xludf.DUMMYFUNCTION("""COMPUTED_VALUE"""),0.736967366744986)</f>
        <v>0.7369673667</v>
      </c>
      <c r="D383" s="15">
        <v>644.0</v>
      </c>
      <c r="E383" s="4"/>
      <c r="F383" s="14" t="s">
        <v>1361</v>
      </c>
      <c r="G383" s="17">
        <f>IFERROR(__xludf.DUMMYFUNCTION("SPLIT(F:F, "" "")"),0.193060650695998)</f>
        <v>0.1930606507</v>
      </c>
      <c r="H383" s="4">
        <f>IFERROR(__xludf.DUMMYFUNCTION("""COMPUTED_VALUE"""),0.596505308237948)</f>
        <v>0.5965053082</v>
      </c>
      <c r="I383" s="15">
        <v>1288.0</v>
      </c>
      <c r="J383" s="4"/>
      <c r="K383" s="14" t="s">
        <v>1362</v>
      </c>
      <c r="L383" s="17">
        <f>IFERROR(__xludf.DUMMYFUNCTION("SPLIT(K:K, "" "")"),0.326399014384424)</f>
        <v>0.3263990144</v>
      </c>
      <c r="M383" s="4">
        <f>IFERROR(__xludf.DUMMYFUNCTION("""COMPUTED_VALUE"""),0.59751623291673)</f>
        <v>0.5975162329</v>
      </c>
      <c r="N383" s="15">
        <v>656.0</v>
      </c>
      <c r="O383" s="4"/>
      <c r="P383" s="14" t="s">
        <v>1363</v>
      </c>
      <c r="Q383" s="17">
        <f>IFERROR(__xludf.DUMMYFUNCTION("SPLIT(P:P, "" "")"),0.292900828482081)</f>
        <v>0.2929008285</v>
      </c>
      <c r="R383" s="4">
        <f>IFERROR(__xludf.DUMMYFUNCTION("""COMPUTED_VALUE"""),0.524058305002395)</f>
        <v>0.524058305</v>
      </c>
      <c r="S383" s="15">
        <v>984.0</v>
      </c>
      <c r="T383" s="4"/>
      <c r="U383" s="4"/>
    </row>
    <row r="384">
      <c r="A384" s="14" t="s">
        <v>1364</v>
      </c>
      <c r="B384" s="4">
        <f>IFERROR(__xludf.DUMMYFUNCTION("SPLIT(A:A, "" "")"),0.27315210116815)</f>
        <v>0.2731521012</v>
      </c>
      <c r="C384" s="4">
        <f>IFERROR(__xludf.DUMMYFUNCTION("""COMPUTED_VALUE"""),0.735038305932442)</f>
        <v>0.7350383059</v>
      </c>
      <c r="D384" s="15">
        <v>648.0</v>
      </c>
      <c r="E384" s="4"/>
      <c r="F384" s="14" t="s">
        <v>1365</v>
      </c>
      <c r="G384" s="17">
        <f>IFERROR(__xludf.DUMMYFUNCTION("SPLIT(F:F, "" "")"),0.202182891059441)</f>
        <v>0.2021828911</v>
      </c>
      <c r="H384" s="4">
        <f>IFERROR(__xludf.DUMMYFUNCTION("""COMPUTED_VALUE"""),0.618077212975856)</f>
        <v>0.618077213</v>
      </c>
      <c r="I384" s="15">
        <v>1296.0</v>
      </c>
      <c r="J384" s="4"/>
      <c r="K384" s="14" t="s">
        <v>1366</v>
      </c>
      <c r="L384" s="17">
        <f>IFERROR(__xludf.DUMMYFUNCTION("SPLIT(K:K, "" "")"),0.324256773010106)</f>
        <v>0.324256773</v>
      </c>
      <c r="M384" s="4">
        <f>IFERROR(__xludf.DUMMYFUNCTION("""COMPUTED_VALUE"""),0.608761137910114)</f>
        <v>0.6087611379</v>
      </c>
      <c r="N384" s="15">
        <v>664.0</v>
      </c>
      <c r="O384" s="4"/>
      <c r="P384" s="14" t="s">
        <v>1367</v>
      </c>
      <c r="Q384" s="17">
        <f>IFERROR(__xludf.DUMMYFUNCTION("SPLIT(P:P, "" "")"),0.289521642983607)</f>
        <v>0.289521643</v>
      </c>
      <c r="R384" s="4">
        <f>IFERROR(__xludf.DUMMYFUNCTION("""COMPUTED_VALUE"""),0.516601744970133)</f>
        <v>0.516601745</v>
      </c>
      <c r="S384" s="15">
        <v>996.0</v>
      </c>
      <c r="T384" s="4"/>
      <c r="U384" s="4"/>
    </row>
    <row r="385">
      <c r="A385" s="14" t="s">
        <v>1368</v>
      </c>
      <c r="B385" s="4">
        <f>IFERROR(__xludf.DUMMYFUNCTION("SPLIT(A:A, "" "")"),0.263081590281386)</f>
        <v>0.2630815903</v>
      </c>
      <c r="C385" s="4">
        <f>IFERROR(__xludf.DUMMYFUNCTION("""COMPUTED_VALUE"""),0.717978704214404)</f>
        <v>0.7179787042</v>
      </c>
      <c r="D385" s="15">
        <v>652.0</v>
      </c>
      <c r="E385" s="4"/>
      <c r="F385" s="14" t="s">
        <v>1369</v>
      </c>
      <c r="G385" s="17">
        <f>IFERROR(__xludf.DUMMYFUNCTION("SPLIT(F:F, "" "")"),0.196236122984969)</f>
        <v>0.196236123</v>
      </c>
      <c r="H385" s="4">
        <f>IFERROR(__xludf.DUMMYFUNCTION("""COMPUTED_VALUE"""),0.60869539342792)</f>
        <v>0.6086953934</v>
      </c>
      <c r="I385" s="15">
        <v>1304.0</v>
      </c>
      <c r="J385" s="4"/>
      <c r="K385" s="14" t="s">
        <v>1370</v>
      </c>
      <c r="L385" s="17">
        <f>IFERROR(__xludf.DUMMYFUNCTION("SPLIT(K:K, "" "")"),0.325300499400067)</f>
        <v>0.3253004994</v>
      </c>
      <c r="M385" s="4">
        <f>IFERROR(__xludf.DUMMYFUNCTION("""COMPUTED_VALUE"""),0.592754455871738)</f>
        <v>0.5927544559</v>
      </c>
      <c r="N385" s="15">
        <v>672.0</v>
      </c>
      <c r="O385" s="4"/>
      <c r="P385" s="14" t="s">
        <v>1371</v>
      </c>
      <c r="Q385" s="17">
        <f>IFERROR(__xludf.DUMMYFUNCTION("SPLIT(P:P, "" "")"),0.293017388116901)</f>
        <v>0.2930173881</v>
      </c>
      <c r="R385" s="4">
        <f>IFERROR(__xludf.DUMMYFUNCTION("""COMPUTED_VALUE"""),0.522840822915992)</f>
        <v>0.5228408229</v>
      </c>
      <c r="S385" s="15">
        <v>1008.0</v>
      </c>
      <c r="T385" s="4"/>
      <c r="U385" s="4"/>
    </row>
    <row r="386">
      <c r="A386" s="14" t="s">
        <v>1372</v>
      </c>
      <c r="B386" s="4">
        <f>IFERROR(__xludf.DUMMYFUNCTION("SPLIT(A:A, "" "")"),0.273501084193529)</f>
        <v>0.2735010842</v>
      </c>
      <c r="C386" s="4">
        <f>IFERROR(__xludf.DUMMYFUNCTION("""COMPUTED_VALUE"""),0.72274134504055)</f>
        <v>0.722741345</v>
      </c>
      <c r="D386" s="15">
        <v>656.0</v>
      </c>
      <c r="E386" s="4"/>
      <c r="F386" s="14" t="s">
        <v>1373</v>
      </c>
      <c r="G386" s="17">
        <f>IFERROR(__xludf.DUMMYFUNCTION("SPLIT(F:F, "" "")"),0.203414194984715)</f>
        <v>0.203414195</v>
      </c>
      <c r="H386" s="4">
        <f>IFERROR(__xludf.DUMMYFUNCTION("""COMPUTED_VALUE"""),0.619964009668359)</f>
        <v>0.6199640097</v>
      </c>
      <c r="I386" s="15">
        <v>1312.0</v>
      </c>
      <c r="J386" s="4"/>
      <c r="K386" s="14" t="s">
        <v>1374</v>
      </c>
      <c r="L386" s="17">
        <f>IFERROR(__xludf.DUMMYFUNCTION("SPLIT(K:K, "" "")"),0.345683019098146)</f>
        <v>0.3456830191</v>
      </c>
      <c r="M386" s="4">
        <f>IFERROR(__xludf.DUMMYFUNCTION("""COMPUTED_VALUE"""),0.635688223620674)</f>
        <v>0.6356882236</v>
      </c>
      <c r="N386" s="15">
        <v>680.0</v>
      </c>
      <c r="O386" s="4"/>
      <c r="P386" s="14" t="s">
        <v>1375</v>
      </c>
      <c r="Q386" s="17">
        <f>IFERROR(__xludf.DUMMYFUNCTION("SPLIT(P:P, "" "")"),0.288646946177973)</f>
        <v>0.2886469462</v>
      </c>
      <c r="R386" s="4">
        <f>IFERROR(__xludf.DUMMYFUNCTION("""COMPUTED_VALUE"""),0.518084505710957)</f>
        <v>0.5180845057</v>
      </c>
      <c r="S386" s="15">
        <v>1020.0</v>
      </c>
      <c r="T386" s="4"/>
      <c r="U386" s="4"/>
    </row>
    <row r="387">
      <c r="A387" s="14" t="s">
        <v>1376</v>
      </c>
      <c r="B387" s="4">
        <f>IFERROR(__xludf.DUMMYFUNCTION("SPLIT(A:A, "" "")"),0.255241138241031)</f>
        <v>0.2552411382</v>
      </c>
      <c r="C387" s="4">
        <f>IFERROR(__xludf.DUMMYFUNCTION("""COMPUTED_VALUE"""),0.711497720851067)</f>
        <v>0.7114977209</v>
      </c>
      <c r="D387" s="15">
        <v>660.0</v>
      </c>
      <c r="E387" s="4"/>
      <c r="F387" s="14" t="s">
        <v>1377</v>
      </c>
      <c r="G387" s="17">
        <f>IFERROR(__xludf.DUMMYFUNCTION("SPLIT(F:F, "" "")"),0.195433687191283)</f>
        <v>0.1954336872</v>
      </c>
      <c r="H387" s="4">
        <f>IFERROR(__xludf.DUMMYFUNCTION("""COMPUTED_VALUE"""),0.607415971809535)</f>
        <v>0.6074159718</v>
      </c>
      <c r="I387" s="15">
        <v>1320.0</v>
      </c>
      <c r="J387" s="4"/>
      <c r="K387" s="14" t="s">
        <v>1378</v>
      </c>
      <c r="L387" s="17">
        <f>IFERROR(__xludf.DUMMYFUNCTION("SPLIT(K:K, "" "")"),0.326197728371447)</f>
        <v>0.3261977284</v>
      </c>
      <c r="M387" s="4">
        <f>IFERROR(__xludf.DUMMYFUNCTION("""COMPUTED_VALUE"""),0.606146887347996)</f>
        <v>0.6061468873</v>
      </c>
      <c r="N387" s="15">
        <v>688.0</v>
      </c>
      <c r="O387" s="4"/>
      <c r="P387" s="14" t="s">
        <v>1379</v>
      </c>
      <c r="Q387" s="17">
        <f>IFERROR(__xludf.DUMMYFUNCTION("SPLIT(P:P, "" "")"),0.275457412451674)</f>
        <v>0.2754574125</v>
      </c>
      <c r="R387" s="4">
        <f>IFERROR(__xludf.DUMMYFUNCTION("""COMPUTED_VALUE"""),0.507106027102972)</f>
        <v>0.5071060271</v>
      </c>
      <c r="S387" s="15">
        <v>1032.0</v>
      </c>
      <c r="T387" s="4"/>
      <c r="U387" s="4"/>
    </row>
    <row r="388">
      <c r="A388" s="14" t="s">
        <v>1380</v>
      </c>
      <c r="B388" s="4">
        <f>IFERROR(__xludf.DUMMYFUNCTION("SPLIT(A:A, "" "")"),0.259081987177573)</f>
        <v>0.2590819872</v>
      </c>
      <c r="C388" s="4">
        <f>IFERROR(__xludf.DUMMYFUNCTION("""COMPUTED_VALUE"""),0.727131929746622)</f>
        <v>0.7271319297</v>
      </c>
      <c r="D388" s="15">
        <v>664.0</v>
      </c>
      <c r="E388" s="4"/>
      <c r="F388" s="14" t="s">
        <v>1381</v>
      </c>
      <c r="G388" s="17">
        <f>IFERROR(__xludf.DUMMYFUNCTION("SPLIT(F:F, "" "")"),0.199909726478049)</f>
        <v>0.1999097265</v>
      </c>
      <c r="H388" s="4">
        <f>IFERROR(__xludf.DUMMYFUNCTION("""COMPUTED_VALUE"""),0.621176400485771)</f>
        <v>0.6211764005</v>
      </c>
      <c r="I388" s="15">
        <v>1328.0</v>
      </c>
      <c r="J388" s="4"/>
      <c r="K388" s="14" t="s">
        <v>1382</v>
      </c>
      <c r="L388" s="17">
        <f>IFERROR(__xludf.DUMMYFUNCTION("SPLIT(K:K, "" "")"),0.312056722207605)</f>
        <v>0.3120567222</v>
      </c>
      <c r="M388" s="4">
        <f>IFERROR(__xludf.DUMMYFUNCTION("""COMPUTED_VALUE"""),0.596174774581171)</f>
        <v>0.5961747746</v>
      </c>
      <c r="N388" s="15">
        <v>696.0</v>
      </c>
      <c r="O388" s="4"/>
      <c r="P388" s="14" t="s">
        <v>1383</v>
      </c>
      <c r="Q388" s="17">
        <f>IFERROR(__xludf.DUMMYFUNCTION("SPLIT(P:P, "" "")"),0.276430266719493)</f>
        <v>0.2764302667</v>
      </c>
      <c r="R388" s="4">
        <f>IFERROR(__xludf.DUMMYFUNCTION("""COMPUTED_VALUE"""),0.505050141724884)</f>
        <v>0.5050501417</v>
      </c>
      <c r="S388" s="15">
        <v>1044.0</v>
      </c>
      <c r="T388" s="4"/>
      <c r="U388" s="4"/>
    </row>
    <row r="389">
      <c r="A389" s="14" t="s">
        <v>1384</v>
      </c>
      <c r="B389" s="4">
        <f>IFERROR(__xludf.DUMMYFUNCTION("SPLIT(A:A, "" "")"),0.254497479908722)</f>
        <v>0.2544974799</v>
      </c>
      <c r="C389" s="4">
        <f>IFERROR(__xludf.DUMMYFUNCTION("""COMPUTED_VALUE"""),0.730290908706137)</f>
        <v>0.7302909087</v>
      </c>
      <c r="D389" s="15">
        <v>668.0</v>
      </c>
      <c r="E389" s="4"/>
      <c r="F389" s="14" t="s">
        <v>1385</v>
      </c>
      <c r="G389" s="17">
        <f>IFERROR(__xludf.DUMMYFUNCTION("SPLIT(F:F, "" "")"),0.191654899063765)</f>
        <v>0.1916548991</v>
      </c>
      <c r="H389" s="4">
        <f>IFERROR(__xludf.DUMMYFUNCTION("""COMPUTED_VALUE"""),0.602012041826736)</f>
        <v>0.6020120418</v>
      </c>
      <c r="I389" s="15">
        <v>1336.0</v>
      </c>
      <c r="J389" s="4"/>
      <c r="K389" s="14" t="s">
        <v>1386</v>
      </c>
      <c r="L389" s="17">
        <f>IFERROR(__xludf.DUMMYFUNCTION("SPLIT(K:K, "" "")"),0.313648350443448)</f>
        <v>0.3136483504</v>
      </c>
      <c r="M389" s="4">
        <f>IFERROR(__xludf.DUMMYFUNCTION("""COMPUTED_VALUE"""),0.590041166824845)</f>
        <v>0.5900411668</v>
      </c>
      <c r="N389" s="15">
        <v>704.0</v>
      </c>
      <c r="O389" s="4"/>
      <c r="P389" s="14" t="s">
        <v>1387</v>
      </c>
      <c r="Q389" s="17">
        <f>IFERROR(__xludf.DUMMYFUNCTION("SPLIT(P:P, "" "")"),0.29063843612545)</f>
        <v>0.2906384361</v>
      </c>
      <c r="R389" s="4">
        <f>IFERROR(__xludf.DUMMYFUNCTION("""COMPUTED_VALUE"""),0.524692357884329)</f>
        <v>0.5246923579</v>
      </c>
      <c r="S389" s="15">
        <v>1056.0</v>
      </c>
      <c r="T389" s="4"/>
      <c r="U389" s="4"/>
    </row>
    <row r="390">
      <c r="A390" s="14" t="s">
        <v>1388</v>
      </c>
      <c r="B390" s="4">
        <f>IFERROR(__xludf.DUMMYFUNCTION("SPLIT(A:A, "" "")"),0.262408396085366)</f>
        <v>0.2624083961</v>
      </c>
      <c r="C390" s="4">
        <f>IFERROR(__xludf.DUMMYFUNCTION("""COMPUTED_VALUE"""),0.733173959408203)</f>
        <v>0.7331739594</v>
      </c>
      <c r="D390" s="15">
        <v>672.0</v>
      </c>
      <c r="E390" s="4"/>
      <c r="F390" s="14" t="s">
        <v>1389</v>
      </c>
      <c r="G390" s="17">
        <f>IFERROR(__xludf.DUMMYFUNCTION("SPLIT(F:F, "" "")"),0.197963341272462)</f>
        <v>0.1979633413</v>
      </c>
      <c r="H390" s="4">
        <f>IFERROR(__xludf.DUMMYFUNCTION("""COMPUTED_VALUE"""),0.612941776629629)</f>
        <v>0.6129417766</v>
      </c>
      <c r="I390" s="15">
        <v>1344.0</v>
      </c>
      <c r="J390" s="4"/>
      <c r="K390" s="14" t="s">
        <v>1390</v>
      </c>
      <c r="L390" s="17">
        <f>IFERROR(__xludf.DUMMYFUNCTION("SPLIT(K:K, "" "")"),0.317324909329763)</f>
        <v>0.3173249093</v>
      </c>
      <c r="M390" s="4">
        <f>IFERROR(__xludf.DUMMYFUNCTION("""COMPUTED_VALUE"""),0.585434179136481)</f>
        <v>0.5854341791</v>
      </c>
      <c r="N390" s="15">
        <v>712.0</v>
      </c>
      <c r="O390" s="4"/>
      <c r="P390" s="14" t="s">
        <v>1391</v>
      </c>
      <c r="Q390" s="17">
        <f>IFERROR(__xludf.DUMMYFUNCTION("SPLIT(P:P, "" "")"),0.278638435263221)</f>
        <v>0.2786384353</v>
      </c>
      <c r="R390" s="4">
        <f>IFERROR(__xludf.DUMMYFUNCTION("""COMPUTED_VALUE"""),0.508450581205653)</f>
        <v>0.5084505812</v>
      </c>
      <c r="S390" s="15">
        <v>1068.0</v>
      </c>
      <c r="T390" s="4"/>
      <c r="U390" s="4"/>
    </row>
    <row r="391">
      <c r="A391" s="14" t="s">
        <v>1392</v>
      </c>
      <c r="B391" s="4">
        <f>IFERROR(__xludf.DUMMYFUNCTION("SPLIT(A:A, "" "")"),0.261053111151548)</f>
        <v>0.2610531112</v>
      </c>
      <c r="C391" s="4">
        <f>IFERROR(__xludf.DUMMYFUNCTION("""COMPUTED_VALUE"""),0.727388253905276)</f>
        <v>0.7273882539</v>
      </c>
      <c r="D391" s="15">
        <v>676.0</v>
      </c>
      <c r="E391" s="4"/>
      <c r="F391" s="14" t="s">
        <v>1393</v>
      </c>
      <c r="G391" s="17">
        <f>IFERROR(__xludf.DUMMYFUNCTION("SPLIT(F:F, "" "")"),0.197283038171421)</f>
        <v>0.1972830382</v>
      </c>
      <c r="H391" s="4">
        <f>IFERROR(__xludf.DUMMYFUNCTION("""COMPUTED_VALUE"""),0.618205980886134)</f>
        <v>0.6182059809</v>
      </c>
      <c r="I391" s="15">
        <v>1352.0</v>
      </c>
      <c r="J391" s="4"/>
      <c r="K391" s="14" t="s">
        <v>1394</v>
      </c>
      <c r="L391" s="17">
        <f>IFERROR(__xludf.DUMMYFUNCTION("SPLIT(K:K, "" "")"),0.312793863288563)</f>
        <v>0.3127938633</v>
      </c>
      <c r="M391" s="4">
        <f>IFERROR(__xludf.DUMMYFUNCTION("""COMPUTED_VALUE"""),0.602191260693999)</f>
        <v>0.6021912607</v>
      </c>
      <c r="N391" s="15">
        <v>720.0</v>
      </c>
      <c r="O391" s="4"/>
      <c r="P391" s="14" t="s">
        <v>1395</v>
      </c>
      <c r="Q391" s="17">
        <f>IFERROR(__xludf.DUMMYFUNCTION("SPLIT(P:P, "" "")"),0.272322657980601)</f>
        <v>0.272322658</v>
      </c>
      <c r="R391" s="4">
        <f>IFERROR(__xludf.DUMMYFUNCTION("""COMPUTED_VALUE"""),0.499713996813248)</f>
        <v>0.4997139968</v>
      </c>
      <c r="S391" s="15">
        <v>1080.0</v>
      </c>
      <c r="T391" s="4"/>
      <c r="U391" s="4"/>
    </row>
    <row r="392">
      <c r="A392" s="14" t="s">
        <v>1396</v>
      </c>
      <c r="B392" s="4">
        <f>IFERROR(__xludf.DUMMYFUNCTION("SPLIT(A:A, "" "")"),0.249506698463864)</f>
        <v>0.2495066985</v>
      </c>
      <c r="C392" s="4">
        <f>IFERROR(__xludf.DUMMYFUNCTION("""COMPUTED_VALUE"""),0.713406694517088)</f>
        <v>0.7134066945</v>
      </c>
      <c r="D392" s="15">
        <v>680.0</v>
      </c>
      <c r="E392" s="4"/>
      <c r="F392" s="14" t="s">
        <v>1397</v>
      </c>
      <c r="G392" s="17">
        <f>IFERROR(__xludf.DUMMYFUNCTION("SPLIT(F:F, "" "")"),0.196893709822412)</f>
        <v>0.1968937098</v>
      </c>
      <c r="H392" s="4">
        <f>IFERROR(__xludf.DUMMYFUNCTION("""COMPUTED_VALUE"""),0.606539984935261)</f>
        <v>0.6065399849</v>
      </c>
      <c r="I392" s="15">
        <v>1360.0</v>
      </c>
      <c r="J392" s="4"/>
      <c r="K392" s="14" t="s">
        <v>1398</v>
      </c>
      <c r="L392" s="17">
        <f>IFERROR(__xludf.DUMMYFUNCTION("SPLIT(K:K, "" "")"),0.306258022738022)</f>
        <v>0.3062580227</v>
      </c>
      <c r="M392" s="4">
        <f>IFERROR(__xludf.DUMMYFUNCTION("""COMPUTED_VALUE"""),0.590974727645609)</f>
        <v>0.5909747276</v>
      </c>
      <c r="N392" s="15">
        <v>728.0</v>
      </c>
      <c r="O392" s="4"/>
      <c r="P392" s="14" t="s">
        <v>1399</v>
      </c>
      <c r="Q392" s="17">
        <f>IFERROR(__xludf.DUMMYFUNCTION("SPLIT(P:P, "" "")"),0.277292326710737)</f>
        <v>0.2772923267</v>
      </c>
      <c r="R392" s="4">
        <f>IFERROR(__xludf.DUMMYFUNCTION("""COMPUTED_VALUE"""),0.5117070890058)</f>
        <v>0.511707089</v>
      </c>
      <c r="S392" s="15">
        <v>1092.0</v>
      </c>
      <c r="T392" s="4"/>
      <c r="U392" s="4"/>
    </row>
    <row r="393">
      <c r="A393" s="14" t="s">
        <v>1400</v>
      </c>
      <c r="B393" s="4">
        <f>IFERROR(__xludf.DUMMYFUNCTION("SPLIT(A:A, "" "")"),0.256119930736607)</f>
        <v>0.2561199307</v>
      </c>
      <c r="C393" s="4">
        <f>IFERROR(__xludf.DUMMYFUNCTION("""COMPUTED_VALUE"""),0.724623009708889)</f>
        <v>0.7246230097</v>
      </c>
      <c r="D393" s="15">
        <v>684.0</v>
      </c>
      <c r="E393" s="4"/>
      <c r="F393" s="14" t="s">
        <v>1401</v>
      </c>
      <c r="G393" s="17">
        <f>IFERROR(__xludf.DUMMYFUNCTION("SPLIT(F:F, "" "")"),0.19323778959868)</f>
        <v>0.1932377896</v>
      </c>
      <c r="H393" s="4">
        <f>IFERROR(__xludf.DUMMYFUNCTION("""COMPUTED_VALUE"""),0.606920163528584)</f>
        <v>0.6069201635</v>
      </c>
      <c r="I393" s="15">
        <v>1368.0</v>
      </c>
      <c r="J393" s="4"/>
      <c r="K393" s="14" t="s">
        <v>1402</v>
      </c>
      <c r="L393" s="17">
        <f>IFERROR(__xludf.DUMMYFUNCTION("SPLIT(K:K, "" "")"),0.307232517619867)</f>
        <v>0.3072325176</v>
      </c>
      <c r="M393" s="4">
        <f>IFERROR(__xludf.DUMMYFUNCTION("""COMPUTED_VALUE"""),0.591624614870186)</f>
        <v>0.5916246149</v>
      </c>
      <c r="N393" s="15">
        <v>736.0</v>
      </c>
      <c r="O393" s="4"/>
      <c r="P393" s="14" t="s">
        <v>1403</v>
      </c>
      <c r="Q393" s="17">
        <f>IFERROR(__xludf.DUMMYFUNCTION("SPLIT(P:P, "" "")"),0.272233675291153)</f>
        <v>0.2722336753</v>
      </c>
      <c r="R393" s="4">
        <f>IFERROR(__xludf.DUMMYFUNCTION("""COMPUTED_VALUE"""),0.497734496943709)</f>
        <v>0.4977344969</v>
      </c>
      <c r="S393" s="15">
        <v>1104.0</v>
      </c>
      <c r="T393" s="4"/>
      <c r="U393" s="4"/>
    </row>
    <row r="394">
      <c r="A394" s="14" t="s">
        <v>1404</v>
      </c>
      <c r="B394" s="4">
        <f>IFERROR(__xludf.DUMMYFUNCTION("SPLIT(A:A, "" "")"),0.263507657086474)</f>
        <v>0.2635076571</v>
      </c>
      <c r="C394" s="4">
        <f>IFERROR(__xludf.DUMMYFUNCTION("""COMPUTED_VALUE"""),0.723624424651561)</f>
        <v>0.7236244247</v>
      </c>
      <c r="D394" s="15">
        <v>688.0</v>
      </c>
      <c r="E394" s="4"/>
      <c r="F394" s="14" t="s">
        <v>1405</v>
      </c>
      <c r="G394" s="17">
        <f>IFERROR(__xludf.DUMMYFUNCTION("SPLIT(F:F, "" "")"),0.195366147256048)</f>
        <v>0.1953661473</v>
      </c>
      <c r="H394" s="4">
        <f>IFERROR(__xludf.DUMMYFUNCTION("""COMPUTED_VALUE"""),0.626712361761143)</f>
        <v>0.6267123618</v>
      </c>
      <c r="I394" s="15">
        <v>1376.0</v>
      </c>
      <c r="J394" s="4"/>
      <c r="K394" s="14" t="s">
        <v>1406</v>
      </c>
      <c r="L394" s="17">
        <f>IFERROR(__xludf.DUMMYFUNCTION("SPLIT(K:K, "" "")"),0.299025384951378)</f>
        <v>0.299025385</v>
      </c>
      <c r="M394" s="4">
        <f>IFERROR(__xludf.DUMMYFUNCTION("""COMPUTED_VALUE"""),0.585494088833355)</f>
        <v>0.5854940888</v>
      </c>
      <c r="N394" s="15">
        <v>744.0</v>
      </c>
      <c r="O394" s="4"/>
      <c r="P394" s="14" t="s">
        <v>1407</v>
      </c>
      <c r="Q394" s="17">
        <f>IFERROR(__xludf.DUMMYFUNCTION("SPLIT(P:P, "" "")"),0.273101994482318)</f>
        <v>0.2731019945</v>
      </c>
      <c r="R394" s="4">
        <f>IFERROR(__xludf.DUMMYFUNCTION("""COMPUTED_VALUE"""),0.507162135860372)</f>
        <v>0.5071621359</v>
      </c>
      <c r="S394" s="15">
        <v>1116.0</v>
      </c>
      <c r="T394" s="4"/>
      <c r="U394" s="4"/>
    </row>
    <row r="395">
      <c r="A395" s="14" t="s">
        <v>1408</v>
      </c>
      <c r="B395" s="4">
        <f>IFERROR(__xludf.DUMMYFUNCTION("SPLIT(A:A, "" "")"),0.252218739163064)</f>
        <v>0.2522187392</v>
      </c>
      <c r="C395" s="4">
        <f>IFERROR(__xludf.DUMMYFUNCTION("""COMPUTED_VALUE"""),0.720066428590227)</f>
        <v>0.7200664286</v>
      </c>
      <c r="D395" s="15">
        <v>692.0</v>
      </c>
      <c r="E395" s="4"/>
      <c r="F395" s="14" t="s">
        <v>1409</v>
      </c>
      <c r="G395" s="17">
        <f>IFERROR(__xludf.DUMMYFUNCTION("SPLIT(F:F, "" "")"),0.197937786190491)</f>
        <v>0.1979377862</v>
      </c>
      <c r="H395" s="4">
        <f>IFERROR(__xludf.DUMMYFUNCTION("""COMPUTED_VALUE"""),0.61735462294947)</f>
        <v>0.6173546229</v>
      </c>
      <c r="I395" s="15">
        <v>1384.0</v>
      </c>
      <c r="J395" s="4"/>
      <c r="K395" s="14" t="s">
        <v>1410</v>
      </c>
      <c r="L395" s="17">
        <f>IFERROR(__xludf.DUMMYFUNCTION("SPLIT(K:K, "" "")"),0.30970327100937)</f>
        <v>0.309703271</v>
      </c>
      <c r="M395" s="4">
        <f>IFERROR(__xludf.DUMMYFUNCTION("""COMPUTED_VALUE"""),0.595890678795194)</f>
        <v>0.5958906788</v>
      </c>
      <c r="N395" s="15">
        <v>752.0</v>
      </c>
      <c r="O395" s="4"/>
      <c r="P395" s="14" t="s">
        <v>1411</v>
      </c>
      <c r="Q395" s="17">
        <f>IFERROR(__xludf.DUMMYFUNCTION("SPLIT(P:P, "" "")"),0.26955834097667)</f>
        <v>0.269558341</v>
      </c>
      <c r="R395" s="4">
        <f>IFERROR(__xludf.DUMMYFUNCTION("""COMPUTED_VALUE"""),0.492366115589349)</f>
        <v>0.4923661156</v>
      </c>
      <c r="S395" s="15">
        <v>1128.0</v>
      </c>
      <c r="T395" s="4"/>
      <c r="U395" s="4"/>
    </row>
    <row r="396">
      <c r="A396" s="14" t="s">
        <v>1412</v>
      </c>
      <c r="B396" s="4">
        <f>IFERROR(__xludf.DUMMYFUNCTION("SPLIT(A:A, "" "")"),0.249220882726921)</f>
        <v>0.2492208827</v>
      </c>
      <c r="C396" s="4">
        <f>IFERROR(__xludf.DUMMYFUNCTION("""COMPUTED_VALUE"""),0.713876974081346)</f>
        <v>0.7138769741</v>
      </c>
      <c r="D396" s="15">
        <v>696.0</v>
      </c>
      <c r="E396" s="4"/>
      <c r="F396" s="14" t="s">
        <v>1413</v>
      </c>
      <c r="G396" s="17">
        <f>IFERROR(__xludf.DUMMYFUNCTION("SPLIT(F:F, "" "")"),0.191930069477724)</f>
        <v>0.1919300695</v>
      </c>
      <c r="H396" s="4">
        <f>IFERROR(__xludf.DUMMYFUNCTION("""COMPUTED_VALUE"""),0.614046521830413)</f>
        <v>0.6140465218</v>
      </c>
      <c r="I396" s="15">
        <v>1392.0</v>
      </c>
      <c r="J396" s="4"/>
      <c r="K396" s="14" t="s">
        <v>1414</v>
      </c>
      <c r="L396" s="17">
        <f>IFERROR(__xludf.DUMMYFUNCTION("SPLIT(K:K, "" "")"),0.302510639445232)</f>
        <v>0.3025106394</v>
      </c>
      <c r="M396" s="4">
        <f>IFERROR(__xludf.DUMMYFUNCTION("""COMPUTED_VALUE"""),0.579994888910826)</f>
        <v>0.5799948889</v>
      </c>
      <c r="N396" s="15">
        <v>760.0</v>
      </c>
      <c r="O396" s="4"/>
      <c r="P396" s="14" t="s">
        <v>1415</v>
      </c>
      <c r="Q396" s="17">
        <f>IFERROR(__xludf.DUMMYFUNCTION("SPLIT(P:P, "" "")"),0.263432662185515)</f>
        <v>0.2634326622</v>
      </c>
      <c r="R396" s="4">
        <f>IFERROR(__xludf.DUMMYFUNCTION("""COMPUTED_VALUE"""),0.493926732738623)</f>
        <v>0.4939267327</v>
      </c>
      <c r="S396" s="15">
        <v>1140.0</v>
      </c>
      <c r="T396" s="4"/>
      <c r="U396" s="4"/>
    </row>
    <row r="397">
      <c r="A397" s="14" t="s">
        <v>1416</v>
      </c>
      <c r="B397" s="4">
        <f>IFERROR(__xludf.DUMMYFUNCTION("SPLIT(A:A, "" "")"),0.250358545917883)</f>
        <v>0.2503585459</v>
      </c>
      <c r="C397" s="4">
        <f>IFERROR(__xludf.DUMMYFUNCTION("""COMPUTED_VALUE"""),0.707842536366475)</f>
        <v>0.7078425364</v>
      </c>
      <c r="D397" s="15">
        <v>700.0</v>
      </c>
      <c r="E397" s="4"/>
      <c r="F397" s="14" t="s">
        <v>1417</v>
      </c>
      <c r="G397" s="17">
        <f>IFERROR(__xludf.DUMMYFUNCTION("SPLIT(F:F, "" "")"),0.190069319481603)</f>
        <v>0.1900693195</v>
      </c>
      <c r="H397" s="4">
        <f>IFERROR(__xludf.DUMMYFUNCTION("""COMPUTED_VALUE"""),0.615758469636215)</f>
        <v>0.6157584696</v>
      </c>
      <c r="I397" s="15">
        <v>1400.0</v>
      </c>
      <c r="J397" s="4"/>
      <c r="K397" s="14" t="s">
        <v>1418</v>
      </c>
      <c r="L397" s="17">
        <f>IFERROR(__xludf.DUMMYFUNCTION("SPLIT(K:K, "" "")"),0.300123834728676)</f>
        <v>0.3001238347</v>
      </c>
      <c r="M397" s="4">
        <f>IFERROR(__xludf.DUMMYFUNCTION("""COMPUTED_VALUE"""),0.579356430376838)</f>
        <v>0.5793564304</v>
      </c>
      <c r="N397" s="15">
        <v>768.0</v>
      </c>
      <c r="O397" s="4"/>
      <c r="P397" s="14" t="s">
        <v>1419</v>
      </c>
      <c r="Q397" s="17">
        <f>IFERROR(__xludf.DUMMYFUNCTION("SPLIT(P:P, "" "")"),0.262347652992074)</f>
        <v>0.262347653</v>
      </c>
      <c r="R397" s="4">
        <f>IFERROR(__xludf.DUMMYFUNCTION("""COMPUTED_VALUE"""),0.486745191557188)</f>
        <v>0.4867451916</v>
      </c>
      <c r="S397" s="15">
        <v>1152.0</v>
      </c>
      <c r="T397" s="4"/>
      <c r="U397" s="4"/>
    </row>
    <row r="398">
      <c r="A398" s="14" t="s">
        <v>1420</v>
      </c>
      <c r="B398" s="4">
        <f>IFERROR(__xludf.DUMMYFUNCTION("SPLIT(A:A, "" "")"),0.247471984234846)</f>
        <v>0.2474719842</v>
      </c>
      <c r="C398" s="4">
        <f>IFERROR(__xludf.DUMMYFUNCTION("""COMPUTED_VALUE"""),0.713995325812629)</f>
        <v>0.7139953258</v>
      </c>
      <c r="D398" s="15">
        <v>704.0</v>
      </c>
      <c r="E398" s="4"/>
      <c r="F398" s="14" t="s">
        <v>1421</v>
      </c>
      <c r="G398" s="17">
        <f>IFERROR(__xludf.DUMMYFUNCTION("SPLIT(F:F, "" "")"),0.185925381527844)</f>
        <v>0.1859253815</v>
      </c>
      <c r="H398" s="4">
        <f>IFERROR(__xludf.DUMMYFUNCTION("""COMPUTED_VALUE"""),0.606411774493998)</f>
        <v>0.6064117745</v>
      </c>
      <c r="I398" s="15">
        <v>1408.0</v>
      </c>
      <c r="J398" s="4"/>
      <c r="K398" s="14" t="s">
        <v>1422</v>
      </c>
      <c r="L398" s="17">
        <f>IFERROR(__xludf.DUMMYFUNCTION("SPLIT(K:K, "" "")"),0.304035246062663)</f>
        <v>0.3040352461</v>
      </c>
      <c r="M398" s="4">
        <f>IFERROR(__xludf.DUMMYFUNCTION("""COMPUTED_VALUE"""),0.605364915634177)</f>
        <v>0.6053649156</v>
      </c>
      <c r="N398" s="15">
        <v>776.0</v>
      </c>
      <c r="O398" s="4"/>
      <c r="P398" s="14" t="s">
        <v>1423</v>
      </c>
      <c r="Q398" s="17">
        <f>IFERROR(__xludf.DUMMYFUNCTION("SPLIT(P:P, "" "")"),0.276574313077924)</f>
        <v>0.2765743131</v>
      </c>
      <c r="R398" s="4">
        <f>IFERROR(__xludf.DUMMYFUNCTION("""COMPUTED_VALUE"""),0.511801700175647)</f>
        <v>0.5118017002</v>
      </c>
      <c r="S398" s="15">
        <v>1164.0</v>
      </c>
      <c r="T398" s="4"/>
      <c r="U398" s="4"/>
    </row>
    <row r="399">
      <c r="A399" s="14" t="s">
        <v>1424</v>
      </c>
      <c r="B399" s="4">
        <f>IFERROR(__xludf.DUMMYFUNCTION("SPLIT(A:A, "" "")"),0.253321241203224)</f>
        <v>0.2533212412</v>
      </c>
      <c r="C399" s="4">
        <f>IFERROR(__xludf.DUMMYFUNCTION("""COMPUTED_VALUE"""),0.717721270313773)</f>
        <v>0.7177212703</v>
      </c>
      <c r="D399" s="15">
        <v>708.0</v>
      </c>
      <c r="E399" s="4"/>
      <c r="F399" s="14" t="s">
        <v>1425</v>
      </c>
      <c r="G399" s="17">
        <f>IFERROR(__xludf.DUMMYFUNCTION("SPLIT(F:F, "" "")"),0.188312898292849)</f>
        <v>0.1883128983</v>
      </c>
      <c r="H399" s="4">
        <f>IFERROR(__xludf.DUMMYFUNCTION("""COMPUTED_VALUE"""),0.599913570116465)</f>
        <v>0.5999135701</v>
      </c>
      <c r="I399" s="15">
        <v>1416.0</v>
      </c>
      <c r="J399" s="4"/>
      <c r="K399" s="14" t="s">
        <v>1426</v>
      </c>
      <c r="L399" s="17">
        <f>IFERROR(__xludf.DUMMYFUNCTION("SPLIT(K:K, "" "")"),0.300849461018512)</f>
        <v>0.300849461</v>
      </c>
      <c r="M399" s="4">
        <f>IFERROR(__xludf.DUMMYFUNCTION("""COMPUTED_VALUE"""),0.580962323144769)</f>
        <v>0.5809623231</v>
      </c>
      <c r="N399" s="15">
        <v>784.0</v>
      </c>
      <c r="O399" s="4"/>
      <c r="P399" s="14" t="s">
        <v>1427</v>
      </c>
      <c r="Q399" s="17">
        <f>IFERROR(__xludf.DUMMYFUNCTION("SPLIT(P:P, "" "")"),0.259570668522603)</f>
        <v>0.2595706685</v>
      </c>
      <c r="R399" s="4">
        <f>IFERROR(__xludf.DUMMYFUNCTION("""COMPUTED_VALUE"""),0.487335487337503)</f>
        <v>0.4873354873</v>
      </c>
      <c r="S399" s="15">
        <v>1176.0</v>
      </c>
      <c r="T399" s="4"/>
      <c r="U399" s="4"/>
    </row>
    <row r="400">
      <c r="A400" s="14" t="s">
        <v>1428</v>
      </c>
      <c r="B400" s="4">
        <f>IFERROR(__xludf.DUMMYFUNCTION("SPLIT(A:A, "" "")"),0.24986777921816)</f>
        <v>0.2498677792</v>
      </c>
      <c r="C400" s="4">
        <f>IFERROR(__xludf.DUMMYFUNCTION("""COMPUTED_VALUE"""),0.710960565980928)</f>
        <v>0.710960566</v>
      </c>
      <c r="D400" s="15">
        <v>712.0</v>
      </c>
      <c r="E400" s="4"/>
      <c r="F400" s="14" t="s">
        <v>1429</v>
      </c>
      <c r="G400" s="17">
        <f>IFERROR(__xludf.DUMMYFUNCTION("SPLIT(F:F, "" "")"),0.18808475915333)</f>
        <v>0.1880847592</v>
      </c>
      <c r="H400" s="4">
        <f>IFERROR(__xludf.DUMMYFUNCTION("""COMPUTED_VALUE"""),0.600637241042941)</f>
        <v>0.600637241</v>
      </c>
      <c r="I400" s="15">
        <v>1424.0</v>
      </c>
      <c r="J400" s="4"/>
      <c r="K400" s="14" t="s">
        <v>1430</v>
      </c>
      <c r="L400" s="17">
        <f>IFERROR(__xludf.DUMMYFUNCTION("SPLIT(K:K, "" "")"),0.307134363848671)</f>
        <v>0.3071343638</v>
      </c>
      <c r="M400" s="4">
        <f>IFERROR(__xludf.DUMMYFUNCTION("""COMPUTED_VALUE"""),0.593299878775012)</f>
        <v>0.5932998788</v>
      </c>
      <c r="N400" s="15">
        <v>792.0</v>
      </c>
      <c r="O400" s="4"/>
      <c r="P400" s="14" t="s">
        <v>1431</v>
      </c>
      <c r="Q400" s="17">
        <f>IFERROR(__xludf.DUMMYFUNCTION("SPLIT(P:P, "" "")"),0.258339946191859)</f>
        <v>0.2583399462</v>
      </c>
      <c r="R400" s="4">
        <f>IFERROR(__xludf.DUMMYFUNCTION("""COMPUTED_VALUE"""),0.491007141054058)</f>
        <v>0.4910071411</v>
      </c>
      <c r="S400" s="15">
        <v>1188.0</v>
      </c>
      <c r="T400" s="4"/>
      <c r="U400" s="4"/>
    </row>
    <row r="401">
      <c r="A401" s="14" t="s">
        <v>1432</v>
      </c>
      <c r="B401" s="4">
        <f>IFERROR(__xludf.DUMMYFUNCTION("SPLIT(A:A, "" "")"),0.242214084306895)</f>
        <v>0.2422140843</v>
      </c>
      <c r="C401" s="4">
        <f>IFERROR(__xludf.DUMMYFUNCTION("""COMPUTED_VALUE"""),0.699441380444489)</f>
        <v>0.6994413804</v>
      </c>
      <c r="D401" s="15">
        <v>716.0</v>
      </c>
      <c r="E401" s="4"/>
      <c r="F401" s="14" t="s">
        <v>1433</v>
      </c>
      <c r="G401" s="17">
        <f>IFERROR(__xludf.DUMMYFUNCTION("SPLIT(F:F, "" "")"),0.184184455350212)</f>
        <v>0.1841844554</v>
      </c>
      <c r="H401" s="4">
        <f>IFERROR(__xludf.DUMMYFUNCTION("""COMPUTED_VALUE"""),0.602703354955479)</f>
        <v>0.602703355</v>
      </c>
      <c r="I401" s="15">
        <v>1432.0</v>
      </c>
      <c r="J401" s="4"/>
      <c r="K401" s="14" t="s">
        <v>1434</v>
      </c>
      <c r="L401" s="17">
        <f>IFERROR(__xludf.DUMMYFUNCTION("SPLIT(K:K, "" "")"),0.310394878354204)</f>
        <v>0.3103948784</v>
      </c>
      <c r="M401" s="4">
        <f>IFERROR(__xludf.DUMMYFUNCTION("""COMPUTED_VALUE"""),0.60332049605117)</f>
        <v>0.6033204961</v>
      </c>
      <c r="N401" s="15">
        <v>800.0</v>
      </c>
      <c r="O401" s="4"/>
      <c r="P401" s="14" t="s">
        <v>1435</v>
      </c>
      <c r="Q401" s="17">
        <f>IFERROR(__xludf.DUMMYFUNCTION("SPLIT(P:P, "" "")"),0.27151341398659)</f>
        <v>0.271513414</v>
      </c>
      <c r="R401" s="4">
        <f>IFERROR(__xludf.DUMMYFUNCTION("""COMPUTED_VALUE"""),0.507301190687843)</f>
        <v>0.5073011907</v>
      </c>
      <c r="S401" s="15">
        <v>1200.0</v>
      </c>
      <c r="T401" s="4"/>
      <c r="U401" s="4"/>
    </row>
    <row r="402">
      <c r="A402" s="14" t="s">
        <v>1436</v>
      </c>
      <c r="B402" s="4">
        <f>IFERROR(__xludf.DUMMYFUNCTION("SPLIT(A:A, "" "")"),0.238747049525223)</f>
        <v>0.2387470495</v>
      </c>
      <c r="C402" s="4">
        <f>IFERROR(__xludf.DUMMYFUNCTION("""COMPUTED_VALUE"""),0.70813491645417)</f>
        <v>0.7081349165</v>
      </c>
      <c r="D402" s="15">
        <v>720.0</v>
      </c>
      <c r="E402" s="4"/>
      <c r="F402" s="14" t="s">
        <v>1437</v>
      </c>
      <c r="G402" s="17">
        <f>IFERROR(__xludf.DUMMYFUNCTION("SPLIT(F:F, "" "")"),0.189535258169951)</f>
        <v>0.1895352582</v>
      </c>
      <c r="H402" s="4">
        <f>IFERROR(__xludf.DUMMYFUNCTION("""COMPUTED_VALUE"""),0.610100209239701)</f>
        <v>0.6101002092</v>
      </c>
      <c r="I402" s="15">
        <v>1440.0</v>
      </c>
      <c r="J402" s="4"/>
      <c r="K402" s="14" t="s">
        <v>1438</v>
      </c>
      <c r="L402" s="17">
        <f>IFERROR(__xludf.DUMMYFUNCTION("SPLIT(K:K, "" "")"),0.292489877363736)</f>
        <v>0.2924898774</v>
      </c>
      <c r="M402" s="4">
        <f>IFERROR(__xludf.DUMMYFUNCTION("""COMPUTED_VALUE"""),0.580403085683176)</f>
        <v>0.5804030857</v>
      </c>
      <c r="N402" s="15">
        <v>808.0</v>
      </c>
      <c r="O402" s="4"/>
      <c r="P402" s="14" t="s">
        <v>1439</v>
      </c>
      <c r="Q402" s="17">
        <f>IFERROR(__xludf.DUMMYFUNCTION("SPLIT(P:P, "" "")"),0.257328667710472)</f>
        <v>0.2573286677</v>
      </c>
      <c r="R402" s="4">
        <f>IFERROR(__xludf.DUMMYFUNCTION("""COMPUTED_VALUE"""),0.491496466816557)</f>
        <v>0.4914964668</v>
      </c>
      <c r="S402" s="15">
        <v>1212.0</v>
      </c>
      <c r="T402" s="4"/>
      <c r="U402" s="4"/>
    </row>
    <row r="403">
      <c r="A403" s="14" t="s">
        <v>1440</v>
      </c>
      <c r="B403" s="4">
        <f>IFERROR(__xludf.DUMMYFUNCTION("SPLIT(A:A, "" "")"),0.246194834566271)</f>
        <v>0.2461948346</v>
      </c>
      <c r="C403" s="4">
        <f>IFERROR(__xludf.DUMMYFUNCTION("""COMPUTED_VALUE"""),0.714975963732691)</f>
        <v>0.7149759637</v>
      </c>
      <c r="D403" s="15">
        <v>724.0</v>
      </c>
      <c r="E403" s="4"/>
      <c r="F403" s="14" t="s">
        <v>1441</v>
      </c>
      <c r="G403" s="17">
        <f>IFERROR(__xludf.DUMMYFUNCTION("SPLIT(F:F, "" "")"),0.184368375211807)</f>
        <v>0.1843683752</v>
      </c>
      <c r="H403" s="4">
        <f>IFERROR(__xludf.DUMMYFUNCTION("""COMPUTED_VALUE"""),0.598467493385554)</f>
        <v>0.5984674934</v>
      </c>
      <c r="I403" s="15">
        <v>1448.0</v>
      </c>
      <c r="J403" s="4"/>
      <c r="K403" s="14" t="s">
        <v>1442</v>
      </c>
      <c r="L403" s="17">
        <f>IFERROR(__xludf.DUMMYFUNCTION("SPLIT(K:K, "" "")"),0.303282308210239)</f>
        <v>0.3032823082</v>
      </c>
      <c r="M403" s="4">
        <f>IFERROR(__xludf.DUMMYFUNCTION("""COMPUTED_VALUE"""),0.584417327057986)</f>
        <v>0.5844173271</v>
      </c>
      <c r="N403" s="15">
        <v>816.0</v>
      </c>
      <c r="O403" s="4"/>
      <c r="P403" s="14" t="s">
        <v>1443</v>
      </c>
      <c r="Q403" s="17">
        <f>IFERROR(__xludf.DUMMYFUNCTION("SPLIT(P:P, "" "")"),0.260923631640454)</f>
        <v>0.2609236316</v>
      </c>
      <c r="R403" s="4">
        <f>IFERROR(__xludf.DUMMYFUNCTION("""COMPUTED_VALUE"""),0.500753061423021)</f>
        <v>0.5007530614</v>
      </c>
      <c r="S403" s="15">
        <v>1224.0</v>
      </c>
      <c r="T403" s="4"/>
      <c r="U403" s="4"/>
    </row>
    <row r="404">
      <c r="A404" s="14" t="s">
        <v>1444</v>
      </c>
      <c r="B404" s="4">
        <f>IFERROR(__xludf.DUMMYFUNCTION("SPLIT(A:A, "" "")"),0.267710659149741)</f>
        <v>0.2677106591</v>
      </c>
      <c r="C404" s="4">
        <f>IFERROR(__xludf.DUMMYFUNCTION("""COMPUTED_VALUE"""),0.761305532207492)</f>
        <v>0.7613055322</v>
      </c>
      <c r="D404" s="15">
        <v>728.0</v>
      </c>
      <c r="E404" s="4"/>
      <c r="F404" s="14" t="s">
        <v>1445</v>
      </c>
      <c r="G404" s="17">
        <f>IFERROR(__xludf.DUMMYFUNCTION("SPLIT(F:F, "" "")"),0.186114714662562)</f>
        <v>0.1861147147</v>
      </c>
      <c r="H404" s="4">
        <f>IFERROR(__xludf.DUMMYFUNCTION("""COMPUTED_VALUE"""),0.604053830535247)</f>
        <v>0.6040538305</v>
      </c>
      <c r="I404" s="15">
        <v>1456.0</v>
      </c>
      <c r="J404" s="4"/>
      <c r="K404" s="14" t="s">
        <v>1446</v>
      </c>
      <c r="L404" s="17">
        <f>IFERROR(__xludf.DUMMYFUNCTION("SPLIT(K:K, "" "")"),0.298161272358451)</f>
        <v>0.2981612724</v>
      </c>
      <c r="M404" s="4">
        <f>IFERROR(__xludf.DUMMYFUNCTION("""COMPUTED_VALUE"""),0.587487232430402)</f>
        <v>0.5874872324</v>
      </c>
      <c r="N404" s="15">
        <v>824.0</v>
      </c>
      <c r="O404" s="4"/>
      <c r="P404" s="14" t="s">
        <v>1447</v>
      </c>
      <c r="Q404" s="17">
        <f>IFERROR(__xludf.DUMMYFUNCTION("SPLIT(P:P, "" "")"),0.262541929062625)</f>
        <v>0.2625419291</v>
      </c>
      <c r="R404" s="4">
        <f>IFERROR(__xludf.DUMMYFUNCTION("""COMPUTED_VALUE"""),0.502348112763004)</f>
        <v>0.5023481128</v>
      </c>
      <c r="S404" s="15">
        <v>1236.0</v>
      </c>
      <c r="T404" s="4"/>
      <c r="U404" s="4"/>
    </row>
    <row r="405">
      <c r="A405" s="14" t="s">
        <v>1448</v>
      </c>
      <c r="B405" s="4">
        <f>IFERROR(__xludf.DUMMYFUNCTION("SPLIT(A:A, "" "")"),0.241132185816725)</f>
        <v>0.2411321858</v>
      </c>
      <c r="C405" s="4">
        <f>IFERROR(__xludf.DUMMYFUNCTION("""COMPUTED_VALUE"""),0.714498616307395)</f>
        <v>0.7144986163</v>
      </c>
      <c r="D405" s="15">
        <v>732.0</v>
      </c>
      <c r="E405" s="4"/>
      <c r="F405" s="14" t="s">
        <v>1449</v>
      </c>
      <c r="G405" s="17">
        <f>IFERROR(__xludf.DUMMYFUNCTION("SPLIT(F:F, "" "")"),0.185718845580831)</f>
        <v>0.1857188456</v>
      </c>
      <c r="H405" s="4">
        <f>IFERROR(__xludf.DUMMYFUNCTION("""COMPUTED_VALUE"""),0.61573006915366)</f>
        <v>0.6157300692</v>
      </c>
      <c r="I405" s="15">
        <v>1464.0</v>
      </c>
      <c r="J405" s="4"/>
      <c r="K405" s="14" t="s">
        <v>1450</v>
      </c>
      <c r="L405" s="17">
        <f>IFERROR(__xludf.DUMMYFUNCTION("SPLIT(K:K, "" "")"),0.287563607671147)</f>
        <v>0.2875636077</v>
      </c>
      <c r="M405" s="4">
        <f>IFERROR(__xludf.DUMMYFUNCTION("""COMPUTED_VALUE"""),0.576983734577862)</f>
        <v>0.5769837346</v>
      </c>
      <c r="N405" s="15">
        <v>832.0</v>
      </c>
      <c r="O405" s="4"/>
      <c r="P405" s="14" t="s">
        <v>1451</v>
      </c>
      <c r="Q405" s="17">
        <f>IFERROR(__xludf.DUMMYFUNCTION("SPLIT(P:P, "" "")"),0.252695622860299)</f>
        <v>0.2526956229</v>
      </c>
      <c r="R405" s="4">
        <f>IFERROR(__xludf.DUMMYFUNCTION("""COMPUTED_VALUE"""),0.487610103334672)</f>
        <v>0.4876101033</v>
      </c>
      <c r="S405" s="15">
        <v>1248.0</v>
      </c>
      <c r="T405" s="4"/>
      <c r="U405" s="4"/>
    </row>
    <row r="406">
      <c r="A406" s="14" t="s">
        <v>1452</v>
      </c>
      <c r="B406" s="4">
        <f>IFERROR(__xludf.DUMMYFUNCTION("SPLIT(A:A, "" "")"),0.254684708235467)</f>
        <v>0.2546847082</v>
      </c>
      <c r="C406" s="4">
        <f>IFERROR(__xludf.DUMMYFUNCTION("""COMPUTED_VALUE"""),0.711127337169195)</f>
        <v>0.7111273372</v>
      </c>
      <c r="D406" s="15">
        <v>736.0</v>
      </c>
      <c r="E406" s="4"/>
      <c r="F406" s="14" t="s">
        <v>1453</v>
      </c>
      <c r="G406" s="17">
        <f>IFERROR(__xludf.DUMMYFUNCTION("SPLIT(F:F, "" "")"),0.189258189117576)</f>
        <v>0.1892581891</v>
      </c>
      <c r="H406" s="4">
        <f>IFERROR(__xludf.DUMMYFUNCTION("""COMPUTED_VALUE"""),0.619606374003738)</f>
        <v>0.619606374</v>
      </c>
      <c r="I406" s="15">
        <v>1472.0</v>
      </c>
      <c r="J406" s="4"/>
      <c r="K406" s="14" t="s">
        <v>1454</v>
      </c>
      <c r="L406" s="17">
        <f>IFERROR(__xludf.DUMMYFUNCTION("SPLIT(K:K, "" "")"),0.287917545147473)</f>
        <v>0.2879175451</v>
      </c>
      <c r="M406" s="4">
        <f>IFERROR(__xludf.DUMMYFUNCTION("""COMPUTED_VALUE"""),0.579662423696071)</f>
        <v>0.5796624237</v>
      </c>
      <c r="N406" s="15">
        <v>840.0</v>
      </c>
      <c r="O406" s="4"/>
      <c r="P406" s="14" t="s">
        <v>1455</v>
      </c>
      <c r="Q406" s="17">
        <f>IFERROR(__xludf.DUMMYFUNCTION("SPLIT(P:P, "" "")"),0.256103432411513)</f>
        <v>0.2561034324</v>
      </c>
      <c r="R406" s="4">
        <f>IFERROR(__xludf.DUMMYFUNCTION("""COMPUTED_VALUE"""),0.485904323800034)</f>
        <v>0.4859043238</v>
      </c>
      <c r="S406" s="15">
        <v>1260.0</v>
      </c>
      <c r="T406" s="4"/>
      <c r="U406" s="4"/>
    </row>
    <row r="407">
      <c r="A407" s="14" t="s">
        <v>1456</v>
      </c>
      <c r="B407" s="4">
        <f>IFERROR(__xludf.DUMMYFUNCTION("SPLIT(A:A, "" "")"),0.237705585959618)</f>
        <v>0.237705586</v>
      </c>
      <c r="C407" s="4">
        <f>IFERROR(__xludf.DUMMYFUNCTION("""COMPUTED_VALUE"""),0.707302022232779)</f>
        <v>0.7073020222</v>
      </c>
      <c r="D407" s="15">
        <v>740.0</v>
      </c>
      <c r="E407" s="4"/>
      <c r="F407" s="14" t="s">
        <v>1457</v>
      </c>
      <c r="G407" s="17">
        <f>IFERROR(__xludf.DUMMYFUNCTION("SPLIT(F:F, "" "")"),0.181906004388091)</f>
        <v>0.1819060044</v>
      </c>
      <c r="H407" s="4">
        <f>IFERROR(__xludf.DUMMYFUNCTION("""COMPUTED_VALUE"""),0.603934631703134)</f>
        <v>0.6039346317</v>
      </c>
      <c r="I407" s="15">
        <v>1480.0</v>
      </c>
      <c r="J407" s="4"/>
      <c r="K407" s="14" t="s">
        <v>1458</v>
      </c>
      <c r="L407" s="17">
        <f>IFERROR(__xludf.DUMMYFUNCTION("SPLIT(K:K, "" "")"),0.286861969181)</f>
        <v>0.2868619692</v>
      </c>
      <c r="M407" s="4">
        <f>IFERROR(__xludf.DUMMYFUNCTION("""COMPUTED_VALUE"""),0.579686538956008)</f>
        <v>0.579686539</v>
      </c>
      <c r="N407" s="15">
        <v>848.0</v>
      </c>
      <c r="O407" s="4"/>
      <c r="P407" s="14" t="s">
        <v>1459</v>
      </c>
      <c r="Q407" s="17">
        <f>IFERROR(__xludf.DUMMYFUNCTION("SPLIT(P:P, "" "")"),0.262083525917807)</f>
        <v>0.2620835259</v>
      </c>
      <c r="R407" s="4">
        <f>IFERROR(__xludf.DUMMYFUNCTION("""COMPUTED_VALUE"""),0.498138977732982)</f>
        <v>0.4981389777</v>
      </c>
      <c r="S407" s="15">
        <v>1272.0</v>
      </c>
      <c r="T407" s="4"/>
      <c r="U407" s="4"/>
    </row>
    <row r="408">
      <c r="A408" s="14" t="s">
        <v>1460</v>
      </c>
      <c r="B408" s="4">
        <f>IFERROR(__xludf.DUMMYFUNCTION("SPLIT(A:A, "" "")"),0.250953007977525)</f>
        <v>0.250953008</v>
      </c>
      <c r="C408" s="4">
        <f>IFERROR(__xludf.DUMMYFUNCTION("""COMPUTED_VALUE"""),0.72815226503329)</f>
        <v>0.728152265</v>
      </c>
      <c r="D408" s="15">
        <v>744.0</v>
      </c>
      <c r="E408" s="4"/>
      <c r="F408" s="14" t="s">
        <v>1461</v>
      </c>
      <c r="G408" s="17">
        <f>IFERROR(__xludf.DUMMYFUNCTION("SPLIT(F:F, "" "")"),0.179900524184838)</f>
        <v>0.1799005242</v>
      </c>
      <c r="H408" s="4">
        <f>IFERROR(__xludf.DUMMYFUNCTION("""COMPUTED_VALUE"""),0.607259029372777)</f>
        <v>0.6072590294</v>
      </c>
      <c r="I408" s="15">
        <v>1488.0</v>
      </c>
      <c r="J408" s="4"/>
      <c r="K408" s="14" t="s">
        <v>1462</v>
      </c>
      <c r="L408" s="17">
        <f>IFERROR(__xludf.DUMMYFUNCTION("SPLIT(K:K, "" "")"),0.288027685923522)</f>
        <v>0.2880276859</v>
      </c>
      <c r="M408" s="4">
        <f>IFERROR(__xludf.DUMMYFUNCTION("""COMPUTED_VALUE"""),0.578151393236113)</f>
        <v>0.5781513932</v>
      </c>
      <c r="N408" s="15">
        <v>856.0</v>
      </c>
      <c r="O408" s="4"/>
      <c r="P408" s="14" t="s">
        <v>1463</v>
      </c>
      <c r="Q408" s="17">
        <f>IFERROR(__xludf.DUMMYFUNCTION("SPLIT(P:P, "" "")"),0.274035056255645)</f>
        <v>0.2740350563</v>
      </c>
      <c r="R408" s="4">
        <f>IFERROR(__xludf.DUMMYFUNCTION("""COMPUTED_VALUE"""),0.510112271196683)</f>
        <v>0.5101122712</v>
      </c>
      <c r="S408" s="15">
        <v>1284.0</v>
      </c>
      <c r="T408" s="4"/>
      <c r="U408" s="4"/>
    </row>
    <row r="409">
      <c r="A409" s="14" t="s">
        <v>1464</v>
      </c>
      <c r="B409" s="4">
        <f>IFERROR(__xludf.DUMMYFUNCTION("SPLIT(A:A, "" "")"),0.238750195327268)</f>
        <v>0.2387501953</v>
      </c>
      <c r="C409" s="4">
        <f>IFERROR(__xludf.DUMMYFUNCTION("""COMPUTED_VALUE"""),0.721943813409506)</f>
        <v>0.7219438134</v>
      </c>
      <c r="D409" s="15">
        <v>748.0</v>
      </c>
      <c r="E409" s="4"/>
      <c r="F409" s="14" t="s">
        <v>1465</v>
      </c>
      <c r="G409" s="17">
        <f>IFERROR(__xludf.DUMMYFUNCTION("SPLIT(F:F, "" "")"),0.184139491650545)</f>
        <v>0.1841394917</v>
      </c>
      <c r="H409" s="4">
        <f>IFERROR(__xludf.DUMMYFUNCTION("""COMPUTED_VALUE"""),0.606690687841066)</f>
        <v>0.6066906878</v>
      </c>
      <c r="I409" s="15">
        <v>1496.0</v>
      </c>
      <c r="J409" s="4"/>
      <c r="K409" s="14" t="s">
        <v>1466</v>
      </c>
      <c r="L409" s="17">
        <f>IFERROR(__xludf.DUMMYFUNCTION("SPLIT(K:K, "" "")"),0.293008449246461)</f>
        <v>0.2930084492</v>
      </c>
      <c r="M409" s="4">
        <f>IFERROR(__xludf.DUMMYFUNCTION("""COMPUTED_VALUE"""),0.582320624192411)</f>
        <v>0.5823206242</v>
      </c>
      <c r="N409" s="15">
        <v>864.0</v>
      </c>
      <c r="O409" s="4"/>
      <c r="P409" s="14" t="s">
        <v>1467</v>
      </c>
      <c r="Q409" s="17">
        <f>IFERROR(__xludf.DUMMYFUNCTION("SPLIT(P:P, "" "")"),0.246796259614778)</f>
        <v>0.2467962596</v>
      </c>
      <c r="R409" s="4">
        <f>IFERROR(__xludf.DUMMYFUNCTION("""COMPUTED_VALUE"""),0.487144237477915)</f>
        <v>0.4871442375</v>
      </c>
      <c r="S409" s="15">
        <v>1296.0</v>
      </c>
      <c r="T409" s="4"/>
      <c r="U409" s="4"/>
    </row>
    <row r="410">
      <c r="A410" s="14" t="s">
        <v>1468</v>
      </c>
      <c r="B410" s="4">
        <f>IFERROR(__xludf.DUMMYFUNCTION("SPLIT(A:A, "" "")"),0.249540229120538)</f>
        <v>0.2495402291</v>
      </c>
      <c r="C410" s="4">
        <f>IFERROR(__xludf.DUMMYFUNCTION("""COMPUTED_VALUE"""),0.724979908718152)</f>
        <v>0.7249799087</v>
      </c>
      <c r="D410" s="15">
        <v>752.0</v>
      </c>
      <c r="E410" s="4"/>
      <c r="F410" s="14" t="s">
        <v>1469</v>
      </c>
      <c r="G410" s="17">
        <f>IFERROR(__xludf.DUMMYFUNCTION("SPLIT(F:F, "" "")"),0.187386657728193)</f>
        <v>0.1873866577</v>
      </c>
      <c r="H410" s="4">
        <f>IFERROR(__xludf.DUMMYFUNCTION("""COMPUTED_VALUE"""),0.617097300124726)</f>
        <v>0.6170973001</v>
      </c>
      <c r="I410" s="15">
        <v>1504.0</v>
      </c>
      <c r="J410" s="4"/>
      <c r="K410" s="14" t="s">
        <v>1470</v>
      </c>
      <c r="L410" s="17">
        <f>IFERROR(__xludf.DUMMYFUNCTION("SPLIT(K:K, "" "")"),0.280216309297357)</f>
        <v>0.2802163093</v>
      </c>
      <c r="M410" s="4">
        <f>IFERROR(__xludf.DUMMYFUNCTION("""COMPUTED_VALUE"""),0.563226760611806)</f>
        <v>0.5632267606</v>
      </c>
      <c r="N410" s="15">
        <v>872.0</v>
      </c>
      <c r="O410" s="4"/>
      <c r="P410" s="14" t="s">
        <v>1471</v>
      </c>
      <c r="Q410" s="17">
        <f>IFERROR(__xludf.DUMMYFUNCTION("SPLIT(P:P, "" "")"),0.257422571367135)</f>
        <v>0.2574225714</v>
      </c>
      <c r="R410" s="4">
        <f>IFERROR(__xludf.DUMMYFUNCTION("""COMPUTED_VALUE"""),0.494340516396627)</f>
        <v>0.4943405164</v>
      </c>
      <c r="S410" s="15">
        <v>1308.0</v>
      </c>
      <c r="T410" s="4"/>
      <c r="U410" s="4"/>
    </row>
    <row r="411">
      <c r="A411" s="14" t="s">
        <v>1472</v>
      </c>
      <c r="B411" s="4">
        <f>IFERROR(__xludf.DUMMYFUNCTION("SPLIT(A:A, "" "")"),0.234779432573092)</f>
        <v>0.2347794326</v>
      </c>
      <c r="C411" s="4">
        <f>IFERROR(__xludf.DUMMYFUNCTION("""COMPUTED_VALUE"""),0.701474232041293)</f>
        <v>0.701474232</v>
      </c>
      <c r="D411" s="15">
        <v>756.0</v>
      </c>
      <c r="E411" s="4"/>
      <c r="F411" s="14" t="s">
        <v>1473</v>
      </c>
      <c r="G411" s="17">
        <f>IFERROR(__xludf.DUMMYFUNCTION("SPLIT(F:F, "" "")"),0.179362732970729)</f>
        <v>0.179362733</v>
      </c>
      <c r="H411" s="4">
        <f>IFERROR(__xludf.DUMMYFUNCTION("""COMPUTED_VALUE"""),0.593714517924874)</f>
        <v>0.5937145179</v>
      </c>
      <c r="I411" s="15">
        <v>1512.0</v>
      </c>
      <c r="J411" s="4"/>
      <c r="K411" s="14" t="s">
        <v>1474</v>
      </c>
      <c r="L411" s="17">
        <f>IFERROR(__xludf.DUMMYFUNCTION("SPLIT(K:K, "" "")"),0.277617940741895)</f>
        <v>0.2776179407</v>
      </c>
      <c r="M411" s="4">
        <f>IFERROR(__xludf.DUMMYFUNCTION("""COMPUTED_VALUE"""),0.566336356677304)</f>
        <v>0.5663363567</v>
      </c>
      <c r="N411" s="15">
        <v>880.0</v>
      </c>
      <c r="O411" s="4"/>
      <c r="P411" s="14" t="s">
        <v>1475</v>
      </c>
      <c r="Q411" s="17">
        <f>IFERROR(__xludf.DUMMYFUNCTION("SPLIT(P:P, "" "")"),0.252592584135944)</f>
        <v>0.2525925841</v>
      </c>
      <c r="R411" s="4">
        <f>IFERROR(__xludf.DUMMYFUNCTION("""COMPUTED_VALUE"""),0.500980370984699)</f>
        <v>0.500980371</v>
      </c>
      <c r="S411" s="15">
        <v>1320.0</v>
      </c>
      <c r="T411" s="4"/>
      <c r="U411" s="4"/>
    </row>
    <row r="412">
      <c r="A412" s="14" t="s">
        <v>1476</v>
      </c>
      <c r="B412" s="4">
        <f>IFERROR(__xludf.DUMMYFUNCTION("SPLIT(A:A, "" "")"),0.233606429730361)</f>
        <v>0.2336064297</v>
      </c>
      <c r="C412" s="4">
        <f>IFERROR(__xludf.DUMMYFUNCTION("""COMPUTED_VALUE"""),0.70461951262236)</f>
        <v>0.7046195126</v>
      </c>
      <c r="D412" s="15">
        <v>760.0</v>
      </c>
      <c r="E412" s="4"/>
      <c r="F412" s="14" t="s">
        <v>1477</v>
      </c>
      <c r="G412" s="17">
        <f>IFERROR(__xludf.DUMMYFUNCTION("SPLIT(F:F, "" "")"),0.18191616155851)</f>
        <v>0.1819161616</v>
      </c>
      <c r="H412" s="4">
        <f>IFERROR(__xludf.DUMMYFUNCTION("""COMPUTED_VALUE"""),0.615795473584876)</f>
        <v>0.6157954736</v>
      </c>
      <c r="I412" s="15">
        <v>1520.0</v>
      </c>
      <c r="J412" s="4"/>
      <c r="K412" s="14" t="s">
        <v>1478</v>
      </c>
      <c r="L412" s="17">
        <f>IFERROR(__xludf.DUMMYFUNCTION("SPLIT(K:K, "" "")"),0.285277248585688)</f>
        <v>0.2852772486</v>
      </c>
      <c r="M412" s="4">
        <f>IFERROR(__xludf.DUMMYFUNCTION("""COMPUTED_VALUE"""),0.573334691125141)</f>
        <v>0.5733346911</v>
      </c>
      <c r="N412" s="15">
        <v>888.0</v>
      </c>
      <c r="O412" s="4"/>
      <c r="P412" s="14" t="s">
        <v>1479</v>
      </c>
      <c r="Q412" s="17">
        <f>IFERROR(__xludf.DUMMYFUNCTION("SPLIT(P:P, "" "")"),0.245536684975415)</f>
        <v>0.245536685</v>
      </c>
      <c r="R412" s="4">
        <f>IFERROR(__xludf.DUMMYFUNCTION("""COMPUTED_VALUE"""),0.486459475249267)</f>
        <v>0.4864594752</v>
      </c>
      <c r="S412" s="15">
        <v>1332.0</v>
      </c>
      <c r="T412" s="4"/>
      <c r="U412" s="4"/>
    </row>
    <row r="413">
      <c r="A413" s="14" t="s">
        <v>1480</v>
      </c>
      <c r="B413" s="4">
        <f>IFERROR(__xludf.DUMMYFUNCTION("SPLIT(A:A, "" "")"),0.238388837727837)</f>
        <v>0.2383888377</v>
      </c>
      <c r="C413" s="4">
        <f>IFERROR(__xludf.DUMMYFUNCTION("""COMPUTED_VALUE"""),0.724877653068616)</f>
        <v>0.7248776531</v>
      </c>
      <c r="D413" s="15">
        <v>764.0</v>
      </c>
      <c r="E413" s="4"/>
      <c r="F413" s="14" t="s">
        <v>1481</v>
      </c>
      <c r="G413" s="17">
        <f>IFERROR(__xludf.DUMMYFUNCTION("SPLIT(F:F, "" "")"),0.186538081280227)</f>
        <v>0.1865380813</v>
      </c>
      <c r="H413" s="4">
        <f>IFERROR(__xludf.DUMMYFUNCTION("""COMPUTED_VALUE"""),0.610387866857412)</f>
        <v>0.6103878669</v>
      </c>
      <c r="I413" s="15">
        <v>1528.0</v>
      </c>
      <c r="J413" s="4"/>
      <c r="K413" s="14" t="s">
        <v>1482</v>
      </c>
      <c r="L413" s="17">
        <f>IFERROR(__xludf.DUMMYFUNCTION("SPLIT(K:K, "" "")"),0.278971593425784)</f>
        <v>0.2789715934</v>
      </c>
      <c r="M413" s="4">
        <f>IFERROR(__xludf.DUMMYFUNCTION("""COMPUTED_VALUE"""),0.5718033568633)</f>
        <v>0.5718033569</v>
      </c>
      <c r="N413" s="15">
        <v>896.0</v>
      </c>
      <c r="O413" s="4"/>
      <c r="P413" s="14" t="s">
        <v>1483</v>
      </c>
      <c r="Q413" s="17">
        <f>IFERROR(__xludf.DUMMYFUNCTION("SPLIT(P:P, "" "")"),0.244213499452836)</f>
        <v>0.2442134995</v>
      </c>
      <c r="R413" s="4">
        <f>IFERROR(__xludf.DUMMYFUNCTION("""COMPUTED_VALUE"""),0.480085526641195)</f>
        <v>0.4800855266</v>
      </c>
      <c r="S413" s="15">
        <v>1344.0</v>
      </c>
      <c r="T413" s="4"/>
      <c r="U413" s="4"/>
    </row>
    <row r="414">
      <c r="A414" s="14" t="s">
        <v>1484</v>
      </c>
      <c r="B414" s="4">
        <f>IFERROR(__xludf.DUMMYFUNCTION("SPLIT(A:A, "" "")"),0.24362341796925)</f>
        <v>0.243623418</v>
      </c>
      <c r="C414" s="4">
        <f>IFERROR(__xludf.DUMMYFUNCTION("""COMPUTED_VALUE"""),0.715251332278378)</f>
        <v>0.7152513323</v>
      </c>
      <c r="D414" s="15">
        <v>768.0</v>
      </c>
      <c r="E414" s="4"/>
      <c r="F414" s="14" t="s">
        <v>1485</v>
      </c>
      <c r="G414" s="17">
        <f>IFERROR(__xludf.DUMMYFUNCTION("SPLIT(F:F, "" "")"),0.183435544338539)</f>
        <v>0.1834355443</v>
      </c>
      <c r="H414" s="4">
        <f>IFERROR(__xludf.DUMMYFUNCTION("""COMPUTED_VALUE"""),0.619933374297172)</f>
        <v>0.6199333743</v>
      </c>
      <c r="I414" s="15">
        <v>1536.0</v>
      </c>
      <c r="J414" s="4"/>
      <c r="K414" s="14" t="s">
        <v>1486</v>
      </c>
      <c r="L414" s="17">
        <f>IFERROR(__xludf.DUMMYFUNCTION("SPLIT(K:K, "" "")"),0.288862317157005)</f>
        <v>0.2888623172</v>
      </c>
      <c r="M414" s="4">
        <f>IFERROR(__xludf.DUMMYFUNCTION("""COMPUTED_VALUE"""),0.588459175536211)</f>
        <v>0.5884591755</v>
      </c>
      <c r="N414" s="15">
        <v>904.0</v>
      </c>
      <c r="O414" s="4"/>
      <c r="P414" s="14" t="s">
        <v>1487</v>
      </c>
      <c r="Q414" s="17">
        <f>IFERROR(__xludf.DUMMYFUNCTION("SPLIT(P:P, "" "")"),0.247212559344314)</f>
        <v>0.2472125593</v>
      </c>
      <c r="R414" s="4">
        <f>IFERROR(__xludf.DUMMYFUNCTION("""COMPUTED_VALUE"""),0.47643791133931)</f>
        <v>0.4764379113</v>
      </c>
      <c r="S414" s="15">
        <v>1356.0</v>
      </c>
      <c r="T414" s="4"/>
      <c r="U414" s="4"/>
    </row>
    <row r="415">
      <c r="A415" s="14" t="s">
        <v>1488</v>
      </c>
      <c r="B415" s="4">
        <f>IFERROR(__xludf.DUMMYFUNCTION("SPLIT(A:A, "" "")"),0.233579173693712)</f>
        <v>0.2335791737</v>
      </c>
      <c r="C415" s="4">
        <f>IFERROR(__xludf.DUMMYFUNCTION("""COMPUTED_VALUE"""),0.71086111214471)</f>
        <v>0.7108611121</v>
      </c>
      <c r="D415" s="15">
        <v>772.0</v>
      </c>
      <c r="E415" s="4"/>
      <c r="F415" s="14" t="s">
        <v>1489</v>
      </c>
      <c r="G415" s="17">
        <f>IFERROR(__xludf.DUMMYFUNCTION("SPLIT(F:F, "" "")"),0.188671526838738)</f>
        <v>0.1886715268</v>
      </c>
      <c r="H415" s="4">
        <f>IFERROR(__xludf.DUMMYFUNCTION("""COMPUTED_VALUE"""),0.619025027397063)</f>
        <v>0.6190250274</v>
      </c>
      <c r="I415" s="15">
        <v>1544.0</v>
      </c>
      <c r="J415" s="4"/>
      <c r="K415" s="14" t="s">
        <v>1490</v>
      </c>
      <c r="L415" s="17">
        <f>IFERROR(__xludf.DUMMYFUNCTION("SPLIT(K:K, "" "")"),0.272491374554251)</f>
        <v>0.2724913746</v>
      </c>
      <c r="M415" s="4">
        <f>IFERROR(__xludf.DUMMYFUNCTION("""COMPUTED_VALUE"""),0.570923573772828)</f>
        <v>0.5709235738</v>
      </c>
      <c r="N415" s="15">
        <v>912.0</v>
      </c>
      <c r="O415" s="4"/>
      <c r="P415" s="14" t="s">
        <v>1491</v>
      </c>
      <c r="Q415" s="17">
        <f>IFERROR(__xludf.DUMMYFUNCTION("SPLIT(P:P, "" "")"),0.244091591414634)</f>
        <v>0.2440915914</v>
      </c>
      <c r="R415" s="4">
        <f>IFERROR(__xludf.DUMMYFUNCTION("""COMPUTED_VALUE"""),0.483049516605355)</f>
        <v>0.4830495166</v>
      </c>
      <c r="S415" s="15">
        <v>1368.0</v>
      </c>
      <c r="T415" s="4"/>
      <c r="U415" s="4"/>
    </row>
    <row r="416">
      <c r="A416" s="14" t="s">
        <v>1492</v>
      </c>
      <c r="B416" s="4">
        <f>IFERROR(__xludf.DUMMYFUNCTION("SPLIT(A:A, "" "")"),0.239137406386375)</f>
        <v>0.2391374064</v>
      </c>
      <c r="C416" s="4">
        <f>IFERROR(__xludf.DUMMYFUNCTION("""COMPUTED_VALUE"""),0.718924074566708)</f>
        <v>0.7189240746</v>
      </c>
      <c r="D416" s="15">
        <v>776.0</v>
      </c>
      <c r="E416" s="4"/>
      <c r="F416" s="14" t="s">
        <v>1493</v>
      </c>
      <c r="G416" s="17">
        <f>IFERROR(__xludf.DUMMYFUNCTION("SPLIT(F:F, "" "")"),0.178282231601196)</f>
        <v>0.1782822316</v>
      </c>
      <c r="H416" s="4">
        <f>IFERROR(__xludf.DUMMYFUNCTION("""COMPUTED_VALUE"""),0.605657201850285)</f>
        <v>0.6056572019</v>
      </c>
      <c r="I416" s="15">
        <v>1552.0</v>
      </c>
      <c r="J416" s="4"/>
      <c r="K416" s="14" t="s">
        <v>1494</v>
      </c>
      <c r="L416" s="17">
        <f>IFERROR(__xludf.DUMMYFUNCTION("SPLIT(K:K, "" "")"),0.278419253573174)</f>
        <v>0.2784192536</v>
      </c>
      <c r="M416" s="4">
        <f>IFERROR(__xludf.DUMMYFUNCTION("""COMPUTED_VALUE"""),0.568377230654227)</f>
        <v>0.5683772307</v>
      </c>
      <c r="N416" s="15">
        <v>920.0</v>
      </c>
      <c r="O416" s="4"/>
      <c r="P416" s="14" t="s">
        <v>1495</v>
      </c>
      <c r="Q416" s="17">
        <f>IFERROR(__xludf.DUMMYFUNCTION("SPLIT(P:P, "" "")"),0.234126023418303)</f>
        <v>0.2341260234</v>
      </c>
      <c r="R416" s="4">
        <f>IFERROR(__xludf.DUMMYFUNCTION("""COMPUTED_VALUE"""),0.47620780301741)</f>
        <v>0.476207803</v>
      </c>
      <c r="S416" s="15">
        <v>1380.0</v>
      </c>
      <c r="T416" s="4"/>
      <c r="U416" s="4"/>
    </row>
    <row r="417">
      <c r="A417" s="14" t="s">
        <v>1496</v>
      </c>
      <c r="B417" s="4">
        <f>IFERROR(__xludf.DUMMYFUNCTION("SPLIT(A:A, "" "")"),0.235803344342473)</f>
        <v>0.2358033443</v>
      </c>
      <c r="C417" s="4">
        <f>IFERROR(__xludf.DUMMYFUNCTION("""COMPUTED_VALUE"""),0.701166468783324)</f>
        <v>0.7011664688</v>
      </c>
      <c r="D417" s="15">
        <v>780.0</v>
      </c>
      <c r="E417" s="4"/>
      <c r="F417" s="14" t="s">
        <v>1497</v>
      </c>
      <c r="G417" s="17">
        <f>IFERROR(__xludf.DUMMYFUNCTION("SPLIT(F:F, "" "")"),0.183699933786307)</f>
        <v>0.1836999338</v>
      </c>
      <c r="H417" s="4">
        <f>IFERROR(__xludf.DUMMYFUNCTION("""COMPUTED_VALUE"""),0.607715927818587)</f>
        <v>0.6077159278</v>
      </c>
      <c r="I417" s="15">
        <v>1560.0</v>
      </c>
      <c r="J417" s="4"/>
      <c r="K417" s="14" t="s">
        <v>1498</v>
      </c>
      <c r="L417" s="17">
        <f>IFERROR(__xludf.DUMMYFUNCTION("SPLIT(K:K, "" "")"),0.27583250409799)</f>
        <v>0.2758325041</v>
      </c>
      <c r="M417" s="4">
        <f>IFERROR(__xludf.DUMMYFUNCTION("""COMPUTED_VALUE"""),0.569191468653678)</f>
        <v>0.5691914687</v>
      </c>
      <c r="N417" s="15">
        <v>928.0</v>
      </c>
      <c r="O417" s="4"/>
      <c r="P417" s="14" t="s">
        <v>1499</v>
      </c>
      <c r="Q417" s="17">
        <f>IFERROR(__xludf.DUMMYFUNCTION("SPLIT(P:P, "" "")"),0.241095379347428)</f>
        <v>0.2410953793</v>
      </c>
      <c r="R417" s="4">
        <f>IFERROR(__xludf.DUMMYFUNCTION("""COMPUTED_VALUE"""),0.480640551530601)</f>
        <v>0.4806405515</v>
      </c>
      <c r="S417" s="15">
        <v>1392.0</v>
      </c>
      <c r="T417" s="4"/>
      <c r="U417" s="4"/>
    </row>
    <row r="418">
      <c r="A418" s="14" t="s">
        <v>1500</v>
      </c>
      <c r="B418" s="4">
        <f>IFERROR(__xludf.DUMMYFUNCTION("SPLIT(A:A, "" "")"),0.233076289349304)</f>
        <v>0.2330762893</v>
      </c>
      <c r="C418" s="4">
        <f>IFERROR(__xludf.DUMMYFUNCTION("""COMPUTED_VALUE"""),0.698690603281097)</f>
        <v>0.6986906033</v>
      </c>
      <c r="D418" s="15">
        <v>784.0</v>
      </c>
      <c r="E418" s="4"/>
      <c r="F418" s="14" t="s">
        <v>1501</v>
      </c>
      <c r="G418" s="17">
        <f>IFERROR(__xludf.DUMMYFUNCTION("SPLIT(F:F, "" "")"),0.177460573028444)</f>
        <v>0.177460573</v>
      </c>
      <c r="H418" s="4">
        <f>IFERROR(__xludf.DUMMYFUNCTION("""COMPUTED_VALUE"""),0.611772821452477)</f>
        <v>0.6117728215</v>
      </c>
      <c r="I418" s="15">
        <v>1568.0</v>
      </c>
      <c r="J418" s="4"/>
      <c r="K418" s="14" t="s">
        <v>1502</v>
      </c>
      <c r="L418" s="17">
        <f>IFERROR(__xludf.DUMMYFUNCTION("SPLIT(K:K, "" "")"),0.273218866027237)</f>
        <v>0.273218866</v>
      </c>
      <c r="M418" s="4">
        <f>IFERROR(__xludf.DUMMYFUNCTION("""COMPUTED_VALUE"""),0.573208417790356)</f>
        <v>0.5732084178</v>
      </c>
      <c r="N418" s="15">
        <v>936.0</v>
      </c>
      <c r="O418" s="4"/>
      <c r="P418" s="14" t="s">
        <v>1503</v>
      </c>
      <c r="Q418" s="17">
        <f>IFERROR(__xludf.DUMMYFUNCTION("SPLIT(P:P, "" "")"),0.236214054157987)</f>
        <v>0.2362140542</v>
      </c>
      <c r="R418" s="4">
        <f>IFERROR(__xludf.DUMMYFUNCTION("""COMPUTED_VALUE"""),0.473117941668907)</f>
        <v>0.4731179417</v>
      </c>
      <c r="S418" s="15">
        <v>1404.0</v>
      </c>
      <c r="T418" s="4"/>
      <c r="U418" s="4"/>
    </row>
    <row r="419">
      <c r="A419" s="14" t="s">
        <v>1504</v>
      </c>
      <c r="B419" s="4">
        <f>IFERROR(__xludf.DUMMYFUNCTION("SPLIT(A:A, "" "")"),0.239913567268399)</f>
        <v>0.2399135673</v>
      </c>
      <c r="C419" s="4">
        <f>IFERROR(__xludf.DUMMYFUNCTION("""COMPUTED_VALUE"""),0.714298643337749)</f>
        <v>0.7142986433</v>
      </c>
      <c r="D419" s="15">
        <v>788.0</v>
      </c>
      <c r="E419" s="4"/>
      <c r="F419" s="14" t="s">
        <v>1505</v>
      </c>
      <c r="G419" s="17">
        <f>IFERROR(__xludf.DUMMYFUNCTION("SPLIT(F:F, "" "")"),0.185710515359582)</f>
        <v>0.1857105154</v>
      </c>
      <c r="H419" s="4">
        <f>IFERROR(__xludf.DUMMYFUNCTION("""COMPUTED_VALUE"""),0.618408853402435)</f>
        <v>0.6184088534</v>
      </c>
      <c r="I419" s="15">
        <v>1576.0</v>
      </c>
      <c r="J419" s="4"/>
      <c r="K419" s="14" t="s">
        <v>1506</v>
      </c>
      <c r="L419" s="17">
        <f>IFERROR(__xludf.DUMMYFUNCTION("SPLIT(K:K, "" "")"),0.266472824921646)</f>
        <v>0.2664728249</v>
      </c>
      <c r="M419" s="4">
        <f>IFERROR(__xludf.DUMMYFUNCTION("""COMPUTED_VALUE"""),0.565020135859453)</f>
        <v>0.5650201359</v>
      </c>
      <c r="N419" s="15">
        <v>944.0</v>
      </c>
      <c r="O419" s="4"/>
      <c r="P419" s="14" t="s">
        <v>1507</v>
      </c>
      <c r="Q419" s="17">
        <f>IFERROR(__xludf.DUMMYFUNCTION("SPLIT(P:P, "" "")"),0.234529070130525)</f>
        <v>0.2345290701</v>
      </c>
      <c r="R419" s="4">
        <f>IFERROR(__xludf.DUMMYFUNCTION("""COMPUTED_VALUE"""),0.479000944478252)</f>
        <v>0.4790009445</v>
      </c>
      <c r="S419" s="15">
        <v>1416.0</v>
      </c>
      <c r="T419" s="4"/>
      <c r="U419" s="4"/>
    </row>
    <row r="420">
      <c r="A420" s="14" t="s">
        <v>1508</v>
      </c>
      <c r="B420" s="4">
        <f>IFERROR(__xludf.DUMMYFUNCTION("SPLIT(A:A, "" "")"),0.232515238981215)</f>
        <v>0.232515239</v>
      </c>
      <c r="C420" s="4">
        <f>IFERROR(__xludf.DUMMYFUNCTION("""COMPUTED_VALUE"""),0.707149323600662)</f>
        <v>0.7071493236</v>
      </c>
      <c r="D420" s="15">
        <v>792.0</v>
      </c>
      <c r="E420" s="4"/>
      <c r="F420" s="14" t="s">
        <v>1509</v>
      </c>
      <c r="G420" s="17">
        <f>IFERROR(__xludf.DUMMYFUNCTION("SPLIT(F:F, "" "")"),0.179658264889575)</f>
        <v>0.1796582649</v>
      </c>
      <c r="H420" s="4">
        <f>IFERROR(__xludf.DUMMYFUNCTION("""COMPUTED_VALUE"""),0.614937130862316)</f>
        <v>0.6149371309</v>
      </c>
      <c r="I420" s="15">
        <v>1584.0</v>
      </c>
      <c r="J420" s="4"/>
      <c r="K420" s="14" t="s">
        <v>1510</v>
      </c>
      <c r="L420" s="17">
        <f>IFERROR(__xludf.DUMMYFUNCTION("SPLIT(K:K, "" "")"),0.275253892719486)</f>
        <v>0.2752538927</v>
      </c>
      <c r="M420" s="4">
        <f>IFERROR(__xludf.DUMMYFUNCTION("""COMPUTED_VALUE"""),0.569095287346452)</f>
        <v>0.5690952873</v>
      </c>
      <c r="N420" s="15">
        <v>952.0</v>
      </c>
      <c r="O420" s="4"/>
      <c r="P420" s="14" t="s">
        <v>1511</v>
      </c>
      <c r="Q420" s="17">
        <f>IFERROR(__xludf.DUMMYFUNCTION("SPLIT(P:P, "" "")"),0.240565143597627)</f>
        <v>0.2405651436</v>
      </c>
      <c r="R420" s="4">
        <f>IFERROR(__xludf.DUMMYFUNCTION("""COMPUTED_VALUE"""),0.484365318359379)</f>
        <v>0.4843653184</v>
      </c>
      <c r="S420" s="15">
        <v>1428.0</v>
      </c>
      <c r="T420" s="4"/>
      <c r="U420" s="4"/>
    </row>
    <row r="421">
      <c r="A421" s="14" t="s">
        <v>1512</v>
      </c>
      <c r="B421" s="4">
        <f>IFERROR(__xludf.DUMMYFUNCTION("SPLIT(A:A, "" "")"),0.222143416799581)</f>
        <v>0.2221434168</v>
      </c>
      <c r="C421" s="4">
        <f>IFERROR(__xludf.DUMMYFUNCTION("""COMPUTED_VALUE"""),0.695788036191674)</f>
        <v>0.6957880362</v>
      </c>
      <c r="D421" s="15">
        <v>796.0</v>
      </c>
      <c r="E421" s="4"/>
      <c r="F421" s="14" t="s">
        <v>1513</v>
      </c>
      <c r="G421" s="17">
        <f>IFERROR(__xludf.DUMMYFUNCTION("SPLIT(F:F, "" "")"),0.170222970341708)</f>
        <v>0.1702229703</v>
      </c>
      <c r="H421" s="4">
        <f>IFERROR(__xludf.DUMMYFUNCTION("""COMPUTED_VALUE"""),0.604602559834079)</f>
        <v>0.6046025598</v>
      </c>
      <c r="I421" s="15">
        <v>1592.0</v>
      </c>
      <c r="J421" s="4"/>
      <c r="K421" s="14" t="s">
        <v>1514</v>
      </c>
      <c r="L421" s="17">
        <f>IFERROR(__xludf.DUMMYFUNCTION("SPLIT(K:K, "" "")"),0.287786326121062)</f>
        <v>0.2877863261</v>
      </c>
      <c r="M421" s="4">
        <f>IFERROR(__xludf.DUMMYFUNCTION("""COMPUTED_VALUE"""),0.587446641186193)</f>
        <v>0.5874466412</v>
      </c>
      <c r="N421" s="15">
        <v>960.0</v>
      </c>
      <c r="O421" s="4"/>
      <c r="P421" s="14" t="s">
        <v>1515</v>
      </c>
      <c r="Q421" s="17">
        <f>IFERROR(__xludf.DUMMYFUNCTION("SPLIT(P:P, "" "")"),0.232096766637069)</f>
        <v>0.2320967666</v>
      </c>
      <c r="R421" s="4">
        <f>IFERROR(__xludf.DUMMYFUNCTION("""COMPUTED_VALUE"""),0.467504308966633)</f>
        <v>0.467504309</v>
      </c>
      <c r="S421" s="15">
        <v>1440.0</v>
      </c>
      <c r="T421" s="4"/>
      <c r="U421" s="4"/>
    </row>
    <row r="422">
      <c r="A422" s="14" t="s">
        <v>1516</v>
      </c>
      <c r="B422" s="4">
        <f>IFERROR(__xludf.DUMMYFUNCTION("SPLIT(A:A, "" "")"),0.233098302775014)</f>
        <v>0.2330983028</v>
      </c>
      <c r="C422" s="4">
        <f>IFERROR(__xludf.DUMMYFUNCTION("""COMPUTED_VALUE"""),0.711398221980013)</f>
        <v>0.711398222</v>
      </c>
      <c r="D422" s="15">
        <v>800.0</v>
      </c>
      <c r="E422" s="4"/>
      <c r="F422" s="14" t="s">
        <v>1517</v>
      </c>
      <c r="G422" s="17">
        <f>IFERROR(__xludf.DUMMYFUNCTION("SPLIT(F:F, "" "")"),0.174460020655344)</f>
        <v>0.1744600207</v>
      </c>
      <c r="H422" s="4">
        <f>IFERROR(__xludf.DUMMYFUNCTION("""COMPUTED_VALUE"""),0.609849218226548)</f>
        <v>0.6098492182</v>
      </c>
      <c r="I422" s="15">
        <v>1600.0</v>
      </c>
      <c r="J422" s="4"/>
      <c r="K422" s="14" t="s">
        <v>1518</v>
      </c>
      <c r="L422" s="17">
        <f>IFERROR(__xludf.DUMMYFUNCTION("SPLIT(K:K, "" "")"),0.267527924388396)</f>
        <v>0.2675279244</v>
      </c>
      <c r="M422" s="4">
        <f>IFERROR(__xludf.DUMMYFUNCTION("""COMPUTED_VALUE"""),0.565803787717557)</f>
        <v>0.5658037877</v>
      </c>
      <c r="N422" s="15">
        <v>968.0</v>
      </c>
      <c r="O422" s="4"/>
      <c r="P422" s="14" t="s">
        <v>1519</v>
      </c>
      <c r="Q422" s="17">
        <f>IFERROR(__xludf.DUMMYFUNCTION("SPLIT(P:P, "" "")"),0.229234166729619)</f>
        <v>0.2292341667</v>
      </c>
      <c r="R422" s="4">
        <f>IFERROR(__xludf.DUMMYFUNCTION("""COMPUTED_VALUE"""),0.466154256463052)</f>
        <v>0.4661542565</v>
      </c>
      <c r="S422" s="15">
        <v>1452.0</v>
      </c>
      <c r="T422" s="4"/>
      <c r="U422" s="4"/>
    </row>
    <row r="423">
      <c r="A423" s="14" t="s">
        <v>1520</v>
      </c>
      <c r="B423" s="4">
        <f>IFERROR(__xludf.DUMMYFUNCTION("SPLIT(A:A, "" "")"),0.234703126238797)</f>
        <v>0.2347031262</v>
      </c>
      <c r="C423" s="4">
        <f>IFERROR(__xludf.DUMMYFUNCTION("""COMPUTED_VALUE"""),0.717354089794018)</f>
        <v>0.7173540898</v>
      </c>
      <c r="D423" s="15">
        <v>804.0</v>
      </c>
      <c r="E423" s="4"/>
      <c r="F423" s="14" t="s">
        <v>1521</v>
      </c>
      <c r="G423" s="17">
        <f>IFERROR(__xludf.DUMMYFUNCTION("SPLIT(F:F, "" "")"),0.176608835155861)</f>
        <v>0.1766088352</v>
      </c>
      <c r="H423" s="4">
        <f>IFERROR(__xludf.DUMMYFUNCTION("""COMPUTED_VALUE"""),0.601176506412266)</f>
        <v>0.6011765064</v>
      </c>
      <c r="I423" s="15">
        <v>1608.0</v>
      </c>
      <c r="J423" s="4"/>
      <c r="K423" s="14" t="s">
        <v>1522</v>
      </c>
      <c r="L423" s="17">
        <f>IFERROR(__xludf.DUMMYFUNCTION("SPLIT(K:K, "" "")"),0.264213562618814)</f>
        <v>0.2642135626</v>
      </c>
      <c r="M423" s="4">
        <f>IFERROR(__xludf.DUMMYFUNCTION("""COMPUTED_VALUE"""),0.562569712708794)</f>
        <v>0.5625697127</v>
      </c>
      <c r="N423" s="15">
        <v>976.0</v>
      </c>
      <c r="O423" s="4"/>
      <c r="P423" s="14" t="s">
        <v>1523</v>
      </c>
      <c r="Q423" s="17">
        <f>IFERROR(__xludf.DUMMYFUNCTION("SPLIT(P:P, "" "")"),0.225254532564446)</f>
        <v>0.2252545326</v>
      </c>
      <c r="R423" s="4">
        <f>IFERROR(__xludf.DUMMYFUNCTION("""COMPUTED_VALUE"""),0.465046794696513)</f>
        <v>0.4650467947</v>
      </c>
      <c r="S423" s="15">
        <v>1464.0</v>
      </c>
      <c r="T423" s="4"/>
      <c r="U423" s="4"/>
    </row>
    <row r="424">
      <c r="A424" s="14" t="s">
        <v>1524</v>
      </c>
      <c r="B424" s="4">
        <f>IFERROR(__xludf.DUMMYFUNCTION("SPLIT(A:A, "" "")"),0.225346465624358)</f>
        <v>0.2253464656</v>
      </c>
      <c r="C424" s="4">
        <f>IFERROR(__xludf.DUMMYFUNCTION("""COMPUTED_VALUE"""),0.705636327904604)</f>
        <v>0.7056363279</v>
      </c>
      <c r="D424" s="15">
        <v>808.0</v>
      </c>
      <c r="E424" s="4"/>
      <c r="F424" s="14" t="s">
        <v>1525</v>
      </c>
      <c r="G424" s="17">
        <f>IFERROR(__xludf.DUMMYFUNCTION("SPLIT(F:F, "" "")"),0.180531483110162)</f>
        <v>0.1805314831</v>
      </c>
      <c r="H424" s="4">
        <f>IFERROR(__xludf.DUMMYFUNCTION("""COMPUTED_VALUE"""),0.610040546346541)</f>
        <v>0.6100405463</v>
      </c>
      <c r="I424" s="15">
        <v>1616.0</v>
      </c>
      <c r="J424" s="4"/>
      <c r="K424" s="14" t="s">
        <v>1526</v>
      </c>
      <c r="L424" s="17">
        <f>IFERROR(__xludf.DUMMYFUNCTION("SPLIT(K:K, "" "")"),0.2593481321781)</f>
        <v>0.2593481322</v>
      </c>
      <c r="M424" s="4">
        <f>IFERROR(__xludf.DUMMYFUNCTION("""COMPUTED_VALUE"""),0.557109080413776)</f>
        <v>0.5571090804</v>
      </c>
      <c r="N424" s="15">
        <v>984.0</v>
      </c>
      <c r="O424" s="4"/>
      <c r="P424" s="14" t="s">
        <v>1527</v>
      </c>
      <c r="Q424" s="17">
        <f>IFERROR(__xludf.DUMMYFUNCTION("SPLIT(P:P, "" "")"),0.233911880365718)</f>
        <v>0.2339118804</v>
      </c>
      <c r="R424" s="4">
        <f>IFERROR(__xludf.DUMMYFUNCTION("""COMPUTED_VALUE"""),0.478889677225401)</f>
        <v>0.4788896772</v>
      </c>
      <c r="S424" s="15">
        <v>1476.0</v>
      </c>
      <c r="T424" s="4"/>
      <c r="U424" s="4"/>
    </row>
    <row r="425">
      <c r="A425" s="14" t="s">
        <v>1528</v>
      </c>
      <c r="B425" s="4">
        <f>IFERROR(__xludf.DUMMYFUNCTION("SPLIT(A:A, "" "")"),0.230041200199014)</f>
        <v>0.2300412002</v>
      </c>
      <c r="C425" s="4">
        <f>IFERROR(__xludf.DUMMYFUNCTION("""COMPUTED_VALUE"""),0.705766113460224)</f>
        <v>0.7057661135</v>
      </c>
      <c r="D425" s="15">
        <v>812.0</v>
      </c>
      <c r="E425" s="4"/>
      <c r="F425" s="14" t="s">
        <v>1529</v>
      </c>
      <c r="G425" s="17">
        <f>IFERROR(__xludf.DUMMYFUNCTION("SPLIT(F:F, "" "")"),0.177047010161307)</f>
        <v>0.1770470102</v>
      </c>
      <c r="H425" s="4">
        <f>IFERROR(__xludf.DUMMYFUNCTION("""COMPUTED_VALUE"""),0.614226456208595)</f>
        <v>0.6142264562</v>
      </c>
      <c r="I425" s="15">
        <v>1624.0</v>
      </c>
      <c r="J425" s="4"/>
      <c r="K425" s="14" t="s">
        <v>1530</v>
      </c>
      <c r="L425" s="17">
        <f>IFERROR(__xludf.DUMMYFUNCTION("SPLIT(K:K, "" "")"),0.266769389264786)</f>
        <v>0.2667693893</v>
      </c>
      <c r="M425" s="4">
        <f>IFERROR(__xludf.DUMMYFUNCTION("""COMPUTED_VALUE"""),0.559903003675274)</f>
        <v>0.5599030037</v>
      </c>
      <c r="N425" s="15">
        <v>992.0</v>
      </c>
      <c r="O425" s="4"/>
      <c r="P425" s="14" t="s">
        <v>1531</v>
      </c>
      <c r="Q425" s="17">
        <f>IFERROR(__xludf.DUMMYFUNCTION("SPLIT(P:P, "" "")"),0.23131703308771)</f>
        <v>0.2313170331</v>
      </c>
      <c r="R425" s="4">
        <f>IFERROR(__xludf.DUMMYFUNCTION("""COMPUTED_VALUE"""),0.469052117851957)</f>
        <v>0.4690521179</v>
      </c>
      <c r="S425" s="15">
        <v>1488.0</v>
      </c>
      <c r="T425" s="4"/>
      <c r="U425" s="4"/>
    </row>
    <row r="426">
      <c r="A426" s="14" t="s">
        <v>1532</v>
      </c>
      <c r="B426" s="4">
        <f>IFERROR(__xludf.DUMMYFUNCTION("SPLIT(A:A, "" "")"),0.221943124659016)</f>
        <v>0.2219431247</v>
      </c>
      <c r="C426" s="4">
        <f>IFERROR(__xludf.DUMMYFUNCTION("""COMPUTED_VALUE"""),0.700288748729187)</f>
        <v>0.7002887487</v>
      </c>
      <c r="D426" s="15">
        <v>816.0</v>
      </c>
      <c r="E426" s="4"/>
      <c r="F426" s="14" t="s">
        <v>1533</v>
      </c>
      <c r="G426" s="17">
        <f>IFERROR(__xludf.DUMMYFUNCTION("SPLIT(F:F, "" "")"),0.1757483748013)</f>
        <v>0.1757483748</v>
      </c>
      <c r="H426" s="4">
        <f>IFERROR(__xludf.DUMMYFUNCTION("""COMPUTED_VALUE"""),0.610009352565087)</f>
        <v>0.6100093526</v>
      </c>
      <c r="I426" s="15">
        <v>1632.0</v>
      </c>
      <c r="J426" s="4"/>
      <c r="K426" s="14" t="s">
        <v>1534</v>
      </c>
      <c r="L426" s="17">
        <f>IFERROR(__xludf.DUMMYFUNCTION("SPLIT(K:K, "" "")"),0.267903545987572)</f>
        <v>0.267903546</v>
      </c>
      <c r="M426" s="4">
        <f>IFERROR(__xludf.DUMMYFUNCTION("""COMPUTED_VALUE"""),0.571885244406738)</f>
        <v>0.5718852444</v>
      </c>
      <c r="N426" s="15">
        <v>1000.0</v>
      </c>
      <c r="O426" s="4"/>
      <c r="P426" s="14" t="s">
        <v>1535</v>
      </c>
      <c r="Q426" s="17">
        <f>IFERROR(__xludf.DUMMYFUNCTION("SPLIT(P:P, "" "")"),0.230813822018485)</f>
        <v>0.230813822</v>
      </c>
      <c r="R426" s="4">
        <f>IFERROR(__xludf.DUMMYFUNCTION("""COMPUTED_VALUE"""),0.46966316959044)</f>
        <v>0.4696631696</v>
      </c>
      <c r="S426" s="15">
        <v>1500.0</v>
      </c>
      <c r="T426" s="4"/>
      <c r="U426" s="4"/>
    </row>
    <row r="427">
      <c r="A427" s="14" t="s">
        <v>1536</v>
      </c>
      <c r="B427" s="4">
        <f>IFERROR(__xludf.DUMMYFUNCTION("SPLIT(A:A, "" "")"),0.224559144329357)</f>
        <v>0.2245591443</v>
      </c>
      <c r="C427" s="4">
        <f>IFERROR(__xludf.DUMMYFUNCTION("""COMPUTED_VALUE"""),0.706999315375646)</f>
        <v>0.7069993154</v>
      </c>
      <c r="D427" s="15">
        <v>820.0</v>
      </c>
      <c r="E427" s="4"/>
      <c r="F427" s="14" t="s">
        <v>1537</v>
      </c>
      <c r="G427" s="17">
        <f>IFERROR(__xludf.DUMMYFUNCTION("SPLIT(F:F, "" "")"),0.174221015709086)</f>
        <v>0.1742210157</v>
      </c>
      <c r="H427" s="4">
        <f>IFERROR(__xludf.DUMMYFUNCTION("""COMPUTED_VALUE"""),0.617078891113834)</f>
        <v>0.6170788911</v>
      </c>
      <c r="I427" s="15">
        <v>1640.0</v>
      </c>
      <c r="J427" s="4"/>
      <c r="K427" s="14" t="s">
        <v>1538</v>
      </c>
      <c r="L427" s="17">
        <f>IFERROR(__xludf.DUMMYFUNCTION("SPLIT(K:K, "" "")"),0.262127037962584)</f>
        <v>0.262127038</v>
      </c>
      <c r="M427" s="4">
        <f>IFERROR(__xludf.DUMMYFUNCTION("""COMPUTED_VALUE"""),0.568861771216707)</f>
        <v>0.5688617712</v>
      </c>
      <c r="N427" s="15">
        <v>1008.0</v>
      </c>
      <c r="O427" s="4"/>
      <c r="P427" s="14" t="s">
        <v>1539</v>
      </c>
      <c r="Q427" s="17">
        <f>IFERROR(__xludf.DUMMYFUNCTION("SPLIT(P:P, "" "")"),0.229523993681948)</f>
        <v>0.2295239937</v>
      </c>
      <c r="R427" s="4">
        <f>IFERROR(__xludf.DUMMYFUNCTION("""COMPUTED_VALUE"""),0.472953217581326)</f>
        <v>0.4729532176</v>
      </c>
      <c r="S427" s="15">
        <v>1512.0</v>
      </c>
      <c r="T427" s="4"/>
      <c r="U427" s="4"/>
    </row>
    <row r="428">
      <c r="A428" s="14" t="s">
        <v>1540</v>
      </c>
      <c r="B428" s="4">
        <f>IFERROR(__xludf.DUMMYFUNCTION("SPLIT(A:A, "" "")"),0.227314927890177)</f>
        <v>0.2273149279</v>
      </c>
      <c r="C428" s="4">
        <f>IFERROR(__xludf.DUMMYFUNCTION("""COMPUTED_VALUE"""),0.713783013194407)</f>
        <v>0.7137830132</v>
      </c>
      <c r="D428" s="15">
        <v>824.0</v>
      </c>
      <c r="E428" s="4"/>
      <c r="F428" s="14" t="s">
        <v>1541</v>
      </c>
      <c r="G428" s="17">
        <f>IFERROR(__xludf.DUMMYFUNCTION("SPLIT(F:F, "" "")"),0.175426646586343)</f>
        <v>0.1754266466</v>
      </c>
      <c r="H428" s="4">
        <f>IFERROR(__xludf.DUMMYFUNCTION("""COMPUTED_VALUE"""),0.612709144298974)</f>
        <v>0.6127091443</v>
      </c>
      <c r="I428" s="15">
        <v>1648.0</v>
      </c>
      <c r="J428" s="4"/>
      <c r="K428" s="14" t="s">
        <v>1542</v>
      </c>
      <c r="L428" s="17">
        <f>IFERROR(__xludf.DUMMYFUNCTION("SPLIT(K:K, "" "")"),0.264615997473735)</f>
        <v>0.2646159975</v>
      </c>
      <c r="M428" s="4">
        <f>IFERROR(__xludf.DUMMYFUNCTION("""COMPUTED_VALUE"""),0.564697490845524)</f>
        <v>0.5646974908</v>
      </c>
      <c r="N428" s="15">
        <v>1016.0</v>
      </c>
      <c r="O428" s="4"/>
      <c r="P428" s="14" t="s">
        <v>1543</v>
      </c>
      <c r="Q428" s="17">
        <f>IFERROR(__xludf.DUMMYFUNCTION("SPLIT(P:P, "" "")"),0.230886388212188)</f>
        <v>0.2308863882</v>
      </c>
      <c r="R428" s="4">
        <f>IFERROR(__xludf.DUMMYFUNCTION("""COMPUTED_VALUE"""),0.471109884799604)</f>
        <v>0.4711098848</v>
      </c>
      <c r="S428" s="15">
        <v>1524.0</v>
      </c>
      <c r="T428" s="4"/>
      <c r="U428" s="4"/>
    </row>
    <row r="429">
      <c r="A429" s="14" t="s">
        <v>1544</v>
      </c>
      <c r="B429" s="4">
        <f>IFERROR(__xludf.DUMMYFUNCTION("SPLIT(A:A, "" "")"),0.223772762789907)</f>
        <v>0.2237727628</v>
      </c>
      <c r="C429" s="4">
        <f>IFERROR(__xludf.DUMMYFUNCTION("""COMPUTED_VALUE"""),0.691772857285435)</f>
        <v>0.6917728573</v>
      </c>
      <c r="D429" s="15">
        <v>828.0</v>
      </c>
      <c r="E429" s="4"/>
      <c r="F429" s="14" t="s">
        <v>1545</v>
      </c>
      <c r="G429" s="17">
        <f>IFERROR(__xludf.DUMMYFUNCTION("SPLIT(F:F, "" "")"),0.172336102881495)</f>
        <v>0.1723361029</v>
      </c>
      <c r="H429" s="4">
        <f>IFERROR(__xludf.DUMMYFUNCTION("""COMPUTED_VALUE"""),0.620397125619082)</f>
        <v>0.6203971256</v>
      </c>
      <c r="I429" s="15">
        <v>1656.0</v>
      </c>
      <c r="J429" s="4"/>
      <c r="K429" s="14" t="s">
        <v>1546</v>
      </c>
      <c r="L429" s="17">
        <f>IFERROR(__xludf.DUMMYFUNCTION("SPLIT(K:K, "" "")"),0.25570107550947)</f>
        <v>0.2557010755</v>
      </c>
      <c r="M429" s="4">
        <f>IFERROR(__xludf.DUMMYFUNCTION("""COMPUTED_VALUE"""),0.557483230885023)</f>
        <v>0.5574832309</v>
      </c>
      <c r="N429" s="15">
        <v>1024.0</v>
      </c>
      <c r="O429" s="4"/>
      <c r="P429" s="14" t="s">
        <v>1547</v>
      </c>
      <c r="Q429" s="17">
        <f>IFERROR(__xludf.DUMMYFUNCTION("SPLIT(P:P, "" "")"),0.230946236202659)</f>
        <v>0.2309462362</v>
      </c>
      <c r="R429" s="4">
        <f>IFERROR(__xludf.DUMMYFUNCTION("""COMPUTED_VALUE"""),0.476726351917762)</f>
        <v>0.4767263519</v>
      </c>
      <c r="S429" s="15">
        <v>1536.0</v>
      </c>
      <c r="T429" s="4"/>
      <c r="U429" s="4"/>
    </row>
    <row r="430">
      <c r="A430" s="14" t="s">
        <v>1548</v>
      </c>
      <c r="B430" s="4">
        <f>IFERROR(__xludf.DUMMYFUNCTION("SPLIT(A:A, "" "")"),0.229481063192951)</f>
        <v>0.2294810632</v>
      </c>
      <c r="C430" s="4">
        <f>IFERROR(__xludf.DUMMYFUNCTION("""COMPUTED_VALUE"""),0.70147109609842)</f>
        <v>0.7014710961</v>
      </c>
      <c r="D430" s="15">
        <v>832.0</v>
      </c>
      <c r="E430" s="4"/>
      <c r="F430" s="14" t="s">
        <v>1549</v>
      </c>
      <c r="G430" s="17">
        <f>IFERROR(__xludf.DUMMYFUNCTION("SPLIT(F:F, "" "")"),0.173748982330254)</f>
        <v>0.1737489823</v>
      </c>
      <c r="H430" s="4">
        <f>IFERROR(__xludf.DUMMYFUNCTION("""COMPUTED_VALUE"""),0.60816360729568)</f>
        <v>0.6081636073</v>
      </c>
      <c r="I430" s="15">
        <v>1664.0</v>
      </c>
      <c r="J430" s="4"/>
      <c r="K430" s="14" t="s">
        <v>1550</v>
      </c>
      <c r="L430" s="17">
        <f>IFERROR(__xludf.DUMMYFUNCTION("SPLIT(K:K, "" "")"),0.256189403018605)</f>
        <v>0.256189403</v>
      </c>
      <c r="M430" s="4">
        <f>IFERROR(__xludf.DUMMYFUNCTION("""COMPUTED_VALUE"""),0.564902018741958)</f>
        <v>0.5649020187</v>
      </c>
      <c r="N430" s="15">
        <v>1032.0</v>
      </c>
      <c r="O430" s="4"/>
      <c r="P430" s="14" t="s">
        <v>1551</v>
      </c>
      <c r="Q430" s="17">
        <f>IFERROR(__xludf.DUMMYFUNCTION("SPLIT(P:P, "" "")"),0.235963549829743)</f>
        <v>0.2359635498</v>
      </c>
      <c r="R430" s="4">
        <f>IFERROR(__xludf.DUMMYFUNCTION("""COMPUTED_VALUE"""),0.470801108317896)</f>
        <v>0.4708011083</v>
      </c>
      <c r="S430" s="15">
        <v>1548.0</v>
      </c>
      <c r="T430" s="4"/>
      <c r="U430" s="4"/>
    </row>
    <row r="431">
      <c r="A431" s="14" t="s">
        <v>1552</v>
      </c>
      <c r="B431" s="4">
        <f>IFERROR(__xludf.DUMMYFUNCTION("SPLIT(A:A, "" "")"),0.228025066820357)</f>
        <v>0.2280250668</v>
      </c>
      <c r="C431" s="4">
        <f>IFERROR(__xludf.DUMMYFUNCTION("""COMPUTED_VALUE"""),0.706219702622143)</f>
        <v>0.7062197026</v>
      </c>
      <c r="D431" s="15">
        <v>836.0</v>
      </c>
      <c r="E431" s="4"/>
      <c r="F431" s="14" t="s">
        <v>1553</v>
      </c>
      <c r="G431" s="17">
        <f>IFERROR(__xludf.DUMMYFUNCTION("SPLIT(F:F, "" "")"),0.167703861380958)</f>
        <v>0.1677038614</v>
      </c>
      <c r="H431" s="4">
        <f>IFERROR(__xludf.DUMMYFUNCTION("""COMPUTED_VALUE"""),0.599715733291733)</f>
        <v>0.5997157333</v>
      </c>
      <c r="I431" s="15">
        <v>1672.0</v>
      </c>
      <c r="J431" s="4"/>
      <c r="K431" s="14" t="s">
        <v>1554</v>
      </c>
      <c r="L431" s="17">
        <f>IFERROR(__xludf.DUMMYFUNCTION("SPLIT(K:K, "" "")"),0.27014465138032)</f>
        <v>0.2701446514</v>
      </c>
      <c r="M431" s="4">
        <f>IFERROR(__xludf.DUMMYFUNCTION("""COMPUTED_VALUE"""),0.568789766163112)</f>
        <v>0.5687897662</v>
      </c>
      <c r="N431" s="15">
        <v>1040.0</v>
      </c>
      <c r="O431" s="4"/>
      <c r="P431" s="14" t="s">
        <v>1555</v>
      </c>
      <c r="Q431" s="17">
        <f>IFERROR(__xludf.DUMMYFUNCTION("SPLIT(P:P, "" "")"),0.225942337820731)</f>
        <v>0.2259423378</v>
      </c>
      <c r="R431" s="4">
        <f>IFERROR(__xludf.DUMMYFUNCTION("""COMPUTED_VALUE"""),0.460390782157133)</f>
        <v>0.4603907822</v>
      </c>
      <c r="S431" s="15">
        <v>1560.0</v>
      </c>
      <c r="T431" s="4"/>
      <c r="U431" s="4"/>
    </row>
    <row r="432">
      <c r="A432" s="14" t="s">
        <v>1556</v>
      </c>
      <c r="B432" s="4">
        <f>IFERROR(__xludf.DUMMYFUNCTION("SPLIT(A:A, "" "")"),0.221424769905012)</f>
        <v>0.2214247699</v>
      </c>
      <c r="C432" s="4">
        <f>IFERROR(__xludf.DUMMYFUNCTION("""COMPUTED_VALUE"""),0.690587014103402)</f>
        <v>0.6905870141</v>
      </c>
      <c r="D432" s="15">
        <v>840.0</v>
      </c>
      <c r="E432" s="4"/>
      <c r="F432" s="14" t="s">
        <v>1557</v>
      </c>
      <c r="G432" s="17">
        <f>IFERROR(__xludf.DUMMYFUNCTION("SPLIT(F:F, "" "")"),0.167142808624738)</f>
        <v>0.1671428086</v>
      </c>
      <c r="H432" s="4">
        <f>IFERROR(__xludf.DUMMYFUNCTION("""COMPUTED_VALUE"""),0.601019530885654)</f>
        <v>0.6010195309</v>
      </c>
      <c r="I432" s="15">
        <v>1680.0</v>
      </c>
      <c r="J432" s="4"/>
      <c r="K432" s="14" t="s">
        <v>1558</v>
      </c>
      <c r="L432" s="17">
        <f>IFERROR(__xludf.DUMMYFUNCTION("SPLIT(K:K, "" "")"),0.255860182598196)</f>
        <v>0.2558601826</v>
      </c>
      <c r="M432" s="4">
        <f>IFERROR(__xludf.DUMMYFUNCTION("""COMPUTED_VALUE"""),0.562306095443019)</f>
        <v>0.5623060954</v>
      </c>
      <c r="N432" s="15">
        <v>1048.0</v>
      </c>
      <c r="O432" s="4"/>
      <c r="P432" s="14" t="s">
        <v>1559</v>
      </c>
      <c r="Q432" s="17">
        <f>IFERROR(__xludf.DUMMYFUNCTION("SPLIT(P:P, "" "")"),0.226331834994062)</f>
        <v>0.226331835</v>
      </c>
      <c r="R432" s="4">
        <f>IFERROR(__xludf.DUMMYFUNCTION("""COMPUTED_VALUE"""),0.471177973694163)</f>
        <v>0.4711779737</v>
      </c>
      <c r="S432" s="15">
        <v>1572.0</v>
      </c>
      <c r="T432" s="4"/>
      <c r="U432" s="4"/>
    </row>
    <row r="433">
      <c r="A433" s="14" t="s">
        <v>1560</v>
      </c>
      <c r="B433" s="4">
        <f>IFERROR(__xludf.DUMMYFUNCTION("SPLIT(A:A, "" "")"),0.218121834542043)</f>
        <v>0.2181218345</v>
      </c>
      <c r="C433" s="4">
        <f>IFERROR(__xludf.DUMMYFUNCTION("""COMPUTED_VALUE"""),0.702634486686649)</f>
        <v>0.7026344867</v>
      </c>
      <c r="D433" s="15">
        <v>844.0</v>
      </c>
      <c r="E433" s="4"/>
      <c r="F433" s="14" t="s">
        <v>1561</v>
      </c>
      <c r="G433" s="17">
        <f>IFERROR(__xludf.DUMMYFUNCTION("SPLIT(F:F, "" "")"),0.175779744677293)</f>
        <v>0.1757797447</v>
      </c>
      <c r="H433" s="4">
        <f>IFERROR(__xludf.DUMMYFUNCTION("""COMPUTED_VALUE"""),0.611054329909324)</f>
        <v>0.6110543299</v>
      </c>
      <c r="I433" s="15">
        <v>1688.0</v>
      </c>
      <c r="J433" s="4"/>
      <c r="K433" s="14" t="s">
        <v>1562</v>
      </c>
      <c r="L433" s="17">
        <f>IFERROR(__xludf.DUMMYFUNCTION("SPLIT(K:K, "" "")"),0.250684590984374)</f>
        <v>0.250684591</v>
      </c>
      <c r="M433" s="4">
        <f>IFERROR(__xludf.DUMMYFUNCTION("""COMPUTED_VALUE"""),0.554524095598683)</f>
        <v>0.5545240956</v>
      </c>
      <c r="N433" s="15">
        <v>1056.0</v>
      </c>
      <c r="O433" s="4"/>
      <c r="P433" s="14" t="s">
        <v>1563</v>
      </c>
      <c r="Q433" s="17">
        <f>IFERROR(__xludf.DUMMYFUNCTION("SPLIT(P:P, "" "")"),0.22573268381522)</f>
        <v>0.2257326838</v>
      </c>
      <c r="R433" s="4">
        <f>IFERROR(__xludf.DUMMYFUNCTION("""COMPUTED_VALUE"""),0.472115864091503)</f>
        <v>0.4721158641</v>
      </c>
      <c r="S433" s="15">
        <v>1584.0</v>
      </c>
      <c r="T433" s="4"/>
      <c r="U433" s="4"/>
    </row>
    <row r="434">
      <c r="A434" s="14" t="s">
        <v>1564</v>
      </c>
      <c r="B434" s="4">
        <f>IFERROR(__xludf.DUMMYFUNCTION("SPLIT(A:A, "" "")"),0.225039138336099)</f>
        <v>0.2250391383</v>
      </c>
      <c r="C434" s="4">
        <f>IFERROR(__xludf.DUMMYFUNCTION("""COMPUTED_VALUE"""),0.716674698664507)</f>
        <v>0.7166746987</v>
      </c>
      <c r="D434" s="15">
        <v>848.0</v>
      </c>
      <c r="E434" s="4"/>
      <c r="F434" s="14" t="s">
        <v>1565</v>
      </c>
      <c r="G434" s="17">
        <f>IFERROR(__xludf.DUMMYFUNCTION("SPLIT(F:F, "" "")"),0.172278769470648)</f>
        <v>0.1722787695</v>
      </c>
      <c r="H434" s="4">
        <f>IFERROR(__xludf.DUMMYFUNCTION("""COMPUTED_VALUE"""),0.610529874418467)</f>
        <v>0.6105298744</v>
      </c>
      <c r="I434" s="15">
        <v>1696.0</v>
      </c>
      <c r="J434" s="4"/>
      <c r="K434" s="14" t="s">
        <v>1566</v>
      </c>
      <c r="L434" s="17">
        <f>IFERROR(__xludf.DUMMYFUNCTION("SPLIT(K:K, "" "")"),0.262996963230314)</f>
        <v>0.2629969632</v>
      </c>
      <c r="M434" s="4">
        <f>IFERROR(__xludf.DUMMYFUNCTION("""COMPUTED_VALUE"""),0.573775000851653)</f>
        <v>0.5737750009</v>
      </c>
      <c r="N434" s="15">
        <v>1064.0</v>
      </c>
      <c r="O434" s="4"/>
      <c r="P434" s="14" t="s">
        <v>1567</v>
      </c>
      <c r="Q434" s="17">
        <f>IFERROR(__xludf.DUMMYFUNCTION("SPLIT(P:P, "" "")"),0.224250678796951)</f>
        <v>0.2242506788</v>
      </c>
      <c r="R434" s="4">
        <f>IFERROR(__xludf.DUMMYFUNCTION("""COMPUTED_VALUE"""),0.463585380621887)</f>
        <v>0.4635853806</v>
      </c>
      <c r="S434" s="15">
        <v>1596.0</v>
      </c>
      <c r="T434" s="4"/>
      <c r="U434" s="4"/>
    </row>
    <row r="435">
      <c r="A435" s="14" t="s">
        <v>1568</v>
      </c>
      <c r="B435" s="4">
        <f>IFERROR(__xludf.DUMMYFUNCTION("SPLIT(A:A, "" "")"),0.236728568328261)</f>
        <v>0.2367285683</v>
      </c>
      <c r="C435" s="4">
        <f>IFERROR(__xludf.DUMMYFUNCTION("""COMPUTED_VALUE"""),0.711466016357485)</f>
        <v>0.7114660164</v>
      </c>
      <c r="D435" s="15">
        <v>852.0</v>
      </c>
      <c r="E435" s="4"/>
      <c r="F435" s="14" t="s">
        <v>1569</v>
      </c>
      <c r="G435" s="17">
        <f>IFERROR(__xludf.DUMMYFUNCTION("SPLIT(F:F, "" "")"),0.175963827375453)</f>
        <v>0.1759638274</v>
      </c>
      <c r="H435" s="4">
        <f>IFERROR(__xludf.DUMMYFUNCTION("""COMPUTED_VALUE"""),0.605857140588978)</f>
        <v>0.6058571406</v>
      </c>
      <c r="I435" s="15">
        <v>1704.0</v>
      </c>
      <c r="J435" s="4"/>
      <c r="K435" s="14" t="s">
        <v>1570</v>
      </c>
      <c r="L435" s="17">
        <f>IFERROR(__xludf.DUMMYFUNCTION("SPLIT(K:K, "" "")"),0.252691408178129)</f>
        <v>0.2526914082</v>
      </c>
      <c r="M435" s="4">
        <f>IFERROR(__xludf.DUMMYFUNCTION("""COMPUTED_VALUE"""),0.571282870880348)</f>
        <v>0.5712828709</v>
      </c>
      <c r="N435" s="15">
        <v>1072.0</v>
      </c>
      <c r="O435" s="4"/>
      <c r="P435" s="14" t="s">
        <v>1571</v>
      </c>
      <c r="Q435" s="17">
        <f>IFERROR(__xludf.DUMMYFUNCTION("SPLIT(P:P, "" "")"),0.223738737124097)</f>
        <v>0.2237387371</v>
      </c>
      <c r="R435" s="4">
        <f>IFERROR(__xludf.DUMMYFUNCTION("""COMPUTED_VALUE"""),0.472751387959222)</f>
        <v>0.472751388</v>
      </c>
      <c r="S435" s="15">
        <v>1608.0</v>
      </c>
      <c r="T435" s="4"/>
      <c r="U435" s="4"/>
    </row>
    <row r="436">
      <c r="A436" s="14" t="s">
        <v>1572</v>
      </c>
      <c r="B436" s="4">
        <f>IFERROR(__xludf.DUMMYFUNCTION("SPLIT(A:A, "" "")"),0.220152104907145)</f>
        <v>0.2201521049</v>
      </c>
      <c r="C436" s="4">
        <f>IFERROR(__xludf.DUMMYFUNCTION("""COMPUTED_VALUE"""),0.704309232818636)</f>
        <v>0.7043092328</v>
      </c>
      <c r="D436" s="15">
        <v>856.0</v>
      </c>
      <c r="E436" s="4"/>
      <c r="F436" s="14" t="s">
        <v>1573</v>
      </c>
      <c r="G436" s="17">
        <f>IFERROR(__xludf.DUMMYFUNCTION("SPLIT(F:F, "" "")"),0.173170742080919)</f>
        <v>0.1731707421</v>
      </c>
      <c r="H436" s="4">
        <f>IFERROR(__xludf.DUMMYFUNCTION("""COMPUTED_VALUE"""),0.617273714321393)</f>
        <v>0.6172737143</v>
      </c>
      <c r="I436" s="15">
        <v>1712.0</v>
      </c>
      <c r="J436" s="4"/>
      <c r="K436" s="14" t="s">
        <v>1574</v>
      </c>
      <c r="L436" s="17">
        <f>IFERROR(__xludf.DUMMYFUNCTION("SPLIT(K:K, "" "")"),0.247653562953833)</f>
        <v>0.247653563</v>
      </c>
      <c r="M436" s="4">
        <f>IFERROR(__xludf.DUMMYFUNCTION("""COMPUTED_VALUE"""),0.554698989781033)</f>
        <v>0.5546989898</v>
      </c>
      <c r="N436" s="15">
        <v>1080.0</v>
      </c>
      <c r="O436" s="4"/>
      <c r="P436" s="14" t="s">
        <v>1575</v>
      </c>
      <c r="Q436" s="17">
        <f>IFERROR(__xludf.DUMMYFUNCTION("SPLIT(P:P, "" "")"),0.22651861776597)</f>
        <v>0.2265186178</v>
      </c>
      <c r="R436" s="4">
        <f>IFERROR(__xludf.DUMMYFUNCTION("""COMPUTED_VALUE"""),0.472556210408094)</f>
        <v>0.4725562104</v>
      </c>
      <c r="S436" s="15">
        <v>1620.0</v>
      </c>
      <c r="T436" s="4"/>
      <c r="U436" s="4"/>
    </row>
    <row r="437">
      <c r="A437" s="14" t="s">
        <v>1576</v>
      </c>
      <c r="B437" s="4">
        <f>IFERROR(__xludf.DUMMYFUNCTION("SPLIT(A:A, "" "")"),0.235028253525366)</f>
        <v>0.2350282535</v>
      </c>
      <c r="C437" s="4">
        <f>IFERROR(__xludf.DUMMYFUNCTION("""COMPUTED_VALUE"""),0.72304671405859)</f>
        <v>0.7230467141</v>
      </c>
      <c r="D437" s="15">
        <v>860.0</v>
      </c>
      <c r="E437" s="4"/>
      <c r="F437" s="14" t="s">
        <v>1577</v>
      </c>
      <c r="G437" s="17">
        <f>IFERROR(__xludf.DUMMYFUNCTION("SPLIT(F:F, "" "")"),0.165479372822873)</f>
        <v>0.1654793728</v>
      </c>
      <c r="H437" s="4">
        <f>IFERROR(__xludf.DUMMYFUNCTION("""COMPUTED_VALUE"""),0.606885777036537)</f>
        <v>0.606885777</v>
      </c>
      <c r="I437" s="15">
        <v>1720.0</v>
      </c>
      <c r="J437" s="4"/>
      <c r="K437" s="14" t="s">
        <v>1578</v>
      </c>
      <c r="L437" s="17">
        <f>IFERROR(__xludf.DUMMYFUNCTION("SPLIT(K:K, "" "")"),0.243699018437391)</f>
        <v>0.2436990184</v>
      </c>
      <c r="M437" s="4">
        <f>IFERROR(__xludf.DUMMYFUNCTION("""COMPUTED_VALUE"""),0.548068225918535)</f>
        <v>0.5480682259</v>
      </c>
      <c r="N437" s="15">
        <v>1088.0</v>
      </c>
      <c r="O437" s="4"/>
      <c r="P437" s="14" t="s">
        <v>1579</v>
      </c>
      <c r="Q437" s="17">
        <f>IFERROR(__xludf.DUMMYFUNCTION("SPLIT(P:P, "" "")"),0.220211105455678)</f>
        <v>0.2202111055</v>
      </c>
      <c r="R437" s="4">
        <f>IFERROR(__xludf.DUMMYFUNCTION("""COMPUTED_VALUE"""),0.466208221731722)</f>
        <v>0.4662082217</v>
      </c>
      <c r="S437" s="15">
        <v>1632.0</v>
      </c>
      <c r="T437" s="4"/>
      <c r="U437" s="4"/>
    </row>
    <row r="438">
      <c r="A438" s="14" t="s">
        <v>1580</v>
      </c>
      <c r="B438" s="4">
        <f>IFERROR(__xludf.DUMMYFUNCTION("SPLIT(A:A, "" "")"),0.215313542925717)</f>
        <v>0.2153135429</v>
      </c>
      <c r="C438" s="4">
        <f>IFERROR(__xludf.DUMMYFUNCTION("""COMPUTED_VALUE"""),0.697045109173489)</f>
        <v>0.6970451092</v>
      </c>
      <c r="D438" s="15">
        <v>864.0</v>
      </c>
      <c r="E438" s="4"/>
      <c r="F438" s="14" t="s">
        <v>1581</v>
      </c>
      <c r="G438" s="17">
        <f>IFERROR(__xludf.DUMMYFUNCTION("SPLIT(F:F, "" "")"),0.166868051208236)</f>
        <v>0.1668680512</v>
      </c>
      <c r="H438" s="4">
        <f>IFERROR(__xludf.DUMMYFUNCTION("""COMPUTED_VALUE"""),0.600381569519985)</f>
        <v>0.6003815695</v>
      </c>
      <c r="I438" s="15">
        <v>1728.0</v>
      </c>
      <c r="J438" s="4"/>
      <c r="K438" s="14" t="s">
        <v>1582</v>
      </c>
      <c r="L438" s="17">
        <f>IFERROR(__xludf.DUMMYFUNCTION("SPLIT(K:K, "" "")"),0.260574852426908)</f>
        <v>0.2605748524</v>
      </c>
      <c r="M438" s="4">
        <f>IFERROR(__xludf.DUMMYFUNCTION("""COMPUTED_VALUE"""),0.576442757014674)</f>
        <v>0.576442757</v>
      </c>
      <c r="N438" s="15">
        <v>1096.0</v>
      </c>
      <c r="O438" s="4"/>
      <c r="P438" s="14" t="s">
        <v>1583</v>
      </c>
      <c r="Q438" s="17">
        <f>IFERROR(__xludf.DUMMYFUNCTION("SPLIT(P:P, "" "")"),0.226854236547466)</f>
        <v>0.2268542365</v>
      </c>
      <c r="R438" s="4">
        <f>IFERROR(__xludf.DUMMYFUNCTION("""COMPUTED_VALUE"""),0.478894015585352)</f>
        <v>0.4788940156</v>
      </c>
      <c r="S438" s="15">
        <v>1644.0</v>
      </c>
      <c r="T438" s="4"/>
      <c r="U438" s="4"/>
    </row>
    <row r="439">
      <c r="A439" s="14" t="s">
        <v>1584</v>
      </c>
      <c r="B439" s="4">
        <f>IFERROR(__xludf.DUMMYFUNCTION("SPLIT(A:A, "" "")"),0.222106791705464)</f>
        <v>0.2221067917</v>
      </c>
      <c r="C439" s="4">
        <f>IFERROR(__xludf.DUMMYFUNCTION("""COMPUTED_VALUE"""),0.696914759393515)</f>
        <v>0.6969147594</v>
      </c>
      <c r="D439" s="15">
        <v>868.0</v>
      </c>
      <c r="E439" s="4"/>
      <c r="F439" s="14" t="s">
        <v>1585</v>
      </c>
      <c r="G439" s="17">
        <f>IFERROR(__xludf.DUMMYFUNCTION("SPLIT(F:F, "" "")"),0.17097973340771)</f>
        <v>0.1709797334</v>
      </c>
      <c r="H439" s="4">
        <f>IFERROR(__xludf.DUMMYFUNCTION("""COMPUTED_VALUE"""),0.610502235174306)</f>
        <v>0.6105022352</v>
      </c>
      <c r="I439" s="15">
        <v>1736.0</v>
      </c>
      <c r="J439" s="4"/>
      <c r="K439" s="14" t="s">
        <v>1586</v>
      </c>
      <c r="L439" s="17">
        <f>IFERROR(__xludf.DUMMYFUNCTION("SPLIT(K:K, "" "")"),0.242254578142652)</f>
        <v>0.2422545781</v>
      </c>
      <c r="M439" s="4">
        <f>IFERROR(__xludf.DUMMYFUNCTION("""COMPUTED_VALUE"""),0.551961936398777)</f>
        <v>0.5519619364</v>
      </c>
      <c r="N439" s="15">
        <v>1104.0</v>
      </c>
      <c r="O439" s="4"/>
      <c r="P439" s="14" t="s">
        <v>1587</v>
      </c>
      <c r="Q439" s="17">
        <f>IFERROR(__xludf.DUMMYFUNCTION("SPLIT(P:P, "" "")"),0.215685260664763)</f>
        <v>0.2156852607</v>
      </c>
      <c r="R439" s="4">
        <f>IFERROR(__xludf.DUMMYFUNCTION("""COMPUTED_VALUE"""),0.465100974752218)</f>
        <v>0.4651009748</v>
      </c>
      <c r="S439" s="15">
        <v>1656.0</v>
      </c>
      <c r="T439" s="4"/>
      <c r="U439" s="4"/>
    </row>
    <row r="440">
      <c r="A440" s="14" t="s">
        <v>1588</v>
      </c>
      <c r="B440" s="4">
        <f>IFERROR(__xludf.DUMMYFUNCTION("SPLIT(A:A, "" "")"),0.221662242768007)</f>
        <v>0.2216622428</v>
      </c>
      <c r="C440" s="4">
        <f>IFERROR(__xludf.DUMMYFUNCTION("""COMPUTED_VALUE"""),0.703651272402816)</f>
        <v>0.7036512724</v>
      </c>
      <c r="D440" s="15">
        <v>872.0</v>
      </c>
      <c r="E440" s="4"/>
      <c r="F440" s="14" t="s">
        <v>1589</v>
      </c>
      <c r="G440" s="17">
        <f>IFERROR(__xludf.DUMMYFUNCTION("SPLIT(F:F, "" "")"),0.165972797738905)</f>
        <v>0.1659727977</v>
      </c>
      <c r="H440" s="4">
        <f>IFERROR(__xludf.DUMMYFUNCTION("""COMPUTED_VALUE"""),0.60107315124907)</f>
        <v>0.6010731512</v>
      </c>
      <c r="I440" s="15">
        <v>1744.0</v>
      </c>
      <c r="J440" s="4"/>
      <c r="K440" s="14" t="s">
        <v>1590</v>
      </c>
      <c r="L440" s="17">
        <f>IFERROR(__xludf.DUMMYFUNCTION("SPLIT(K:K, "" "")"),0.251059831478935)</f>
        <v>0.2510598315</v>
      </c>
      <c r="M440" s="4">
        <f>IFERROR(__xludf.DUMMYFUNCTION("""COMPUTED_VALUE"""),0.565404251088927)</f>
        <v>0.5654042511</v>
      </c>
      <c r="N440" s="15">
        <v>1112.0</v>
      </c>
      <c r="O440" s="4"/>
      <c r="P440" s="14" t="s">
        <v>1591</v>
      </c>
      <c r="Q440" s="17">
        <f>IFERROR(__xludf.DUMMYFUNCTION("SPLIT(P:P, "" "")"),0.226473956458899)</f>
        <v>0.2264739565</v>
      </c>
      <c r="R440" s="4">
        <f>IFERROR(__xludf.DUMMYFUNCTION("""COMPUTED_VALUE"""),0.465757662319433)</f>
        <v>0.4657576623</v>
      </c>
      <c r="S440" s="15">
        <v>1668.0</v>
      </c>
      <c r="T440" s="4"/>
      <c r="U440" s="4"/>
    </row>
    <row r="441">
      <c r="A441" s="14" t="s">
        <v>1592</v>
      </c>
      <c r="B441" s="4">
        <f>IFERROR(__xludf.DUMMYFUNCTION("SPLIT(A:A, "" "")"),0.216990431558675)</f>
        <v>0.2169904316</v>
      </c>
      <c r="C441" s="4">
        <f>IFERROR(__xludf.DUMMYFUNCTION("""COMPUTED_VALUE"""),0.694712455007295)</f>
        <v>0.694712455</v>
      </c>
      <c r="D441" s="15">
        <v>876.0</v>
      </c>
      <c r="E441" s="4"/>
      <c r="F441" s="14" t="s">
        <v>1593</v>
      </c>
      <c r="G441" s="17">
        <f>IFERROR(__xludf.DUMMYFUNCTION("SPLIT(F:F, "" "")"),0.164786953077713)</f>
        <v>0.1647869531</v>
      </c>
      <c r="H441" s="4">
        <f>IFERROR(__xludf.DUMMYFUNCTION("""COMPUTED_VALUE"""),0.607255440693206)</f>
        <v>0.6072554407</v>
      </c>
      <c r="I441" s="15">
        <v>1752.0</v>
      </c>
      <c r="J441" s="4"/>
      <c r="K441" s="14" t="s">
        <v>1594</v>
      </c>
      <c r="L441" s="17">
        <f>IFERROR(__xludf.DUMMYFUNCTION("SPLIT(K:K, "" "")"),0.244867673329753)</f>
        <v>0.2448676733</v>
      </c>
      <c r="M441" s="4">
        <f>IFERROR(__xludf.DUMMYFUNCTION("""COMPUTED_VALUE"""),0.537525753696247)</f>
        <v>0.5375257537</v>
      </c>
      <c r="N441" s="15">
        <v>1120.0</v>
      </c>
      <c r="O441" s="4"/>
      <c r="P441" s="14" t="s">
        <v>1595</v>
      </c>
      <c r="Q441" s="17">
        <f>IFERROR(__xludf.DUMMYFUNCTION("SPLIT(P:P, "" "")"),0.214229092591553)</f>
        <v>0.2142290926</v>
      </c>
      <c r="R441" s="4">
        <f>IFERROR(__xludf.DUMMYFUNCTION("""COMPUTED_VALUE"""),0.452563942310099)</f>
        <v>0.4525639423</v>
      </c>
      <c r="S441" s="15">
        <v>1680.0</v>
      </c>
      <c r="T441" s="4"/>
      <c r="U441" s="4"/>
    </row>
    <row r="442">
      <c r="A442" s="14" t="s">
        <v>1596</v>
      </c>
      <c r="B442" s="4">
        <f>IFERROR(__xludf.DUMMYFUNCTION("SPLIT(A:A, "" "")"),0.214520146397481)</f>
        <v>0.2145201464</v>
      </c>
      <c r="C442" s="4">
        <f>IFERROR(__xludf.DUMMYFUNCTION("""COMPUTED_VALUE"""),0.689777005977702)</f>
        <v>0.689777006</v>
      </c>
      <c r="D442" s="15">
        <v>880.0</v>
      </c>
      <c r="E442" s="4"/>
      <c r="F442" s="14" t="s">
        <v>1597</v>
      </c>
      <c r="G442" s="17">
        <f>IFERROR(__xludf.DUMMYFUNCTION("SPLIT(F:F, "" "")"),0.163700809933459)</f>
        <v>0.1637008099</v>
      </c>
      <c r="H442" s="4">
        <f>IFERROR(__xludf.DUMMYFUNCTION("""COMPUTED_VALUE"""),0.601919801664476)</f>
        <v>0.6019198017</v>
      </c>
      <c r="I442" s="15">
        <v>1760.0</v>
      </c>
      <c r="J442" s="4"/>
      <c r="K442" s="14" t="s">
        <v>1598</v>
      </c>
      <c r="L442" s="17">
        <f>IFERROR(__xludf.DUMMYFUNCTION("SPLIT(K:K, "" "")"),0.242056227530442)</f>
        <v>0.2420562275</v>
      </c>
      <c r="M442" s="4">
        <f>IFERROR(__xludf.DUMMYFUNCTION("""COMPUTED_VALUE"""),0.552784381440241)</f>
        <v>0.5527843814</v>
      </c>
      <c r="N442" s="15">
        <v>1128.0</v>
      </c>
      <c r="O442" s="4"/>
      <c r="P442" s="14" t="s">
        <v>1599</v>
      </c>
      <c r="Q442" s="17">
        <f>IFERROR(__xludf.DUMMYFUNCTION("SPLIT(P:P, "" "")"),0.222535350640482)</f>
        <v>0.2225353506</v>
      </c>
      <c r="R442" s="4">
        <f>IFERROR(__xludf.DUMMYFUNCTION("""COMPUTED_VALUE"""),0.469848778982074)</f>
        <v>0.469848779</v>
      </c>
      <c r="S442" s="15">
        <v>1692.0</v>
      </c>
      <c r="T442" s="4"/>
      <c r="U442" s="4"/>
    </row>
    <row r="443">
      <c r="A443" s="14" t="s">
        <v>1600</v>
      </c>
      <c r="B443" s="4">
        <f>IFERROR(__xludf.DUMMYFUNCTION("SPLIT(A:A, "" "")"),0.219026243225115)</f>
        <v>0.2190262432</v>
      </c>
      <c r="C443" s="4">
        <f>IFERROR(__xludf.DUMMYFUNCTION("""COMPUTED_VALUE"""),0.708920530023692)</f>
        <v>0.70892053</v>
      </c>
      <c r="D443" s="15">
        <v>884.0</v>
      </c>
      <c r="E443" s="4"/>
      <c r="F443" s="14" t="s">
        <v>1601</v>
      </c>
      <c r="G443" s="17">
        <f>IFERROR(__xludf.DUMMYFUNCTION("SPLIT(F:F, "" "")"),0.166074733178695)</f>
        <v>0.1660747332</v>
      </c>
      <c r="H443" s="4">
        <f>IFERROR(__xludf.DUMMYFUNCTION("""COMPUTED_VALUE"""),0.608688717337236)</f>
        <v>0.6086887173</v>
      </c>
      <c r="I443" s="15">
        <v>1768.0</v>
      </c>
      <c r="J443" s="4"/>
      <c r="K443" s="14" t="s">
        <v>1602</v>
      </c>
      <c r="L443" s="17">
        <f>IFERROR(__xludf.DUMMYFUNCTION("SPLIT(K:K, "" "")"),0.250765114860752)</f>
        <v>0.2507651149</v>
      </c>
      <c r="M443" s="4">
        <f>IFERROR(__xludf.DUMMYFUNCTION("""COMPUTED_VALUE"""),0.563893623653885)</f>
        <v>0.5638936237</v>
      </c>
      <c r="N443" s="15">
        <v>1136.0</v>
      </c>
      <c r="O443" s="4"/>
      <c r="P443" s="14" t="s">
        <v>1603</v>
      </c>
      <c r="Q443" s="17">
        <f>IFERROR(__xludf.DUMMYFUNCTION("SPLIT(P:P, "" "")"),0.218508477070023)</f>
        <v>0.2185084771</v>
      </c>
      <c r="R443" s="4">
        <f>IFERROR(__xludf.DUMMYFUNCTION("""COMPUTED_VALUE"""),0.461324131028868)</f>
        <v>0.461324131</v>
      </c>
      <c r="S443" s="15">
        <v>1704.0</v>
      </c>
      <c r="T443" s="4"/>
      <c r="U443" s="4"/>
    </row>
    <row r="444">
      <c r="A444" s="14" t="s">
        <v>1604</v>
      </c>
      <c r="B444" s="4">
        <f>IFERROR(__xludf.DUMMYFUNCTION("SPLIT(A:A, "" "")"),0.212312361734671)</f>
        <v>0.2123123617</v>
      </c>
      <c r="C444" s="4">
        <f>IFERROR(__xludf.DUMMYFUNCTION("""COMPUTED_VALUE"""),0.696245955122705)</f>
        <v>0.6962459551</v>
      </c>
      <c r="D444" s="15">
        <v>888.0</v>
      </c>
      <c r="E444" s="4"/>
      <c r="F444" s="14" t="s">
        <v>1605</v>
      </c>
      <c r="G444" s="17">
        <f>IFERROR(__xludf.DUMMYFUNCTION("SPLIT(F:F, "" "")"),0.165738527730225)</f>
        <v>0.1657385277</v>
      </c>
      <c r="H444" s="4">
        <f>IFERROR(__xludf.DUMMYFUNCTION("""COMPUTED_VALUE"""),0.619114096229687)</f>
        <v>0.6191140962</v>
      </c>
      <c r="I444" s="15">
        <v>1776.0</v>
      </c>
      <c r="J444" s="4"/>
      <c r="K444" s="14" t="s">
        <v>1606</v>
      </c>
      <c r="L444" s="17">
        <f>IFERROR(__xludf.DUMMYFUNCTION("SPLIT(K:K, "" "")"),0.25360655506885)</f>
        <v>0.2536065551</v>
      </c>
      <c r="M444" s="4">
        <f>IFERROR(__xludf.DUMMYFUNCTION("""COMPUTED_VALUE"""),0.576435719749682)</f>
        <v>0.5764357197</v>
      </c>
      <c r="N444" s="15">
        <v>1144.0</v>
      </c>
      <c r="O444" s="4"/>
      <c r="P444" s="14" t="s">
        <v>1607</v>
      </c>
      <c r="Q444" s="17">
        <f>IFERROR(__xludf.DUMMYFUNCTION("SPLIT(P:P, "" "")"),0.225639948971435)</f>
        <v>0.225639949</v>
      </c>
      <c r="R444" s="4">
        <f>IFERROR(__xludf.DUMMYFUNCTION("""COMPUTED_VALUE"""),0.469305278282203)</f>
        <v>0.4693052783</v>
      </c>
      <c r="S444" s="15">
        <v>1716.0</v>
      </c>
      <c r="T444" s="4"/>
      <c r="U444" s="4"/>
    </row>
    <row r="445">
      <c r="A445" s="14" t="s">
        <v>1608</v>
      </c>
      <c r="B445" s="4">
        <f>IFERROR(__xludf.DUMMYFUNCTION("SPLIT(A:A, "" "")"),0.215569338905958)</f>
        <v>0.2155693389</v>
      </c>
      <c r="C445" s="4">
        <f>IFERROR(__xludf.DUMMYFUNCTION("""COMPUTED_VALUE"""),0.706731142899973)</f>
        <v>0.7067311429</v>
      </c>
      <c r="D445" s="15">
        <v>892.0</v>
      </c>
      <c r="E445" s="4"/>
      <c r="F445" s="14" t="s">
        <v>1609</v>
      </c>
      <c r="G445" s="17">
        <f>IFERROR(__xludf.DUMMYFUNCTION("SPLIT(F:F, "" "")"),0.160082780721033)</f>
        <v>0.1600827807</v>
      </c>
      <c r="H445" s="4">
        <f>IFERROR(__xludf.DUMMYFUNCTION("""COMPUTED_VALUE"""),0.603428303980202)</f>
        <v>0.603428304</v>
      </c>
      <c r="I445" s="15">
        <v>1784.0</v>
      </c>
      <c r="J445" s="4"/>
      <c r="K445" s="14" t="s">
        <v>1610</v>
      </c>
      <c r="L445" s="17">
        <f>IFERROR(__xludf.DUMMYFUNCTION("SPLIT(K:K, "" "")"),0.243784684606669)</f>
        <v>0.2437846846</v>
      </c>
      <c r="M445" s="4">
        <f>IFERROR(__xludf.DUMMYFUNCTION("""COMPUTED_VALUE"""),0.553827917757281)</f>
        <v>0.5538279178</v>
      </c>
      <c r="N445" s="15">
        <v>1152.0</v>
      </c>
      <c r="O445" s="4"/>
      <c r="P445" s="14" t="s">
        <v>1611</v>
      </c>
      <c r="Q445" s="17">
        <f>IFERROR(__xludf.DUMMYFUNCTION("SPLIT(P:P, "" "")"),0.219901394167687)</f>
        <v>0.2199013942</v>
      </c>
      <c r="R445" s="4">
        <f>IFERROR(__xludf.DUMMYFUNCTION("""COMPUTED_VALUE"""),0.472012361639777)</f>
        <v>0.4720123616</v>
      </c>
      <c r="S445" s="15">
        <v>1728.0</v>
      </c>
      <c r="T445" s="4"/>
      <c r="U445" s="4"/>
    </row>
    <row r="446">
      <c r="A446" s="14" t="s">
        <v>1612</v>
      </c>
      <c r="B446" s="4">
        <f>IFERROR(__xludf.DUMMYFUNCTION("SPLIT(A:A, "" "")"),0.226333548251762)</f>
        <v>0.2263335483</v>
      </c>
      <c r="C446" s="4">
        <f>IFERROR(__xludf.DUMMYFUNCTION("""COMPUTED_VALUE"""),0.713069931529252)</f>
        <v>0.7130699315</v>
      </c>
      <c r="D446" s="15">
        <v>896.0</v>
      </c>
      <c r="E446" s="4"/>
      <c r="F446" s="14" t="s">
        <v>1613</v>
      </c>
      <c r="G446" s="17">
        <f>IFERROR(__xludf.DUMMYFUNCTION("SPLIT(F:F, "" "")"),0.163352974998874)</f>
        <v>0.163352975</v>
      </c>
      <c r="H446" s="4">
        <f>IFERROR(__xludf.DUMMYFUNCTION("""COMPUTED_VALUE"""),0.595294032588932)</f>
        <v>0.5952940326</v>
      </c>
      <c r="I446" s="15">
        <v>1792.0</v>
      </c>
      <c r="J446" s="4"/>
      <c r="K446" s="14" t="s">
        <v>1614</v>
      </c>
      <c r="L446" s="17">
        <f>IFERROR(__xludf.DUMMYFUNCTION("SPLIT(K:K, "" "")"),0.24927531377851)</f>
        <v>0.2492753138</v>
      </c>
      <c r="M446" s="4">
        <f>IFERROR(__xludf.DUMMYFUNCTION("""COMPUTED_VALUE"""),0.566581021989522)</f>
        <v>0.566581022</v>
      </c>
      <c r="N446" s="15">
        <v>1160.0</v>
      </c>
      <c r="O446" s="4"/>
      <c r="P446" s="14" t="s">
        <v>1615</v>
      </c>
      <c r="Q446" s="17">
        <f>IFERROR(__xludf.DUMMYFUNCTION("SPLIT(P:P, "" "")"),0.208209687167066)</f>
        <v>0.2082096872</v>
      </c>
      <c r="R446" s="4">
        <f>IFERROR(__xludf.DUMMYFUNCTION("""COMPUTED_VALUE"""),0.451054027530544)</f>
        <v>0.4510540275</v>
      </c>
      <c r="S446" s="15">
        <v>1740.0</v>
      </c>
      <c r="T446" s="4"/>
      <c r="U446" s="4"/>
    </row>
    <row r="447">
      <c r="A447" s="14" t="s">
        <v>1616</v>
      </c>
      <c r="B447" s="4">
        <f>IFERROR(__xludf.DUMMYFUNCTION("SPLIT(A:A, "" "")"),0.214426118947518)</f>
        <v>0.2144261189</v>
      </c>
      <c r="C447" s="4">
        <f>IFERROR(__xludf.DUMMYFUNCTION("""COMPUTED_VALUE"""),0.70035339945628)</f>
        <v>0.7003533995</v>
      </c>
      <c r="D447" s="15">
        <v>900.0</v>
      </c>
      <c r="E447" s="4"/>
      <c r="F447" s="14" t="s">
        <v>1617</v>
      </c>
      <c r="G447" s="17">
        <f>IFERROR(__xludf.DUMMYFUNCTION("SPLIT(F:F, "" "")"),0.161980995709106)</f>
        <v>0.1619809957</v>
      </c>
      <c r="H447" s="4">
        <f>IFERROR(__xludf.DUMMYFUNCTION("""COMPUTED_VALUE"""),0.601190190044911)</f>
        <v>0.60119019</v>
      </c>
      <c r="I447" s="15">
        <v>1800.0</v>
      </c>
      <c r="J447" s="4"/>
      <c r="K447" s="14" t="s">
        <v>1618</v>
      </c>
      <c r="L447" s="17">
        <f>IFERROR(__xludf.DUMMYFUNCTION("SPLIT(K:K, "" "")"),0.241143073694724)</f>
        <v>0.2411430737</v>
      </c>
      <c r="M447" s="4">
        <f>IFERROR(__xludf.DUMMYFUNCTION("""COMPUTED_VALUE"""),0.558291714273244)</f>
        <v>0.5582917143</v>
      </c>
      <c r="N447" s="15">
        <v>1168.0</v>
      </c>
      <c r="O447" s="4"/>
      <c r="P447" s="14" t="s">
        <v>1619</v>
      </c>
      <c r="Q447" s="17">
        <f>IFERROR(__xludf.DUMMYFUNCTION("SPLIT(P:P, "" "")"),0.208633441810818)</f>
        <v>0.2086334418</v>
      </c>
      <c r="R447" s="4">
        <f>IFERROR(__xludf.DUMMYFUNCTION("""COMPUTED_VALUE"""),0.457071054114537)</f>
        <v>0.4570710541</v>
      </c>
      <c r="S447" s="15">
        <v>1752.0</v>
      </c>
      <c r="T447" s="4"/>
      <c r="U447" s="4"/>
    </row>
    <row r="448">
      <c r="A448" s="14" t="s">
        <v>1620</v>
      </c>
      <c r="B448" s="4">
        <f>IFERROR(__xludf.DUMMYFUNCTION("SPLIT(A:A, "" "")"),0.210048577488911)</f>
        <v>0.2100485775</v>
      </c>
      <c r="C448" s="4">
        <f>IFERROR(__xludf.DUMMYFUNCTION("""COMPUTED_VALUE"""),0.699059303043226)</f>
        <v>0.699059303</v>
      </c>
      <c r="D448" s="15">
        <v>904.0</v>
      </c>
      <c r="E448" s="4"/>
      <c r="F448" s="14" t="s">
        <v>1621</v>
      </c>
      <c r="G448" s="17">
        <f>IFERROR(__xludf.DUMMYFUNCTION("SPLIT(F:F, "" "")"),0.159137572006841)</f>
        <v>0.159137572</v>
      </c>
      <c r="H448" s="4">
        <f>IFERROR(__xludf.DUMMYFUNCTION("""COMPUTED_VALUE"""),0.6012442649922)</f>
        <v>0.601244265</v>
      </c>
      <c r="I448" s="15">
        <v>1808.0</v>
      </c>
      <c r="J448" s="4"/>
      <c r="K448" s="14" t="s">
        <v>1622</v>
      </c>
      <c r="L448" s="17">
        <f>IFERROR(__xludf.DUMMYFUNCTION("SPLIT(K:K, "" "")"),0.239141642226343)</f>
        <v>0.2391416422</v>
      </c>
      <c r="M448" s="4">
        <f>IFERROR(__xludf.DUMMYFUNCTION("""COMPUTED_VALUE"""),0.555373009948403)</f>
        <v>0.5553730099</v>
      </c>
      <c r="N448" s="15">
        <v>1176.0</v>
      </c>
      <c r="O448" s="4"/>
      <c r="P448" s="14" t="s">
        <v>1623</v>
      </c>
      <c r="Q448" s="17">
        <f>IFERROR(__xludf.DUMMYFUNCTION("SPLIT(P:P, "" "")"),0.2159711901983)</f>
        <v>0.2159711902</v>
      </c>
      <c r="R448" s="4">
        <f>IFERROR(__xludf.DUMMYFUNCTION("""COMPUTED_VALUE"""),0.453349300331859)</f>
        <v>0.4533493003</v>
      </c>
      <c r="S448" s="15">
        <v>1764.0</v>
      </c>
      <c r="T448" s="4"/>
      <c r="U448" s="4"/>
    </row>
    <row r="449">
      <c r="A449" s="14" t="s">
        <v>1624</v>
      </c>
      <c r="B449" s="4">
        <f>IFERROR(__xludf.DUMMYFUNCTION("SPLIT(A:A, "" "")"),0.218910384531535)</f>
        <v>0.2189103845</v>
      </c>
      <c r="C449" s="4">
        <f>IFERROR(__xludf.DUMMYFUNCTION("""COMPUTED_VALUE"""),0.720741948849923)</f>
        <v>0.7207419488</v>
      </c>
      <c r="D449" s="15">
        <v>908.0</v>
      </c>
      <c r="E449" s="4"/>
      <c r="F449" s="14" t="s">
        <v>1625</v>
      </c>
      <c r="G449" s="17">
        <f>IFERROR(__xludf.DUMMYFUNCTION("SPLIT(F:F, "" "")"),0.161767811226171)</f>
        <v>0.1617678112</v>
      </c>
      <c r="H449" s="4">
        <f>IFERROR(__xludf.DUMMYFUNCTION("""COMPUTED_VALUE"""),0.609550669789807)</f>
        <v>0.6095506698</v>
      </c>
      <c r="I449" s="15">
        <v>1816.0</v>
      </c>
      <c r="J449" s="4"/>
      <c r="K449" s="14" t="s">
        <v>1626</v>
      </c>
      <c r="L449" s="17">
        <f>IFERROR(__xludf.DUMMYFUNCTION("SPLIT(K:K, "" "")"),0.246514212223845)</f>
        <v>0.2465142122</v>
      </c>
      <c r="M449" s="4">
        <f>IFERROR(__xludf.DUMMYFUNCTION("""COMPUTED_VALUE"""),0.556482240880906)</f>
        <v>0.5564822409</v>
      </c>
      <c r="N449" s="15">
        <v>1184.0</v>
      </c>
      <c r="O449" s="4"/>
      <c r="P449" s="14" t="s">
        <v>1627</v>
      </c>
      <c r="Q449" s="17">
        <f>IFERROR(__xludf.DUMMYFUNCTION("SPLIT(P:P, "" "")"),0.210445722774425)</f>
        <v>0.2104457228</v>
      </c>
      <c r="R449" s="4">
        <f>IFERROR(__xludf.DUMMYFUNCTION("""COMPUTED_VALUE"""),0.459359641478505)</f>
        <v>0.4593596415</v>
      </c>
      <c r="S449" s="15">
        <v>1776.0</v>
      </c>
      <c r="T449" s="4"/>
      <c r="U449" s="4"/>
    </row>
    <row r="450">
      <c r="A450" s="14" t="s">
        <v>1628</v>
      </c>
      <c r="B450" s="4">
        <f>IFERROR(__xludf.DUMMYFUNCTION("SPLIT(A:A, "" "")"),0.206840923218041)</f>
        <v>0.2068409232</v>
      </c>
      <c r="C450" s="4">
        <f>IFERROR(__xludf.DUMMYFUNCTION("""COMPUTED_VALUE"""),0.699185653079379)</f>
        <v>0.6991856531</v>
      </c>
      <c r="D450" s="15">
        <v>912.0</v>
      </c>
      <c r="E450" s="4"/>
      <c r="F450" s="14" t="s">
        <v>1629</v>
      </c>
      <c r="G450" s="17">
        <f>IFERROR(__xludf.DUMMYFUNCTION("SPLIT(F:F, "" "")"),0.159679659641539)</f>
        <v>0.1596796596</v>
      </c>
      <c r="H450" s="4">
        <f>IFERROR(__xludf.DUMMYFUNCTION("""COMPUTED_VALUE"""),0.596836530942572)</f>
        <v>0.5968365309</v>
      </c>
      <c r="I450" s="15">
        <v>1824.0</v>
      </c>
      <c r="J450" s="4"/>
      <c r="K450" s="14" t="s">
        <v>1630</v>
      </c>
      <c r="L450" s="17">
        <f>IFERROR(__xludf.DUMMYFUNCTION("SPLIT(K:K, "" "")"),0.241883956334531)</f>
        <v>0.2418839563</v>
      </c>
      <c r="M450" s="4">
        <f>IFERROR(__xludf.DUMMYFUNCTION("""COMPUTED_VALUE"""),0.562830040116786)</f>
        <v>0.5628300401</v>
      </c>
      <c r="N450" s="15">
        <v>1192.0</v>
      </c>
      <c r="O450" s="4"/>
      <c r="P450" s="14" t="s">
        <v>1631</v>
      </c>
      <c r="Q450" s="17">
        <f>IFERROR(__xludf.DUMMYFUNCTION("SPLIT(P:P, "" "")"),0.208635566560189)</f>
        <v>0.2086355666</v>
      </c>
      <c r="R450" s="4">
        <f>IFERROR(__xludf.DUMMYFUNCTION("""COMPUTED_VALUE"""),0.456050825525492)</f>
        <v>0.4560508255</v>
      </c>
      <c r="S450" s="15">
        <v>1788.0</v>
      </c>
      <c r="T450" s="4"/>
      <c r="U450" s="4"/>
    </row>
    <row r="451">
      <c r="A451" s="14" t="s">
        <v>1632</v>
      </c>
      <c r="B451" s="4">
        <f>IFERROR(__xludf.DUMMYFUNCTION("SPLIT(A:A, "" "")"),0.21143071076519)</f>
        <v>0.2114307108</v>
      </c>
      <c r="C451" s="4">
        <f>IFERROR(__xludf.DUMMYFUNCTION("""COMPUTED_VALUE"""),0.70718567280281)</f>
        <v>0.7071856728</v>
      </c>
      <c r="D451" s="15">
        <v>916.0</v>
      </c>
      <c r="E451" s="4"/>
      <c r="F451" s="14" t="s">
        <v>1633</v>
      </c>
      <c r="G451" s="17">
        <f>IFERROR(__xludf.DUMMYFUNCTION("SPLIT(F:F, "" "")"),0.157494089223027)</f>
        <v>0.1574940892</v>
      </c>
      <c r="H451" s="4">
        <f>IFERROR(__xludf.DUMMYFUNCTION("""COMPUTED_VALUE"""),0.602664248680719)</f>
        <v>0.6026642487</v>
      </c>
      <c r="I451" s="15">
        <v>1832.0</v>
      </c>
      <c r="J451" s="4"/>
      <c r="K451" s="14" t="s">
        <v>1634</v>
      </c>
      <c r="L451" s="17">
        <f>IFERROR(__xludf.DUMMYFUNCTION("SPLIT(K:K, "" "")"),0.23470911487621)</f>
        <v>0.2347091149</v>
      </c>
      <c r="M451" s="4">
        <f>IFERROR(__xludf.DUMMYFUNCTION("""COMPUTED_VALUE"""),0.548937562413269)</f>
        <v>0.5489375624</v>
      </c>
      <c r="N451" s="15">
        <v>1200.0</v>
      </c>
      <c r="O451" s="4"/>
      <c r="P451" s="14" t="s">
        <v>1635</v>
      </c>
      <c r="Q451" s="17">
        <f>IFERROR(__xludf.DUMMYFUNCTION("SPLIT(P:P, "" "")"),0.206380550310938)</f>
        <v>0.2063805503</v>
      </c>
      <c r="R451" s="4">
        <f>IFERROR(__xludf.DUMMYFUNCTION("""COMPUTED_VALUE"""),0.453853489300552)</f>
        <v>0.4538534893</v>
      </c>
      <c r="S451" s="15">
        <v>1800.0</v>
      </c>
      <c r="T451" s="4"/>
      <c r="U451" s="4"/>
    </row>
    <row r="452">
      <c r="A452" s="14" t="s">
        <v>1636</v>
      </c>
      <c r="B452" s="4">
        <f>IFERROR(__xludf.DUMMYFUNCTION("SPLIT(A:A, "" "")"),0.209621222000962)</f>
        <v>0.209621222</v>
      </c>
      <c r="C452" s="4">
        <f>IFERROR(__xludf.DUMMYFUNCTION("""COMPUTED_VALUE"""),0.69643029342855)</f>
        <v>0.6964302934</v>
      </c>
      <c r="D452" s="15">
        <v>920.0</v>
      </c>
      <c r="E452" s="4"/>
      <c r="F452" s="14" t="s">
        <v>1637</v>
      </c>
      <c r="G452" s="17">
        <f>IFERROR(__xludf.DUMMYFUNCTION("SPLIT(F:F, "" "")"),0.161864429490485)</f>
        <v>0.1618644295</v>
      </c>
      <c r="H452" s="4">
        <f>IFERROR(__xludf.DUMMYFUNCTION("""COMPUTED_VALUE"""),0.606662632994177)</f>
        <v>0.606662633</v>
      </c>
      <c r="I452" s="15">
        <v>1840.0</v>
      </c>
      <c r="J452" s="4"/>
      <c r="K452" s="14" t="s">
        <v>1638</v>
      </c>
      <c r="L452" s="17">
        <f>IFERROR(__xludf.DUMMYFUNCTION("SPLIT(K:K, "" "")"),0.252756971349951)</f>
        <v>0.2527569713</v>
      </c>
      <c r="M452" s="4">
        <f>IFERROR(__xludf.DUMMYFUNCTION("""COMPUTED_VALUE"""),0.562472154901363)</f>
        <v>0.5624721549</v>
      </c>
      <c r="N452" s="15">
        <v>1208.0</v>
      </c>
      <c r="O452" s="4"/>
      <c r="P452" s="14" t="s">
        <v>1639</v>
      </c>
      <c r="Q452" s="17">
        <f>IFERROR(__xludf.DUMMYFUNCTION("SPLIT(P:P, "" "")"),0.210006400306315)</f>
        <v>0.2100064003</v>
      </c>
      <c r="R452" s="4">
        <f>IFERROR(__xludf.DUMMYFUNCTION("""COMPUTED_VALUE"""),0.46159567485209)</f>
        <v>0.4615956749</v>
      </c>
      <c r="S452" s="15">
        <v>1812.0</v>
      </c>
      <c r="T452" s="4"/>
      <c r="U452" s="4"/>
    </row>
    <row r="453">
      <c r="A453" s="14" t="s">
        <v>1640</v>
      </c>
      <c r="B453" s="4">
        <f>IFERROR(__xludf.DUMMYFUNCTION("SPLIT(A:A, "" "")"),0.215587827236438)</f>
        <v>0.2155878272</v>
      </c>
      <c r="C453" s="4">
        <f>IFERROR(__xludf.DUMMYFUNCTION("""COMPUTED_VALUE"""),0.723087854829462)</f>
        <v>0.7230878548</v>
      </c>
      <c r="D453" s="15">
        <v>924.0</v>
      </c>
      <c r="E453" s="4"/>
      <c r="F453" s="14" t="s">
        <v>1641</v>
      </c>
      <c r="G453" s="17">
        <f>IFERROR(__xludf.DUMMYFUNCTION("SPLIT(F:F, "" "")"),0.164775729810845)</f>
        <v>0.1647757298</v>
      </c>
      <c r="H453" s="4">
        <f>IFERROR(__xludf.DUMMYFUNCTION("""COMPUTED_VALUE"""),0.608957047666983)</f>
        <v>0.6089570477</v>
      </c>
      <c r="I453" s="15">
        <v>1848.0</v>
      </c>
      <c r="J453" s="4"/>
      <c r="K453" s="14" t="s">
        <v>1642</v>
      </c>
      <c r="L453" s="17">
        <f>IFERROR(__xludf.DUMMYFUNCTION("SPLIT(K:K, "" "")"),0.233253184696509)</f>
        <v>0.2332531847</v>
      </c>
      <c r="M453" s="4">
        <f>IFERROR(__xludf.DUMMYFUNCTION("""COMPUTED_VALUE"""),0.550055466509734)</f>
        <v>0.5500554665</v>
      </c>
      <c r="N453" s="15">
        <v>1216.0</v>
      </c>
      <c r="O453" s="4"/>
      <c r="P453" s="14" t="s">
        <v>1643</v>
      </c>
      <c r="Q453" s="17">
        <f>IFERROR(__xludf.DUMMYFUNCTION("SPLIT(P:P, "" "")"),0.206268697614189)</f>
        <v>0.2062686976</v>
      </c>
      <c r="R453" s="4">
        <f>IFERROR(__xludf.DUMMYFUNCTION("""COMPUTED_VALUE"""),0.450639815775317)</f>
        <v>0.4506398158</v>
      </c>
      <c r="S453" s="15">
        <v>1824.0</v>
      </c>
      <c r="T453" s="4"/>
      <c r="U453" s="4"/>
    </row>
    <row r="454">
      <c r="A454" s="14" t="s">
        <v>1644</v>
      </c>
      <c r="B454" s="4">
        <f>IFERROR(__xludf.DUMMYFUNCTION("SPLIT(A:A, "" "")"),0.205094490813012)</f>
        <v>0.2050944908</v>
      </c>
      <c r="C454" s="4">
        <f>IFERROR(__xludf.DUMMYFUNCTION("""COMPUTED_VALUE"""),0.69878121080693)</f>
        <v>0.6987812108</v>
      </c>
      <c r="D454" s="15">
        <v>928.0</v>
      </c>
      <c r="E454" s="4"/>
      <c r="F454" s="14" t="s">
        <v>1645</v>
      </c>
      <c r="G454" s="17">
        <f>IFERROR(__xludf.DUMMYFUNCTION("SPLIT(F:F, "" "")"),0.162618194866077)</f>
        <v>0.1626181949</v>
      </c>
      <c r="H454" s="4">
        <f>IFERROR(__xludf.DUMMYFUNCTION("""COMPUTED_VALUE"""),0.611981865571502)</f>
        <v>0.6119818656</v>
      </c>
      <c r="I454" s="15">
        <v>1856.0</v>
      </c>
      <c r="J454" s="4"/>
      <c r="K454" s="14" t="s">
        <v>1646</v>
      </c>
      <c r="L454" s="17">
        <f>IFERROR(__xludf.DUMMYFUNCTION("SPLIT(K:K, "" "")"),0.234388696713409)</f>
        <v>0.2343886967</v>
      </c>
      <c r="M454" s="4">
        <f>IFERROR(__xludf.DUMMYFUNCTION("""COMPUTED_VALUE"""),0.543337137064521)</f>
        <v>0.5433371371</v>
      </c>
      <c r="N454" s="15">
        <v>1224.0</v>
      </c>
      <c r="O454" s="4"/>
      <c r="P454" s="14" t="s">
        <v>1647</v>
      </c>
      <c r="Q454" s="17">
        <f>IFERROR(__xludf.DUMMYFUNCTION("SPLIT(P:P, "" "")"),0.211157240324865)</f>
        <v>0.2111572403</v>
      </c>
      <c r="R454" s="4">
        <f>IFERROR(__xludf.DUMMYFUNCTION("""COMPUTED_VALUE"""),0.45955352361516)</f>
        <v>0.4595535236</v>
      </c>
      <c r="S454" s="15">
        <v>1836.0</v>
      </c>
      <c r="T454" s="4"/>
      <c r="U454" s="4"/>
    </row>
    <row r="455">
      <c r="A455" s="14" t="s">
        <v>1648</v>
      </c>
      <c r="B455" s="4">
        <f>IFERROR(__xludf.DUMMYFUNCTION("SPLIT(A:A, "" "")"),0.215864921696435)</f>
        <v>0.2158649217</v>
      </c>
      <c r="C455" s="4">
        <f>IFERROR(__xludf.DUMMYFUNCTION("""COMPUTED_VALUE"""),0.712683107287946)</f>
        <v>0.7126831073</v>
      </c>
      <c r="D455" s="15">
        <v>932.0</v>
      </c>
      <c r="E455" s="4"/>
      <c r="F455" s="14" t="s">
        <v>1649</v>
      </c>
      <c r="G455" s="17">
        <f>IFERROR(__xludf.DUMMYFUNCTION("SPLIT(F:F, "" "")"),0.155813201718631)</f>
        <v>0.1558132017</v>
      </c>
      <c r="H455" s="4">
        <f>IFERROR(__xludf.DUMMYFUNCTION("""COMPUTED_VALUE"""),0.596706600794148)</f>
        <v>0.5967066008</v>
      </c>
      <c r="I455" s="15">
        <v>1864.0</v>
      </c>
      <c r="J455" s="4"/>
      <c r="K455" s="14" t="s">
        <v>1650</v>
      </c>
      <c r="L455" s="17">
        <f>IFERROR(__xludf.DUMMYFUNCTION("SPLIT(K:K, "" "")"),0.233421675236956)</f>
        <v>0.2334216752</v>
      </c>
      <c r="M455" s="4">
        <f>IFERROR(__xludf.DUMMYFUNCTION("""COMPUTED_VALUE"""),0.549653157916302)</f>
        <v>0.5496531579</v>
      </c>
      <c r="N455" s="15">
        <v>1232.0</v>
      </c>
      <c r="O455" s="4"/>
      <c r="P455" s="14" t="s">
        <v>1651</v>
      </c>
      <c r="Q455" s="17">
        <f>IFERROR(__xludf.DUMMYFUNCTION("SPLIT(P:P, "" "")"),0.210044148608351)</f>
        <v>0.2100441486</v>
      </c>
      <c r="R455" s="4">
        <f>IFERROR(__xludf.DUMMYFUNCTION("""COMPUTED_VALUE"""),0.4503754411694)</f>
        <v>0.4503754412</v>
      </c>
      <c r="S455" s="15">
        <v>1848.0</v>
      </c>
      <c r="T455" s="4"/>
      <c r="U455" s="4"/>
    </row>
    <row r="456">
      <c r="A456" s="14" t="s">
        <v>1652</v>
      </c>
      <c r="B456" s="4">
        <f>IFERROR(__xludf.DUMMYFUNCTION("SPLIT(A:A, "" "")"),0.214137796078883)</f>
        <v>0.2141377961</v>
      </c>
      <c r="C456" s="4">
        <f>IFERROR(__xludf.DUMMYFUNCTION("""COMPUTED_VALUE"""),0.713315233622047)</f>
        <v>0.7133152336</v>
      </c>
      <c r="D456" s="15">
        <v>936.0</v>
      </c>
      <c r="E456" s="4"/>
      <c r="F456" s="14" t="s">
        <v>1653</v>
      </c>
      <c r="G456" s="17">
        <f>IFERROR(__xludf.DUMMYFUNCTION("SPLIT(F:F, "" "")"),0.156947771958383)</f>
        <v>0.156947772</v>
      </c>
      <c r="H456" s="4">
        <f>IFERROR(__xludf.DUMMYFUNCTION("""COMPUTED_VALUE"""),0.606434567764105)</f>
        <v>0.6064345678</v>
      </c>
      <c r="I456" s="15">
        <v>1872.0</v>
      </c>
      <c r="J456" s="4"/>
      <c r="K456" s="14" t="s">
        <v>1654</v>
      </c>
      <c r="L456" s="17">
        <f>IFERROR(__xludf.DUMMYFUNCTION("SPLIT(K:K, "" "")"),0.237870398194189)</f>
        <v>0.2378703982</v>
      </c>
      <c r="M456" s="4">
        <f>IFERROR(__xludf.DUMMYFUNCTION("""COMPUTED_VALUE"""),0.558390258305143)</f>
        <v>0.5583902583</v>
      </c>
      <c r="N456" s="15">
        <v>1240.0</v>
      </c>
      <c r="O456" s="4"/>
      <c r="P456" s="14" t="s">
        <v>1655</v>
      </c>
      <c r="Q456" s="17">
        <f>IFERROR(__xludf.DUMMYFUNCTION("SPLIT(P:P, "" "")"),0.203526493603348)</f>
        <v>0.2035264936</v>
      </c>
      <c r="R456" s="4">
        <f>IFERROR(__xludf.DUMMYFUNCTION("""COMPUTED_VALUE"""),0.445541045731073)</f>
        <v>0.4455410457</v>
      </c>
      <c r="S456" s="15">
        <v>1860.0</v>
      </c>
      <c r="T456" s="4"/>
      <c r="U456" s="4"/>
    </row>
    <row r="457">
      <c r="A457" s="14" t="s">
        <v>1656</v>
      </c>
      <c r="B457" s="4">
        <f>IFERROR(__xludf.DUMMYFUNCTION("SPLIT(A:A, "" "")"),0.211674258366838)</f>
        <v>0.2116742584</v>
      </c>
      <c r="C457" s="4">
        <f>IFERROR(__xludf.DUMMYFUNCTION("""COMPUTED_VALUE"""),0.710460796155406)</f>
        <v>0.7104607962</v>
      </c>
      <c r="D457" s="15">
        <v>940.0</v>
      </c>
      <c r="E457" s="4"/>
      <c r="F457" s="14" t="s">
        <v>1657</v>
      </c>
      <c r="G457" s="17">
        <f>IFERROR(__xludf.DUMMYFUNCTION("SPLIT(F:F, "" "")"),0.155098571416251)</f>
        <v>0.1550985714</v>
      </c>
      <c r="H457" s="4">
        <f>IFERROR(__xludf.DUMMYFUNCTION("""COMPUTED_VALUE"""),0.605330651148453)</f>
        <v>0.6053306511</v>
      </c>
      <c r="I457" s="15">
        <v>1880.0</v>
      </c>
      <c r="J457" s="4"/>
      <c r="K457" s="14" t="s">
        <v>1658</v>
      </c>
      <c r="L457" s="17">
        <f>IFERROR(__xludf.DUMMYFUNCTION("SPLIT(K:K, "" "")"),0.233679360493812)</f>
        <v>0.2336793605</v>
      </c>
      <c r="M457" s="4">
        <f>IFERROR(__xludf.DUMMYFUNCTION("""COMPUTED_VALUE"""),0.557196954554082)</f>
        <v>0.5571969546</v>
      </c>
      <c r="N457" s="15">
        <v>1248.0</v>
      </c>
      <c r="O457" s="4"/>
      <c r="P457" s="14" t="s">
        <v>1659</v>
      </c>
      <c r="Q457" s="17">
        <f>IFERROR(__xludf.DUMMYFUNCTION("SPLIT(P:P, "" "")"),0.208528593575252)</f>
        <v>0.2085285936</v>
      </c>
      <c r="R457" s="4">
        <f>IFERROR(__xludf.DUMMYFUNCTION("""COMPUTED_VALUE"""),0.446296700977825)</f>
        <v>0.446296701</v>
      </c>
      <c r="S457" s="15">
        <v>1872.0</v>
      </c>
      <c r="T457" s="4"/>
      <c r="U457" s="4"/>
    </row>
    <row r="458">
      <c r="A458" s="14" t="s">
        <v>1660</v>
      </c>
      <c r="B458" s="4">
        <f>IFERROR(__xludf.DUMMYFUNCTION("SPLIT(A:A, "" "")"),0.20636981400737)</f>
        <v>0.206369814</v>
      </c>
      <c r="C458" s="4">
        <f>IFERROR(__xludf.DUMMYFUNCTION("""COMPUTED_VALUE"""),0.702804320013192)</f>
        <v>0.70280432</v>
      </c>
      <c r="D458" s="15">
        <v>944.0</v>
      </c>
      <c r="E458" s="4"/>
      <c r="F458" s="14" t="s">
        <v>1661</v>
      </c>
      <c r="G458" s="17">
        <f>IFERROR(__xludf.DUMMYFUNCTION("SPLIT(F:F, "" "")"),0.159290623030013)</f>
        <v>0.159290623</v>
      </c>
      <c r="H458" s="4">
        <f>IFERROR(__xludf.DUMMYFUNCTION("""COMPUTED_VALUE"""),0.608081385628993)</f>
        <v>0.6080813856</v>
      </c>
      <c r="I458" s="15">
        <v>1888.0</v>
      </c>
      <c r="J458" s="4"/>
      <c r="K458" s="14" t="s">
        <v>1662</v>
      </c>
      <c r="L458" s="17">
        <f>IFERROR(__xludf.DUMMYFUNCTION("SPLIT(K:K, "" "")"),0.235935787187172)</f>
        <v>0.2359357872</v>
      </c>
      <c r="M458" s="4">
        <f>IFERROR(__xludf.DUMMYFUNCTION("""COMPUTED_VALUE"""),0.545510562733054)</f>
        <v>0.5455105627</v>
      </c>
      <c r="N458" s="15">
        <v>1256.0</v>
      </c>
      <c r="O458" s="4"/>
      <c r="P458" s="14" t="s">
        <v>1663</v>
      </c>
      <c r="Q458" s="17">
        <f>IFERROR(__xludf.DUMMYFUNCTION("SPLIT(P:P, "" "")"),0.211398302204054)</f>
        <v>0.2113983022</v>
      </c>
      <c r="R458" s="4">
        <f>IFERROR(__xludf.DUMMYFUNCTION("""COMPUTED_VALUE"""),0.464424035072394)</f>
        <v>0.4644240351</v>
      </c>
      <c r="S458" s="15">
        <v>1884.0</v>
      </c>
      <c r="T458" s="4"/>
      <c r="U458" s="4"/>
    </row>
    <row r="459">
      <c r="A459" s="14" t="s">
        <v>1664</v>
      </c>
      <c r="B459" s="4">
        <f>IFERROR(__xludf.DUMMYFUNCTION("SPLIT(A:A, "" "")"),0.208557143936232)</f>
        <v>0.2085571439</v>
      </c>
      <c r="C459" s="4">
        <f>IFERROR(__xludf.DUMMYFUNCTION("""COMPUTED_VALUE"""),0.712706926133277)</f>
        <v>0.7127069261</v>
      </c>
      <c r="D459" s="15">
        <v>948.0</v>
      </c>
      <c r="E459" s="4"/>
      <c r="F459" s="14" t="s">
        <v>1665</v>
      </c>
      <c r="G459" s="17">
        <f>IFERROR(__xludf.DUMMYFUNCTION("SPLIT(F:F, "" "")"),0.156708953479951)</f>
        <v>0.1567089535</v>
      </c>
      <c r="H459" s="4">
        <f>IFERROR(__xludf.DUMMYFUNCTION("""COMPUTED_VALUE"""),0.615620015205213)</f>
        <v>0.6156200152</v>
      </c>
      <c r="I459" s="15">
        <v>1896.0</v>
      </c>
      <c r="J459" s="4"/>
      <c r="K459" s="14" t="s">
        <v>1666</v>
      </c>
      <c r="L459" s="17">
        <f>IFERROR(__xludf.DUMMYFUNCTION("SPLIT(K:K, "" "")"),0.233851252622316)</f>
        <v>0.2338512526</v>
      </c>
      <c r="M459" s="4">
        <f>IFERROR(__xludf.DUMMYFUNCTION("""COMPUTED_VALUE"""),0.550798775545104)</f>
        <v>0.5507987755</v>
      </c>
      <c r="N459" s="15">
        <v>1264.0</v>
      </c>
      <c r="O459" s="4"/>
      <c r="P459" s="14" t="s">
        <v>1667</v>
      </c>
      <c r="Q459" s="17">
        <f>IFERROR(__xludf.DUMMYFUNCTION("SPLIT(P:P, "" "")"),0.19860831165012)</f>
        <v>0.1986083117</v>
      </c>
      <c r="R459" s="4">
        <f>IFERROR(__xludf.DUMMYFUNCTION("""COMPUTED_VALUE"""),0.440998826102632)</f>
        <v>0.4409988261</v>
      </c>
      <c r="S459" s="15">
        <v>1896.0</v>
      </c>
      <c r="T459" s="4"/>
      <c r="U459" s="4"/>
    </row>
    <row r="460">
      <c r="A460" s="14" t="s">
        <v>1668</v>
      </c>
      <c r="B460" s="4">
        <f>IFERROR(__xludf.DUMMYFUNCTION("SPLIT(A:A, "" "")"),0.207582207275124)</f>
        <v>0.2075822073</v>
      </c>
      <c r="C460" s="4">
        <f>IFERROR(__xludf.DUMMYFUNCTION("""COMPUTED_VALUE"""),0.714547770550252)</f>
        <v>0.7145477706</v>
      </c>
      <c r="D460" s="15">
        <v>952.0</v>
      </c>
      <c r="E460" s="4"/>
      <c r="F460" s="14" t="s">
        <v>1669</v>
      </c>
      <c r="G460" s="17">
        <f>IFERROR(__xludf.DUMMYFUNCTION("SPLIT(F:F, "" "")"),0.159986252263551)</f>
        <v>0.1599862523</v>
      </c>
      <c r="H460" s="4">
        <f>IFERROR(__xludf.DUMMYFUNCTION("""COMPUTED_VALUE"""),0.62043111520495)</f>
        <v>0.6204311152</v>
      </c>
      <c r="I460" s="15">
        <v>1904.0</v>
      </c>
      <c r="J460" s="4"/>
      <c r="K460" s="14" t="s">
        <v>1670</v>
      </c>
      <c r="L460" s="17">
        <f>IFERROR(__xludf.DUMMYFUNCTION("SPLIT(K:K, "" "")"),0.238853058707041)</f>
        <v>0.2388530587</v>
      </c>
      <c r="M460" s="4">
        <f>IFERROR(__xludf.DUMMYFUNCTION("""COMPUTED_VALUE"""),0.557581430544348)</f>
        <v>0.5575814305</v>
      </c>
      <c r="N460" s="15">
        <v>1272.0</v>
      </c>
      <c r="O460" s="4"/>
      <c r="P460" s="14" t="s">
        <v>1671</v>
      </c>
      <c r="Q460" s="17">
        <f>IFERROR(__xludf.DUMMYFUNCTION("SPLIT(P:P, "" "")"),0.201850994380054)</f>
        <v>0.2018509944</v>
      </c>
      <c r="R460" s="4">
        <f>IFERROR(__xludf.DUMMYFUNCTION("""COMPUTED_VALUE"""),0.451676624005242)</f>
        <v>0.451676624</v>
      </c>
      <c r="S460" s="15">
        <v>1908.0</v>
      </c>
      <c r="T460" s="4"/>
      <c r="U460" s="4"/>
    </row>
    <row r="461">
      <c r="A461" s="14" t="s">
        <v>1672</v>
      </c>
      <c r="B461" s="4">
        <f>IFERROR(__xludf.DUMMYFUNCTION("SPLIT(A:A, "" "")"),0.206384693438614)</f>
        <v>0.2063846934</v>
      </c>
      <c r="C461" s="4">
        <f>IFERROR(__xludf.DUMMYFUNCTION("""COMPUTED_VALUE"""),0.712934733391047)</f>
        <v>0.7129347334</v>
      </c>
      <c r="D461" s="15">
        <v>956.0</v>
      </c>
      <c r="E461" s="4"/>
      <c r="F461" s="14" t="s">
        <v>1673</v>
      </c>
      <c r="G461" s="17">
        <f>IFERROR(__xludf.DUMMYFUNCTION("SPLIT(F:F, "" "")"),0.159517213536046)</f>
        <v>0.1595172135</v>
      </c>
      <c r="H461" s="4">
        <f>IFERROR(__xludf.DUMMYFUNCTION("""COMPUTED_VALUE"""),0.600569550586945)</f>
        <v>0.6005695506</v>
      </c>
      <c r="I461" s="15">
        <v>1912.0</v>
      </c>
      <c r="J461" s="4"/>
      <c r="K461" s="14" t="s">
        <v>1674</v>
      </c>
      <c r="L461" s="17">
        <f>IFERROR(__xludf.DUMMYFUNCTION("SPLIT(K:K, "" "")"),0.229648620086702)</f>
        <v>0.2296486201</v>
      </c>
      <c r="M461" s="4">
        <f>IFERROR(__xludf.DUMMYFUNCTION("""COMPUTED_VALUE"""),0.547848885228953)</f>
        <v>0.5478488852</v>
      </c>
      <c r="N461" s="15">
        <v>1280.0</v>
      </c>
      <c r="O461" s="4"/>
      <c r="P461" s="14" t="s">
        <v>1675</v>
      </c>
      <c r="Q461" s="17">
        <f>IFERROR(__xludf.DUMMYFUNCTION("SPLIT(P:P, "" "")"),0.203274034204904)</f>
        <v>0.2032740342</v>
      </c>
      <c r="R461" s="4">
        <f>IFERROR(__xludf.DUMMYFUNCTION("""COMPUTED_VALUE"""),0.446474677983908)</f>
        <v>0.446474678</v>
      </c>
      <c r="S461" s="15">
        <v>1920.0</v>
      </c>
      <c r="T461" s="4"/>
      <c r="U461" s="4"/>
    </row>
    <row r="462">
      <c r="A462" s="14" t="s">
        <v>1676</v>
      </c>
      <c r="B462" s="4">
        <f>IFERROR(__xludf.DUMMYFUNCTION("SPLIT(A:A, "" "")"),0.200837182823479)</f>
        <v>0.2008371828</v>
      </c>
      <c r="C462" s="4">
        <f>IFERROR(__xludf.DUMMYFUNCTION("""COMPUTED_VALUE"""),0.704353230877882)</f>
        <v>0.7043532309</v>
      </c>
      <c r="D462" s="15">
        <v>960.0</v>
      </c>
      <c r="E462" s="4"/>
      <c r="F462" s="14" t="s">
        <v>1677</v>
      </c>
      <c r="G462" s="17">
        <f>IFERROR(__xludf.DUMMYFUNCTION("SPLIT(F:F, "" "")"),0.156120562413525)</f>
        <v>0.1561205624</v>
      </c>
      <c r="H462" s="4">
        <f>IFERROR(__xludf.DUMMYFUNCTION("""COMPUTED_VALUE"""),0.608314142932761)</f>
        <v>0.6083141429</v>
      </c>
      <c r="I462" s="15">
        <v>1920.0</v>
      </c>
      <c r="J462" s="4"/>
      <c r="K462" s="14" t="s">
        <v>1678</v>
      </c>
      <c r="L462" s="17">
        <f>IFERROR(__xludf.DUMMYFUNCTION("SPLIT(K:K, "" "")"),0.228362719425922)</f>
        <v>0.2283627194</v>
      </c>
      <c r="M462" s="4">
        <f>IFERROR(__xludf.DUMMYFUNCTION("""COMPUTED_VALUE"""),0.537655949391419)</f>
        <v>0.5376559494</v>
      </c>
      <c r="N462" s="15">
        <v>1288.0</v>
      </c>
      <c r="O462" s="4"/>
      <c r="P462" s="14" t="s">
        <v>1679</v>
      </c>
      <c r="Q462" s="17">
        <f>IFERROR(__xludf.DUMMYFUNCTION("SPLIT(P:P, "" "")"),0.19601326536489)</f>
        <v>0.1960132654</v>
      </c>
      <c r="R462" s="4">
        <f>IFERROR(__xludf.DUMMYFUNCTION("""COMPUTED_VALUE"""),0.445841086332972)</f>
        <v>0.4458410863</v>
      </c>
      <c r="S462" s="15">
        <v>1932.0</v>
      </c>
      <c r="T462" s="4"/>
      <c r="U462" s="4"/>
    </row>
    <row r="463">
      <c r="A463" s="14" t="s">
        <v>1680</v>
      </c>
      <c r="B463" s="4">
        <f>IFERROR(__xludf.DUMMYFUNCTION("SPLIT(A:A, "" "")"),0.206031096119275)</f>
        <v>0.2060310961</v>
      </c>
      <c r="C463" s="4">
        <f>IFERROR(__xludf.DUMMYFUNCTION("""COMPUTED_VALUE"""),0.704749520667785)</f>
        <v>0.7047495207</v>
      </c>
      <c r="D463" s="15">
        <v>964.0</v>
      </c>
      <c r="E463" s="4"/>
      <c r="F463" s="14" t="s">
        <v>1681</v>
      </c>
      <c r="G463" s="17">
        <f>IFERROR(__xludf.DUMMYFUNCTION("SPLIT(F:F, "" "")"),0.157398730951086)</f>
        <v>0.157398731</v>
      </c>
      <c r="H463" s="4">
        <f>IFERROR(__xludf.DUMMYFUNCTION("""COMPUTED_VALUE"""),0.590896779754576)</f>
        <v>0.5908967798</v>
      </c>
      <c r="I463" s="15">
        <v>1928.0</v>
      </c>
      <c r="J463" s="4"/>
      <c r="K463" s="14" t="s">
        <v>1682</v>
      </c>
      <c r="L463" s="17">
        <f>IFERROR(__xludf.DUMMYFUNCTION("SPLIT(K:K, "" "")"),0.229458211054695)</f>
        <v>0.2294582111</v>
      </c>
      <c r="M463" s="4">
        <f>IFERROR(__xludf.DUMMYFUNCTION("""COMPUTED_VALUE"""),0.552746976922434)</f>
        <v>0.5527469769</v>
      </c>
      <c r="N463" s="15">
        <v>1296.0</v>
      </c>
      <c r="O463" s="4"/>
      <c r="P463" s="14" t="s">
        <v>1683</v>
      </c>
      <c r="Q463" s="17">
        <f>IFERROR(__xludf.DUMMYFUNCTION("SPLIT(P:P, "" "")"),0.203640767565899)</f>
        <v>0.2036407676</v>
      </c>
      <c r="R463" s="4">
        <f>IFERROR(__xludf.DUMMYFUNCTION("""COMPUTED_VALUE"""),0.458486646244481)</f>
        <v>0.4584866462</v>
      </c>
      <c r="S463" s="15">
        <v>1944.0</v>
      </c>
      <c r="T463" s="4"/>
      <c r="U463" s="4"/>
    </row>
    <row r="464">
      <c r="A464" s="14" t="s">
        <v>1684</v>
      </c>
      <c r="B464" s="4">
        <f>IFERROR(__xludf.DUMMYFUNCTION("SPLIT(A:A, "" "")"),0.207914854398453)</f>
        <v>0.2079148544</v>
      </c>
      <c r="C464" s="4">
        <f>IFERROR(__xludf.DUMMYFUNCTION("""COMPUTED_VALUE"""),0.705549902656617)</f>
        <v>0.7055499027</v>
      </c>
      <c r="D464" s="15">
        <v>968.0</v>
      </c>
      <c r="E464" s="4"/>
      <c r="F464" s="14" t="s">
        <v>1685</v>
      </c>
      <c r="G464" s="17">
        <f>IFERROR(__xludf.DUMMYFUNCTION("SPLIT(F:F, "" "")"),0.159235776260173)</f>
        <v>0.1592357763</v>
      </c>
      <c r="H464" s="4">
        <f>IFERROR(__xludf.DUMMYFUNCTION("""COMPUTED_VALUE"""),0.599942082283416)</f>
        <v>0.5999420823</v>
      </c>
      <c r="I464" s="15">
        <v>1936.0</v>
      </c>
      <c r="J464" s="4"/>
      <c r="K464" s="14" t="s">
        <v>1686</v>
      </c>
      <c r="L464" s="17">
        <f>IFERROR(__xludf.DUMMYFUNCTION("SPLIT(K:K, "" "")"),0.231759527323422)</f>
        <v>0.2317595273</v>
      </c>
      <c r="M464" s="4">
        <f>IFERROR(__xludf.DUMMYFUNCTION("""COMPUTED_VALUE"""),0.556362520750012)</f>
        <v>0.5563625208</v>
      </c>
      <c r="N464" s="15">
        <v>1304.0</v>
      </c>
      <c r="O464" s="4"/>
      <c r="P464" s="14" t="s">
        <v>1687</v>
      </c>
      <c r="Q464" s="17">
        <f>IFERROR(__xludf.DUMMYFUNCTION("SPLIT(P:P, "" "")"),0.204233788679197)</f>
        <v>0.2042337887</v>
      </c>
      <c r="R464" s="4">
        <f>IFERROR(__xludf.DUMMYFUNCTION("""COMPUTED_VALUE"""),0.444178033976719)</f>
        <v>0.444178034</v>
      </c>
      <c r="S464" s="15">
        <v>1956.0</v>
      </c>
      <c r="T464" s="4"/>
      <c r="U464" s="4"/>
    </row>
    <row r="465">
      <c r="A465" s="14" t="s">
        <v>1688</v>
      </c>
      <c r="B465" s="4">
        <f>IFERROR(__xludf.DUMMYFUNCTION("SPLIT(A:A, "" "")"),0.205408687396906)</f>
        <v>0.2054086874</v>
      </c>
      <c r="C465" s="4">
        <f>IFERROR(__xludf.DUMMYFUNCTION("""COMPUTED_VALUE"""),0.705053014992253)</f>
        <v>0.705053015</v>
      </c>
      <c r="D465" s="15">
        <v>972.0</v>
      </c>
      <c r="E465" s="4"/>
      <c r="F465" s="14" t="s">
        <v>1689</v>
      </c>
      <c r="G465" s="17">
        <f>IFERROR(__xludf.DUMMYFUNCTION("SPLIT(F:F, "" "")"),0.156810375335155)</f>
        <v>0.1568103753</v>
      </c>
      <c r="H465" s="4">
        <f>IFERROR(__xludf.DUMMYFUNCTION("""COMPUTED_VALUE"""),0.595908548400821)</f>
        <v>0.5959085484</v>
      </c>
      <c r="I465" s="15">
        <v>1944.0</v>
      </c>
      <c r="J465" s="4"/>
      <c r="K465" s="14" t="s">
        <v>1690</v>
      </c>
      <c r="L465" s="17">
        <f>IFERROR(__xludf.DUMMYFUNCTION("SPLIT(K:K, "" "")"),0.2239708076979)</f>
        <v>0.2239708077</v>
      </c>
      <c r="M465" s="4">
        <f>IFERROR(__xludf.DUMMYFUNCTION("""COMPUTED_VALUE"""),0.537781379250819)</f>
        <v>0.5377813793</v>
      </c>
      <c r="N465" s="15">
        <v>1312.0</v>
      </c>
      <c r="O465" s="4"/>
      <c r="P465" s="14" t="s">
        <v>1691</v>
      </c>
      <c r="Q465" s="17">
        <f>IFERROR(__xludf.DUMMYFUNCTION("SPLIT(P:P, "" "")"),0.197623367195111)</f>
        <v>0.1976233672</v>
      </c>
      <c r="R465" s="4">
        <f>IFERROR(__xludf.DUMMYFUNCTION("""COMPUTED_VALUE"""),0.450886007982341)</f>
        <v>0.450886008</v>
      </c>
      <c r="S465" s="15">
        <v>1968.0</v>
      </c>
      <c r="T465" s="4"/>
      <c r="U465" s="4"/>
    </row>
    <row r="466">
      <c r="A466" s="14" t="s">
        <v>1692</v>
      </c>
      <c r="B466" s="4">
        <f>IFERROR(__xludf.DUMMYFUNCTION("SPLIT(A:A, "" "")"),0.20799914208325)</f>
        <v>0.2079991421</v>
      </c>
      <c r="C466" s="4">
        <f>IFERROR(__xludf.DUMMYFUNCTION("""COMPUTED_VALUE"""),0.718145605329053)</f>
        <v>0.7181456053</v>
      </c>
      <c r="D466" s="15">
        <v>976.0</v>
      </c>
      <c r="E466" s="4"/>
      <c r="F466" s="14" t="s">
        <v>1693</v>
      </c>
      <c r="G466" s="17">
        <f>IFERROR(__xludf.DUMMYFUNCTION("SPLIT(F:F, "" "")"),0.15805829241393)</f>
        <v>0.1580582924</v>
      </c>
      <c r="H466" s="4">
        <f>IFERROR(__xludf.DUMMYFUNCTION("""COMPUTED_VALUE"""),0.609101526836782)</f>
        <v>0.6091015268</v>
      </c>
      <c r="I466" s="15">
        <v>1952.0</v>
      </c>
      <c r="J466" s="4"/>
      <c r="K466" s="14" t="s">
        <v>1694</v>
      </c>
      <c r="L466" s="17">
        <f>IFERROR(__xludf.DUMMYFUNCTION("SPLIT(K:K, "" "")"),0.226874996824085)</f>
        <v>0.2268749968</v>
      </c>
      <c r="M466" s="4">
        <f>IFERROR(__xludf.DUMMYFUNCTION("""COMPUTED_VALUE"""),0.552540640431908)</f>
        <v>0.5525406404</v>
      </c>
      <c r="N466" s="15">
        <v>1320.0</v>
      </c>
      <c r="O466" s="4"/>
      <c r="P466" s="14" t="s">
        <v>1695</v>
      </c>
      <c r="Q466" s="17">
        <f>IFERROR(__xludf.DUMMYFUNCTION("SPLIT(P:P, "" "")"),0.20039596211869)</f>
        <v>0.2003959621</v>
      </c>
      <c r="R466" s="4">
        <f>IFERROR(__xludf.DUMMYFUNCTION("""COMPUTED_VALUE"""),0.445958472776414)</f>
        <v>0.4459584728</v>
      </c>
      <c r="S466" s="15">
        <v>1980.0</v>
      </c>
      <c r="T466" s="4"/>
      <c r="U466" s="4"/>
    </row>
    <row r="467">
      <c r="A467" s="14" t="s">
        <v>1696</v>
      </c>
      <c r="B467" s="4">
        <f>IFERROR(__xludf.DUMMYFUNCTION("SPLIT(A:A, "" "")"),0.213764310359774)</f>
        <v>0.2137643104</v>
      </c>
      <c r="C467" s="4">
        <f>IFERROR(__xludf.DUMMYFUNCTION("""COMPUTED_VALUE"""),0.709029560456284)</f>
        <v>0.7090295605</v>
      </c>
      <c r="D467" s="15">
        <v>980.0</v>
      </c>
      <c r="E467" s="4"/>
      <c r="F467" s="14" t="s">
        <v>1697</v>
      </c>
      <c r="G467" s="17">
        <f>IFERROR(__xludf.DUMMYFUNCTION("SPLIT(F:F, "" "")"),0.160642102761982)</f>
        <v>0.1606421028</v>
      </c>
      <c r="H467" s="4">
        <f>IFERROR(__xludf.DUMMYFUNCTION("""COMPUTED_VALUE"""),0.613095446099516)</f>
        <v>0.6130954461</v>
      </c>
      <c r="I467" s="15">
        <v>1960.0</v>
      </c>
      <c r="J467" s="4"/>
      <c r="K467" s="14" t="s">
        <v>1698</v>
      </c>
      <c r="L467" s="17">
        <f>IFERROR(__xludf.DUMMYFUNCTION("SPLIT(K:K, "" "")"),0.229267793672149)</f>
        <v>0.2292677937</v>
      </c>
      <c r="M467" s="4">
        <f>IFERROR(__xludf.DUMMYFUNCTION("""COMPUTED_VALUE"""),0.553095563565567)</f>
        <v>0.5530955636</v>
      </c>
      <c r="N467" s="15">
        <v>1328.0</v>
      </c>
      <c r="O467" s="4"/>
      <c r="P467" s="14" t="s">
        <v>1699</v>
      </c>
      <c r="Q467" s="17">
        <f>IFERROR(__xludf.DUMMYFUNCTION("SPLIT(P:P, "" "")"),0.199174695899633)</f>
        <v>0.1991746959</v>
      </c>
      <c r="R467" s="4">
        <f>IFERROR(__xludf.DUMMYFUNCTION("""COMPUTED_VALUE"""),0.452723090420208)</f>
        <v>0.4527230904</v>
      </c>
      <c r="S467" s="15">
        <v>1992.0</v>
      </c>
      <c r="T467" s="4"/>
      <c r="U467" s="4"/>
    </row>
    <row r="468">
      <c r="A468" s="14" t="s">
        <v>1700</v>
      </c>
      <c r="B468" s="4">
        <f>IFERROR(__xludf.DUMMYFUNCTION("SPLIT(A:A, "" "")"),0.20454743056706)</f>
        <v>0.2045474306</v>
      </c>
      <c r="C468" s="4">
        <f>IFERROR(__xludf.DUMMYFUNCTION("""COMPUTED_VALUE"""),0.701274428591091)</f>
        <v>0.7012744286</v>
      </c>
      <c r="D468" s="15">
        <v>984.0</v>
      </c>
      <c r="E468" s="4"/>
      <c r="F468" s="14" t="s">
        <v>1701</v>
      </c>
      <c r="G468" s="17">
        <f>IFERROR(__xludf.DUMMYFUNCTION("SPLIT(F:F, "" "")"),0.158685530981635)</f>
        <v>0.158685531</v>
      </c>
      <c r="H468" s="4">
        <f>IFERROR(__xludf.DUMMYFUNCTION("""COMPUTED_VALUE"""),0.60400588948205)</f>
        <v>0.6040058895</v>
      </c>
      <c r="I468" s="15">
        <v>1968.0</v>
      </c>
      <c r="J468" s="4"/>
      <c r="K468" s="14" t="s">
        <v>1702</v>
      </c>
      <c r="L468" s="17">
        <f>IFERROR(__xludf.DUMMYFUNCTION("SPLIT(K:K, "" "")"),0.227426065874983)</f>
        <v>0.2274260659</v>
      </c>
      <c r="M468" s="4">
        <f>IFERROR(__xludf.DUMMYFUNCTION("""COMPUTED_VALUE"""),0.550290970555818)</f>
        <v>0.5502909706</v>
      </c>
      <c r="N468" s="15">
        <v>1336.0</v>
      </c>
      <c r="O468" s="4"/>
      <c r="P468" s="14" t="s">
        <v>1703</v>
      </c>
      <c r="Q468" s="17">
        <f>IFERROR(__xludf.DUMMYFUNCTION("SPLIT(P:P, "" "")"),0.195392492489282)</f>
        <v>0.1953924925</v>
      </c>
      <c r="R468" s="4">
        <f>IFERROR(__xludf.DUMMYFUNCTION("""COMPUTED_VALUE"""),0.446198926009074)</f>
        <v>0.446198926</v>
      </c>
      <c r="S468" s="15">
        <v>2004.0</v>
      </c>
      <c r="T468" s="4"/>
      <c r="U468" s="4"/>
    </row>
    <row r="469">
      <c r="A469" s="14" t="s">
        <v>1704</v>
      </c>
      <c r="B469" s="4">
        <f>IFERROR(__xludf.DUMMYFUNCTION("SPLIT(A:A, "" "")"),0.204305870711028)</f>
        <v>0.2043058707</v>
      </c>
      <c r="C469" s="4">
        <f>IFERROR(__xludf.DUMMYFUNCTION("""COMPUTED_VALUE"""),0.70718818823519)</f>
        <v>0.7071881882</v>
      </c>
      <c r="D469" s="15">
        <v>988.0</v>
      </c>
      <c r="E469" s="4"/>
      <c r="F469" s="14" t="s">
        <v>1705</v>
      </c>
      <c r="G469" s="17">
        <f>IFERROR(__xludf.DUMMYFUNCTION("SPLIT(F:F, "" "")"),0.153410162713419)</f>
        <v>0.1534101627</v>
      </c>
      <c r="H469" s="4">
        <f>IFERROR(__xludf.DUMMYFUNCTION("""COMPUTED_VALUE"""),0.605327123775715)</f>
        <v>0.6053271238</v>
      </c>
      <c r="I469" s="15">
        <v>1976.0</v>
      </c>
      <c r="J469" s="4"/>
      <c r="K469" s="14" t="s">
        <v>1706</v>
      </c>
      <c r="L469" s="17">
        <f>IFERROR(__xludf.DUMMYFUNCTION("SPLIT(K:K, "" "")"),0.229521503540978)</f>
        <v>0.2295215035</v>
      </c>
      <c r="M469" s="4">
        <f>IFERROR(__xludf.DUMMYFUNCTION("""COMPUTED_VALUE"""),0.552073189036508)</f>
        <v>0.552073189</v>
      </c>
      <c r="N469" s="15">
        <v>1344.0</v>
      </c>
      <c r="O469" s="4"/>
      <c r="P469" s="14" t="s">
        <v>1707</v>
      </c>
      <c r="Q469" s="17">
        <f>IFERROR(__xludf.DUMMYFUNCTION("SPLIT(P:P, "" "")"),0.195932976127184)</f>
        <v>0.1959329761</v>
      </c>
      <c r="R469" s="4">
        <f>IFERROR(__xludf.DUMMYFUNCTION("""COMPUTED_VALUE"""),0.448602870526216)</f>
        <v>0.4486028705</v>
      </c>
      <c r="S469" s="15">
        <v>2016.0</v>
      </c>
      <c r="T469" s="4"/>
      <c r="U469" s="4"/>
    </row>
    <row r="470">
      <c r="A470" s="14" t="s">
        <v>1708</v>
      </c>
      <c r="B470" s="4">
        <f>IFERROR(__xludf.DUMMYFUNCTION("SPLIT(A:A, "" "")"),0.203796933601767)</f>
        <v>0.2037969336</v>
      </c>
      <c r="C470" s="4">
        <f>IFERROR(__xludf.DUMMYFUNCTION("""COMPUTED_VALUE"""),0.714529006882871)</f>
        <v>0.7145290069</v>
      </c>
      <c r="D470" s="15">
        <v>992.0</v>
      </c>
      <c r="E470" s="4"/>
      <c r="F470" s="14" t="s">
        <v>1709</v>
      </c>
      <c r="G470" s="17">
        <f>IFERROR(__xludf.DUMMYFUNCTION("SPLIT(F:F, "" "")"),0.151773590217084)</f>
        <v>0.1517735902</v>
      </c>
      <c r="H470" s="4">
        <f>IFERROR(__xludf.DUMMYFUNCTION("""COMPUTED_VALUE"""),0.601844878630964)</f>
        <v>0.6018448786</v>
      </c>
      <c r="I470" s="15">
        <v>1984.0</v>
      </c>
      <c r="J470" s="4"/>
      <c r="K470" s="14" t="s">
        <v>1710</v>
      </c>
      <c r="L470" s="17">
        <f>IFERROR(__xludf.DUMMYFUNCTION("SPLIT(K:K, "" "")"),0.223984851498762)</f>
        <v>0.2239848515</v>
      </c>
      <c r="M470" s="4">
        <f>IFERROR(__xludf.DUMMYFUNCTION("""COMPUTED_VALUE"""),0.544410410768835)</f>
        <v>0.5444104108</v>
      </c>
      <c r="N470" s="15">
        <v>1352.0</v>
      </c>
      <c r="O470" s="4"/>
      <c r="P470" s="14" t="s">
        <v>1711</v>
      </c>
      <c r="Q470" s="17">
        <f>IFERROR(__xludf.DUMMYFUNCTION("SPLIT(P:P, "" "")"),0.192909875041992)</f>
        <v>0.192909875</v>
      </c>
      <c r="R470" s="4">
        <f>IFERROR(__xludf.DUMMYFUNCTION("""COMPUTED_VALUE"""),0.434312511729713)</f>
        <v>0.4343125117</v>
      </c>
      <c r="S470" s="15">
        <v>2028.0</v>
      </c>
      <c r="T470" s="4"/>
      <c r="U470" s="4"/>
    </row>
    <row r="471">
      <c r="A471" s="14" t="s">
        <v>1712</v>
      </c>
      <c r="B471" s="4">
        <f>IFERROR(__xludf.DUMMYFUNCTION("SPLIT(A:A, "" "")"),0.200957719656379)</f>
        <v>0.2009577197</v>
      </c>
      <c r="C471" s="4">
        <f>IFERROR(__xludf.DUMMYFUNCTION("""COMPUTED_VALUE"""),0.707905036560192)</f>
        <v>0.7079050366</v>
      </c>
      <c r="D471" s="15">
        <v>996.0</v>
      </c>
      <c r="E471" s="4"/>
      <c r="F471" s="14" t="s">
        <v>1713</v>
      </c>
      <c r="G471" s="17">
        <f>IFERROR(__xludf.DUMMYFUNCTION("SPLIT(F:F, "" "")"),0.153090669249611)</f>
        <v>0.1530906692</v>
      </c>
      <c r="H471" s="4">
        <f>IFERROR(__xludf.DUMMYFUNCTION("""COMPUTED_VALUE"""),0.60263448226663)</f>
        <v>0.6026344823</v>
      </c>
      <c r="I471" s="15">
        <v>1992.0</v>
      </c>
      <c r="J471" s="4"/>
      <c r="K471" s="14" t="s">
        <v>1714</v>
      </c>
      <c r="L471" s="17">
        <f>IFERROR(__xludf.DUMMYFUNCTION("SPLIT(K:K, "" "")"),0.223180903323506)</f>
        <v>0.2231809033</v>
      </c>
      <c r="M471" s="4">
        <f>IFERROR(__xludf.DUMMYFUNCTION("""COMPUTED_VALUE"""),0.528166400930872)</f>
        <v>0.5281664009</v>
      </c>
      <c r="N471" s="15">
        <v>1360.0</v>
      </c>
      <c r="O471" s="4"/>
      <c r="P471" s="14" t="s">
        <v>1715</v>
      </c>
      <c r="Q471" s="17">
        <f>IFERROR(__xludf.DUMMYFUNCTION("SPLIT(P:P, "" "")"),0.19334110501964)</f>
        <v>0.193341105</v>
      </c>
      <c r="R471" s="4">
        <f>IFERROR(__xludf.DUMMYFUNCTION("""COMPUTED_VALUE"""),0.443430727130505)</f>
        <v>0.4434307271</v>
      </c>
      <c r="S471" s="15">
        <v>2040.0</v>
      </c>
      <c r="T471" s="4"/>
      <c r="U471" s="4"/>
    </row>
    <row r="472">
      <c r="A472" s="14" t="s">
        <v>1716</v>
      </c>
      <c r="B472" s="4">
        <f>IFERROR(__xludf.DUMMYFUNCTION("SPLIT(A:A, "" "")"),0.200824241771113)</f>
        <v>0.2008242418</v>
      </c>
      <c r="C472" s="4">
        <f>IFERROR(__xludf.DUMMYFUNCTION("""COMPUTED_VALUE"""),0.690822975515143)</f>
        <v>0.6908229755</v>
      </c>
      <c r="D472" s="15">
        <v>1000.0</v>
      </c>
      <c r="E472" s="4"/>
      <c r="F472" s="14" t="s">
        <v>1717</v>
      </c>
      <c r="G472" s="17">
        <f>IFERROR(__xludf.DUMMYFUNCTION("SPLIT(F:F, "" "")"),0.149512414241342)</f>
        <v>0.1495124142</v>
      </c>
      <c r="H472" s="4">
        <f>IFERROR(__xludf.DUMMYFUNCTION("""COMPUTED_VALUE"""),0.59646021728037)</f>
        <v>0.5964602173</v>
      </c>
      <c r="I472" s="15">
        <v>2000.0</v>
      </c>
      <c r="J472" s="4"/>
      <c r="K472" s="14" t="s">
        <v>1718</v>
      </c>
      <c r="L472" s="17">
        <f>IFERROR(__xludf.DUMMYFUNCTION("SPLIT(K:K, "" "")"),0.22977433344954)</f>
        <v>0.2297743334</v>
      </c>
      <c r="M472" s="4">
        <f>IFERROR(__xludf.DUMMYFUNCTION("""COMPUTED_VALUE"""),0.561883617666849)</f>
        <v>0.5618836177</v>
      </c>
      <c r="N472" s="15">
        <v>1368.0</v>
      </c>
      <c r="O472" s="4"/>
      <c r="P472" s="14" t="s">
        <v>1719</v>
      </c>
      <c r="Q472" s="17">
        <f>IFERROR(__xludf.DUMMYFUNCTION("SPLIT(P:P, "" "")"),0.200378511670268)</f>
        <v>0.2003785117</v>
      </c>
      <c r="R472" s="4">
        <f>IFERROR(__xludf.DUMMYFUNCTION("""COMPUTED_VALUE"""),0.453281549539588)</f>
        <v>0.4532815495</v>
      </c>
      <c r="S472" s="15">
        <v>2052.0</v>
      </c>
      <c r="T472" s="4"/>
      <c r="U472" s="4"/>
    </row>
    <row r="473">
      <c r="A473" s="14" t="s">
        <v>1720</v>
      </c>
      <c r="B473" s="4">
        <f>IFERROR(__xludf.DUMMYFUNCTION("SPLIT(A:A, "" "")"),0.202474320843891)</f>
        <v>0.2024743208</v>
      </c>
      <c r="C473" s="4">
        <f>IFERROR(__xludf.DUMMYFUNCTION("""COMPUTED_VALUE"""),0.707940171189233)</f>
        <v>0.7079401712</v>
      </c>
      <c r="D473" s="15">
        <v>1004.0</v>
      </c>
      <c r="E473" s="4"/>
      <c r="F473" s="14" t="s">
        <v>1721</v>
      </c>
      <c r="G473" s="17">
        <f>IFERROR(__xludf.DUMMYFUNCTION("SPLIT(F:F, "" "")"),0.154326745113899)</f>
        <v>0.1543267451</v>
      </c>
      <c r="H473" s="4">
        <f>IFERROR(__xludf.DUMMYFUNCTION("""COMPUTED_VALUE"""),0.611622039257914)</f>
        <v>0.6116220393</v>
      </c>
      <c r="I473" s="15">
        <v>2008.0</v>
      </c>
      <c r="J473" s="4"/>
      <c r="K473" s="14" t="s">
        <v>1722</v>
      </c>
      <c r="L473" s="17">
        <f>IFERROR(__xludf.DUMMYFUNCTION("SPLIT(K:K, "" "")"),0.219026740808103)</f>
        <v>0.2190267408</v>
      </c>
      <c r="M473" s="4">
        <f>IFERROR(__xludf.DUMMYFUNCTION("""COMPUTED_VALUE"""),0.526856362675553)</f>
        <v>0.5268563627</v>
      </c>
      <c r="N473" s="15">
        <v>1376.0</v>
      </c>
      <c r="O473" s="4"/>
      <c r="P473" s="14" t="s">
        <v>1723</v>
      </c>
      <c r="Q473" s="17">
        <f>IFERROR(__xludf.DUMMYFUNCTION("SPLIT(P:P, "" "")"),0.18887209101342)</f>
        <v>0.188872091</v>
      </c>
      <c r="R473" s="4">
        <f>IFERROR(__xludf.DUMMYFUNCTION("""COMPUTED_VALUE"""),0.440951435730932)</f>
        <v>0.4409514357</v>
      </c>
      <c r="S473" s="15">
        <v>2064.0</v>
      </c>
      <c r="T473" s="4"/>
      <c r="U473" s="4"/>
    </row>
    <row r="474">
      <c r="A474" s="14" t="s">
        <v>1724</v>
      </c>
      <c r="B474" s="4">
        <f>IFERROR(__xludf.DUMMYFUNCTION("SPLIT(A:A, "" "")"),0.195592174692927)</f>
        <v>0.1955921747</v>
      </c>
      <c r="C474" s="4">
        <f>IFERROR(__xludf.DUMMYFUNCTION("""COMPUTED_VALUE"""),0.695332478018231)</f>
        <v>0.695332478</v>
      </c>
      <c r="D474" s="15">
        <v>1008.0</v>
      </c>
      <c r="E474" s="4"/>
      <c r="F474" s="14" t="s">
        <v>1725</v>
      </c>
      <c r="G474" s="17">
        <f>IFERROR(__xludf.DUMMYFUNCTION("SPLIT(F:F, "" "")"),0.157327958863153)</f>
        <v>0.1573279589</v>
      </c>
      <c r="H474" s="4">
        <f>IFERROR(__xludf.DUMMYFUNCTION("""COMPUTED_VALUE"""),0.610251034714005)</f>
        <v>0.6102510347</v>
      </c>
      <c r="I474" s="15">
        <v>2016.0</v>
      </c>
      <c r="J474" s="4"/>
      <c r="K474" s="14" t="s">
        <v>1726</v>
      </c>
      <c r="L474" s="17">
        <f>IFERROR(__xludf.DUMMYFUNCTION("SPLIT(K:K, "" "")"),0.220178994326254)</f>
        <v>0.2201789943</v>
      </c>
      <c r="M474" s="4">
        <f>IFERROR(__xludf.DUMMYFUNCTION("""COMPUTED_VALUE"""),0.545230291818997)</f>
        <v>0.5452302918</v>
      </c>
      <c r="N474" s="15">
        <v>1384.0</v>
      </c>
      <c r="O474" s="4"/>
      <c r="P474" s="14" t="s">
        <v>1727</v>
      </c>
      <c r="Q474" s="17">
        <f>IFERROR(__xludf.DUMMYFUNCTION("SPLIT(P:P, "" "")"),0.192478082864608)</f>
        <v>0.1924780829</v>
      </c>
      <c r="R474" s="4">
        <f>IFERROR(__xludf.DUMMYFUNCTION("""COMPUTED_VALUE"""),0.442872920393599)</f>
        <v>0.4428729204</v>
      </c>
      <c r="S474" s="15">
        <v>2076.0</v>
      </c>
      <c r="T474" s="4"/>
      <c r="U474" s="4"/>
    </row>
    <row r="475">
      <c r="A475" s="14" t="s">
        <v>1728</v>
      </c>
      <c r="B475" s="4">
        <f>IFERROR(__xludf.DUMMYFUNCTION("SPLIT(A:A, "" "")"),0.194649444202533)</f>
        <v>0.1946494442</v>
      </c>
      <c r="C475" s="4">
        <f>IFERROR(__xludf.DUMMYFUNCTION("""COMPUTED_VALUE"""),0.691227139643803)</f>
        <v>0.6912271396</v>
      </c>
      <c r="D475" s="15">
        <v>1012.0</v>
      </c>
      <c r="E475" s="4"/>
      <c r="F475" s="14" t="s">
        <v>1729</v>
      </c>
      <c r="G475" s="17">
        <f>IFERROR(__xludf.DUMMYFUNCTION("SPLIT(F:F, "" "")"),0.157979160771269)</f>
        <v>0.1579791608</v>
      </c>
      <c r="H475" s="4">
        <f>IFERROR(__xludf.DUMMYFUNCTION("""COMPUTED_VALUE"""),0.612484680945234)</f>
        <v>0.6124846809</v>
      </c>
      <c r="I475" s="15">
        <v>2024.0</v>
      </c>
      <c r="J475" s="4"/>
      <c r="K475" s="14" t="s">
        <v>1730</v>
      </c>
      <c r="L475" s="17">
        <f>IFERROR(__xludf.DUMMYFUNCTION("SPLIT(K:K, "" "")"),0.215199556104266)</f>
        <v>0.2151995561</v>
      </c>
      <c r="M475" s="4">
        <f>IFERROR(__xludf.DUMMYFUNCTION("""COMPUTED_VALUE"""),0.54259834078311)</f>
        <v>0.5425983408</v>
      </c>
      <c r="N475" s="15">
        <v>1392.0</v>
      </c>
      <c r="O475" s="4"/>
      <c r="P475" s="14" t="s">
        <v>1731</v>
      </c>
      <c r="Q475" s="17">
        <f>IFERROR(__xludf.DUMMYFUNCTION("SPLIT(P:P, "" "")"),0.190102403766352)</f>
        <v>0.1901024038</v>
      </c>
      <c r="R475" s="4">
        <f>IFERROR(__xludf.DUMMYFUNCTION("""COMPUTED_VALUE"""),0.437256924098283)</f>
        <v>0.4372569241</v>
      </c>
      <c r="S475" s="15">
        <v>2088.0</v>
      </c>
      <c r="T475" s="4"/>
      <c r="U475" s="4"/>
    </row>
    <row r="476">
      <c r="A476" s="14" t="s">
        <v>1732</v>
      </c>
      <c r="B476" s="4">
        <f>IFERROR(__xludf.DUMMYFUNCTION("SPLIT(A:A, "" "")"),0.196079675336425)</f>
        <v>0.1960796753</v>
      </c>
      <c r="C476" s="4">
        <f>IFERROR(__xludf.DUMMYFUNCTION("""COMPUTED_VALUE"""),0.690441617547498)</f>
        <v>0.6904416175</v>
      </c>
      <c r="D476" s="15">
        <v>1016.0</v>
      </c>
      <c r="E476" s="4"/>
      <c r="F476" s="14" t="s">
        <v>1733</v>
      </c>
      <c r="G476" s="17">
        <f>IFERROR(__xludf.DUMMYFUNCTION("SPLIT(F:F, "" "")"),0.154024210003515)</f>
        <v>0.15402421</v>
      </c>
      <c r="H476" s="4">
        <f>IFERROR(__xludf.DUMMYFUNCTION("""COMPUTED_VALUE"""),0.612265577397341)</f>
        <v>0.6122655774</v>
      </c>
      <c r="I476" s="15">
        <v>2032.0</v>
      </c>
      <c r="J476" s="4"/>
      <c r="K476" s="14" t="s">
        <v>1734</v>
      </c>
      <c r="L476" s="17">
        <f>IFERROR(__xludf.DUMMYFUNCTION("SPLIT(K:K, "" "")"),0.227856715559038)</f>
        <v>0.2278567156</v>
      </c>
      <c r="M476" s="4">
        <f>IFERROR(__xludf.DUMMYFUNCTION("""COMPUTED_VALUE"""),0.542948614597405)</f>
        <v>0.5429486146</v>
      </c>
      <c r="N476" s="15">
        <v>1400.0</v>
      </c>
      <c r="O476" s="4"/>
      <c r="P476" s="14" t="s">
        <v>1735</v>
      </c>
      <c r="Q476" s="17">
        <f>IFERROR(__xludf.DUMMYFUNCTION("SPLIT(P:P, "" "")"),0.19546063869531)</f>
        <v>0.1954606387</v>
      </c>
      <c r="R476" s="4">
        <f>IFERROR(__xludf.DUMMYFUNCTION("""COMPUTED_VALUE"""),0.443929651053804)</f>
        <v>0.4439296511</v>
      </c>
      <c r="S476" s="15">
        <v>2100.0</v>
      </c>
      <c r="T476" s="4"/>
      <c r="U476" s="4"/>
    </row>
    <row r="477">
      <c r="A477" s="14" t="s">
        <v>1736</v>
      </c>
      <c r="B477" s="4">
        <f>IFERROR(__xludf.DUMMYFUNCTION("SPLIT(A:A, "" "")"),0.199085793924011)</f>
        <v>0.1990857939</v>
      </c>
      <c r="C477" s="4">
        <f>IFERROR(__xludf.DUMMYFUNCTION("""COMPUTED_VALUE"""),0.709004141611597)</f>
        <v>0.7090041416</v>
      </c>
      <c r="D477" s="15">
        <v>1020.0</v>
      </c>
      <c r="E477" s="4"/>
      <c r="F477" s="14" t="s">
        <v>1737</v>
      </c>
      <c r="G477" s="17">
        <f>IFERROR(__xludf.DUMMYFUNCTION("SPLIT(F:F, "" "")"),0.150034519866045)</f>
        <v>0.1500345199</v>
      </c>
      <c r="H477" s="4">
        <f>IFERROR(__xludf.DUMMYFUNCTION("""COMPUTED_VALUE"""),0.614845911281121)</f>
        <v>0.6148459113</v>
      </c>
      <c r="I477" s="15">
        <v>2040.0</v>
      </c>
      <c r="J477" s="4"/>
      <c r="K477" s="14" t="s">
        <v>1738</v>
      </c>
      <c r="L477" s="17">
        <f>IFERROR(__xludf.DUMMYFUNCTION("SPLIT(K:K, "" "")"),0.222435740462651)</f>
        <v>0.2224357405</v>
      </c>
      <c r="M477" s="4">
        <f>IFERROR(__xludf.DUMMYFUNCTION("""COMPUTED_VALUE"""),0.545490834729835)</f>
        <v>0.5454908347</v>
      </c>
      <c r="N477" s="15">
        <v>1408.0</v>
      </c>
      <c r="O477" s="4"/>
      <c r="P477" s="14" t="s">
        <v>1739</v>
      </c>
      <c r="Q477" s="17">
        <f>IFERROR(__xludf.DUMMYFUNCTION("SPLIT(P:P, "" "")"),0.192629342626982)</f>
        <v>0.1926293426</v>
      </c>
      <c r="R477" s="4">
        <f>IFERROR(__xludf.DUMMYFUNCTION("""COMPUTED_VALUE"""),0.453965148403548)</f>
        <v>0.4539651484</v>
      </c>
      <c r="S477" s="15">
        <v>2112.0</v>
      </c>
      <c r="T477" s="4"/>
      <c r="U477" s="4"/>
    </row>
    <row r="478">
      <c r="A478" s="14" t="s">
        <v>1740</v>
      </c>
      <c r="B478" s="4">
        <f>IFERROR(__xludf.DUMMYFUNCTION("SPLIT(A:A, "" "")"),0.200845075164295)</f>
        <v>0.2008450752</v>
      </c>
      <c r="C478" s="4">
        <f>IFERROR(__xludf.DUMMYFUNCTION("""COMPUTED_VALUE"""),0.714094222867467)</f>
        <v>0.7140942229</v>
      </c>
      <c r="D478" s="15">
        <v>1024.0</v>
      </c>
      <c r="E478" s="4"/>
      <c r="F478" s="14" t="s">
        <v>1741</v>
      </c>
      <c r="G478" s="17">
        <f>IFERROR(__xludf.DUMMYFUNCTION("SPLIT(F:F, "" "")"),0.146413460403479)</f>
        <v>0.1464134604</v>
      </c>
      <c r="H478" s="4">
        <f>IFERROR(__xludf.DUMMYFUNCTION("""COMPUTED_VALUE"""),0.602064032495113)</f>
        <v>0.6020640325</v>
      </c>
      <c r="I478" s="15">
        <v>2048.0</v>
      </c>
      <c r="J478" s="4"/>
      <c r="K478" s="14" t="s">
        <v>1742</v>
      </c>
      <c r="L478" s="17">
        <f>IFERROR(__xludf.DUMMYFUNCTION("SPLIT(K:K, "" "")"),0.222194900729591)</f>
        <v>0.2221949007</v>
      </c>
      <c r="M478" s="4">
        <f>IFERROR(__xludf.DUMMYFUNCTION("""COMPUTED_VALUE"""),0.546304472260176)</f>
        <v>0.5463044723</v>
      </c>
      <c r="N478" s="15">
        <v>1416.0</v>
      </c>
      <c r="O478" s="4"/>
      <c r="P478" s="14" t="s">
        <v>1743</v>
      </c>
      <c r="Q478" s="17">
        <f>IFERROR(__xludf.DUMMYFUNCTION("SPLIT(P:P, "" "")"),0.197280445966717)</f>
        <v>0.197280446</v>
      </c>
      <c r="R478" s="4">
        <f>IFERROR(__xludf.DUMMYFUNCTION("""COMPUTED_VALUE"""),0.462318117739687)</f>
        <v>0.4623181177</v>
      </c>
      <c r="S478" s="15">
        <v>2124.0</v>
      </c>
      <c r="T478" s="4"/>
      <c r="U478" s="4"/>
    </row>
    <row r="479">
      <c r="A479" s="14" t="s">
        <v>1744</v>
      </c>
      <c r="B479" s="4">
        <f>IFERROR(__xludf.DUMMYFUNCTION("SPLIT(A:A, "" "")"),0.201002971638705)</f>
        <v>0.2010029716</v>
      </c>
      <c r="C479" s="4">
        <f>IFERROR(__xludf.DUMMYFUNCTION("""COMPUTED_VALUE"""),0.717577414836297)</f>
        <v>0.7175774148</v>
      </c>
      <c r="D479" s="15">
        <v>1028.0</v>
      </c>
      <c r="E479" s="4"/>
      <c r="F479" s="14" t="s">
        <v>1745</v>
      </c>
      <c r="G479" s="17">
        <f>IFERROR(__xludf.DUMMYFUNCTION("SPLIT(F:F, "" "")"),0.151172325019228)</f>
        <v>0.151172325</v>
      </c>
      <c r="H479" s="4">
        <f>IFERROR(__xludf.DUMMYFUNCTION("""COMPUTED_VALUE"""),0.616440357022308)</f>
        <v>0.616440357</v>
      </c>
      <c r="I479" s="15">
        <v>2056.0</v>
      </c>
      <c r="J479" s="4"/>
      <c r="K479" s="14" t="s">
        <v>1746</v>
      </c>
      <c r="L479" s="17">
        <f>IFERROR(__xludf.DUMMYFUNCTION("SPLIT(K:K, "" "")"),0.215149117272018)</f>
        <v>0.2151491173</v>
      </c>
      <c r="M479" s="4">
        <f>IFERROR(__xludf.DUMMYFUNCTION("""COMPUTED_VALUE"""),0.538245822018248)</f>
        <v>0.538245822</v>
      </c>
      <c r="N479" s="15">
        <v>1424.0</v>
      </c>
      <c r="O479" s="4"/>
      <c r="P479" s="14" t="s">
        <v>1747</v>
      </c>
      <c r="Q479" s="17">
        <f>IFERROR(__xludf.DUMMYFUNCTION("SPLIT(P:P, "" "")"),0.193329122369054)</f>
        <v>0.1933291224</v>
      </c>
      <c r="R479" s="4">
        <f>IFERROR(__xludf.DUMMYFUNCTION("""COMPUTED_VALUE"""),0.452626899188119)</f>
        <v>0.4526268992</v>
      </c>
      <c r="S479" s="15">
        <v>2136.0</v>
      </c>
      <c r="T479" s="4"/>
      <c r="U479" s="4"/>
    </row>
    <row r="480">
      <c r="A480" s="14" t="s">
        <v>1748</v>
      </c>
      <c r="B480" s="4">
        <f>IFERROR(__xludf.DUMMYFUNCTION("SPLIT(A:A, "" "")"),0.201262860401289)</f>
        <v>0.2012628604</v>
      </c>
      <c r="C480" s="4">
        <f>IFERROR(__xludf.DUMMYFUNCTION("""COMPUTED_VALUE"""),0.699311897002122)</f>
        <v>0.699311897</v>
      </c>
      <c r="D480" s="15">
        <v>1032.0</v>
      </c>
      <c r="E480" s="4"/>
      <c r="F480" s="14" t="s">
        <v>1749</v>
      </c>
      <c r="G480" s="17">
        <f>IFERROR(__xludf.DUMMYFUNCTION("SPLIT(F:F, "" "")"),0.148995158569222)</f>
        <v>0.1489951586</v>
      </c>
      <c r="H480" s="4">
        <f>IFERROR(__xludf.DUMMYFUNCTION("""COMPUTED_VALUE"""),0.613258221723916)</f>
        <v>0.6132582217</v>
      </c>
      <c r="I480" s="15">
        <v>2064.0</v>
      </c>
      <c r="J480" s="4"/>
      <c r="K480" s="14" t="s">
        <v>1750</v>
      </c>
      <c r="L480" s="17">
        <f>IFERROR(__xludf.DUMMYFUNCTION("SPLIT(K:K, "" "")"),0.217531589245017)</f>
        <v>0.2175315892</v>
      </c>
      <c r="M480" s="4">
        <f>IFERROR(__xludf.DUMMYFUNCTION("""COMPUTED_VALUE"""),0.537598727050973)</f>
        <v>0.5375987271</v>
      </c>
      <c r="N480" s="15">
        <v>1432.0</v>
      </c>
      <c r="O480" s="4"/>
      <c r="P480" s="14" t="s">
        <v>1751</v>
      </c>
      <c r="Q480" s="17">
        <f>IFERROR(__xludf.DUMMYFUNCTION("SPLIT(P:P, "" "")"),0.194878202035736)</f>
        <v>0.194878202</v>
      </c>
      <c r="R480" s="4">
        <f>IFERROR(__xludf.DUMMYFUNCTION("""COMPUTED_VALUE"""),0.444393342144994)</f>
        <v>0.4443933421</v>
      </c>
      <c r="S480" s="15">
        <v>2148.0</v>
      </c>
      <c r="T480" s="4"/>
      <c r="U480" s="4"/>
    </row>
    <row r="481">
      <c r="A481" s="14" t="s">
        <v>1752</v>
      </c>
      <c r="B481" s="4">
        <f>IFERROR(__xludf.DUMMYFUNCTION("SPLIT(A:A, "" "")"),0.191809781783132)</f>
        <v>0.1918097818</v>
      </c>
      <c r="C481" s="4">
        <f>IFERROR(__xludf.DUMMYFUNCTION("""COMPUTED_VALUE"""),0.705279217453456)</f>
        <v>0.7052792175</v>
      </c>
      <c r="D481" s="15">
        <v>1036.0</v>
      </c>
      <c r="E481" s="4"/>
      <c r="F481" s="14" t="s">
        <v>1753</v>
      </c>
      <c r="G481" s="17">
        <f>IFERROR(__xludf.DUMMYFUNCTION("SPLIT(F:F, "" "")"),0.148071690727239)</f>
        <v>0.1480716907</v>
      </c>
      <c r="H481" s="4">
        <f>IFERROR(__xludf.DUMMYFUNCTION("""COMPUTED_VALUE"""),0.605927166608018)</f>
        <v>0.6059271666</v>
      </c>
      <c r="I481" s="15">
        <v>2072.0</v>
      </c>
      <c r="J481" s="4"/>
      <c r="K481" s="14" t="s">
        <v>1754</v>
      </c>
      <c r="L481" s="17">
        <f>IFERROR(__xludf.DUMMYFUNCTION("SPLIT(K:K, "" "")"),0.213925995760822)</f>
        <v>0.2139259958</v>
      </c>
      <c r="M481" s="4">
        <f>IFERROR(__xludf.DUMMYFUNCTION("""COMPUTED_VALUE"""),0.542147394240084)</f>
        <v>0.5421473942</v>
      </c>
      <c r="N481" s="15">
        <v>1440.0</v>
      </c>
      <c r="O481" s="4"/>
      <c r="P481" s="14" t="s">
        <v>1755</v>
      </c>
      <c r="Q481" s="17">
        <f>IFERROR(__xludf.DUMMYFUNCTION("SPLIT(P:P, "" "")"),0.185292649141041)</f>
        <v>0.1852926491</v>
      </c>
      <c r="R481" s="4">
        <f>IFERROR(__xludf.DUMMYFUNCTION("""COMPUTED_VALUE"""),0.430303725727046)</f>
        <v>0.4303037257</v>
      </c>
      <c r="S481" s="15">
        <v>2160.0</v>
      </c>
      <c r="T481" s="4"/>
      <c r="U481" s="4"/>
    </row>
    <row r="482">
      <c r="A482" s="14" t="s">
        <v>1756</v>
      </c>
      <c r="B482" s="4">
        <f>IFERROR(__xludf.DUMMYFUNCTION("SPLIT(A:A, "" "")"),0.196734994271019)</f>
        <v>0.1967349943</v>
      </c>
      <c r="C482" s="4">
        <f>IFERROR(__xludf.DUMMYFUNCTION("""COMPUTED_VALUE"""),0.716855989120255)</f>
        <v>0.7168559891</v>
      </c>
      <c r="D482" s="15">
        <v>1040.0</v>
      </c>
      <c r="E482" s="4"/>
      <c r="F482" s="14" t="s">
        <v>1757</v>
      </c>
      <c r="G482" s="17">
        <f>IFERROR(__xludf.DUMMYFUNCTION("SPLIT(F:F, "" "")"),0.149099732356593)</f>
        <v>0.1490997324</v>
      </c>
      <c r="H482" s="4">
        <f>IFERROR(__xludf.DUMMYFUNCTION("""COMPUTED_VALUE"""),0.613427382523685)</f>
        <v>0.6134273825</v>
      </c>
      <c r="I482" s="15">
        <v>2080.0</v>
      </c>
      <c r="J482" s="4"/>
      <c r="K482" s="14" t="s">
        <v>1758</v>
      </c>
      <c r="L482" s="17">
        <f>IFERROR(__xludf.DUMMYFUNCTION("SPLIT(K:K, "" "")"),0.210263951052815)</f>
        <v>0.2102639511</v>
      </c>
      <c r="M482" s="4">
        <f>IFERROR(__xludf.DUMMYFUNCTION("""COMPUTED_VALUE"""),0.533422973670784)</f>
        <v>0.5334229737</v>
      </c>
      <c r="N482" s="15">
        <v>1448.0</v>
      </c>
      <c r="O482" s="4"/>
      <c r="P482" s="14" t="s">
        <v>1759</v>
      </c>
      <c r="Q482" s="17">
        <f>IFERROR(__xludf.DUMMYFUNCTION("SPLIT(P:P, "" "")"),0.187909536986804)</f>
        <v>0.187909537</v>
      </c>
      <c r="R482" s="4">
        <f>IFERROR(__xludf.DUMMYFUNCTION("""COMPUTED_VALUE"""),0.431441857788924)</f>
        <v>0.4314418578</v>
      </c>
      <c r="S482" s="15">
        <v>2172.0</v>
      </c>
      <c r="T482" s="4"/>
      <c r="U482" s="4"/>
    </row>
    <row r="483">
      <c r="A483" s="14" t="s">
        <v>1760</v>
      </c>
      <c r="B483" s="4">
        <f>IFERROR(__xludf.DUMMYFUNCTION("SPLIT(A:A, "" "")"),0.19974878687672)</f>
        <v>0.1997487869</v>
      </c>
      <c r="C483" s="4">
        <f>IFERROR(__xludf.DUMMYFUNCTION("""COMPUTED_VALUE"""),0.726378555550221)</f>
        <v>0.7263785556</v>
      </c>
      <c r="D483" s="15">
        <v>1044.0</v>
      </c>
      <c r="E483" s="4"/>
      <c r="F483" s="14" t="s">
        <v>1761</v>
      </c>
      <c r="G483" s="17">
        <f>IFERROR(__xludf.DUMMYFUNCTION("SPLIT(F:F, "" "")"),0.148910711661117)</f>
        <v>0.1489107117</v>
      </c>
      <c r="H483" s="4">
        <f>IFERROR(__xludf.DUMMYFUNCTION("""COMPUTED_VALUE"""),0.604266026658359)</f>
        <v>0.6042660267</v>
      </c>
      <c r="I483" s="15">
        <v>2088.0</v>
      </c>
      <c r="J483" s="4"/>
      <c r="K483" s="14" t="s">
        <v>1762</v>
      </c>
      <c r="L483" s="17">
        <f>IFERROR(__xludf.DUMMYFUNCTION("SPLIT(K:K, "" "")"),0.210365417096419)</f>
        <v>0.2103654171</v>
      </c>
      <c r="M483" s="4">
        <f>IFERROR(__xludf.DUMMYFUNCTION("""COMPUTED_VALUE"""),0.536677802277794)</f>
        <v>0.5366778023</v>
      </c>
      <c r="N483" s="15">
        <v>1456.0</v>
      </c>
      <c r="O483" s="4"/>
      <c r="P483" s="14" t="s">
        <v>1763</v>
      </c>
      <c r="Q483" s="17">
        <f>IFERROR(__xludf.DUMMYFUNCTION("SPLIT(P:P, "" "")"),0.201533413386486)</f>
        <v>0.2015334134</v>
      </c>
      <c r="R483" s="4">
        <f>IFERROR(__xludf.DUMMYFUNCTION("""COMPUTED_VALUE"""),0.455259262186867)</f>
        <v>0.4552592622</v>
      </c>
      <c r="S483" s="15">
        <v>2184.0</v>
      </c>
      <c r="T483" s="4"/>
      <c r="U483" s="4"/>
    </row>
    <row r="484">
      <c r="A484" s="14" t="s">
        <v>1764</v>
      </c>
      <c r="B484" s="4">
        <f>IFERROR(__xludf.DUMMYFUNCTION("SPLIT(A:A, "" "")"),0.19108962915032)</f>
        <v>0.1910896292</v>
      </c>
      <c r="C484" s="4">
        <f>IFERROR(__xludf.DUMMYFUNCTION("""COMPUTED_VALUE"""),0.710485622710349)</f>
        <v>0.7104856227</v>
      </c>
      <c r="D484" s="15">
        <v>1048.0</v>
      </c>
      <c r="E484" s="4"/>
      <c r="F484" s="14" t="s">
        <v>1765</v>
      </c>
      <c r="G484" s="17">
        <f>IFERROR(__xludf.DUMMYFUNCTION("SPLIT(F:F, "" "")"),0.151302031280236)</f>
        <v>0.1513020313</v>
      </c>
      <c r="H484" s="4">
        <f>IFERROR(__xludf.DUMMYFUNCTION("""COMPUTED_VALUE"""),0.61728963919578)</f>
        <v>0.6172896392</v>
      </c>
      <c r="I484" s="15">
        <v>2096.0</v>
      </c>
      <c r="J484" s="4"/>
      <c r="K484" s="14" t="s">
        <v>1766</v>
      </c>
      <c r="L484" s="17">
        <f>IFERROR(__xludf.DUMMYFUNCTION("SPLIT(K:K, "" "")"),0.209330226358355)</f>
        <v>0.2093302264</v>
      </c>
      <c r="M484" s="4">
        <f>IFERROR(__xludf.DUMMYFUNCTION("""COMPUTED_VALUE"""),0.529486498184639)</f>
        <v>0.5294864982</v>
      </c>
      <c r="N484" s="15">
        <v>1464.0</v>
      </c>
      <c r="O484" s="4"/>
      <c r="P484" s="14" t="s">
        <v>1767</v>
      </c>
      <c r="Q484" s="17">
        <f>IFERROR(__xludf.DUMMYFUNCTION("SPLIT(P:P, "" "")"),0.187183402040506)</f>
        <v>0.187183402</v>
      </c>
      <c r="R484" s="4">
        <f>IFERROR(__xludf.DUMMYFUNCTION("""COMPUTED_VALUE"""),0.440244038087421)</f>
        <v>0.4402440381</v>
      </c>
      <c r="S484" s="15">
        <v>2196.0</v>
      </c>
      <c r="T484" s="4"/>
      <c r="U484" s="4"/>
    </row>
    <row r="485">
      <c r="A485" s="14" t="s">
        <v>1768</v>
      </c>
      <c r="B485" s="4">
        <f>IFERROR(__xludf.DUMMYFUNCTION("SPLIT(A:A, "" "")"),0.197316510450817)</f>
        <v>0.1973165105</v>
      </c>
      <c r="C485" s="4">
        <f>IFERROR(__xludf.DUMMYFUNCTION("""COMPUTED_VALUE"""),0.719305956289178)</f>
        <v>0.7193059563</v>
      </c>
      <c r="D485" s="15">
        <v>1052.0</v>
      </c>
      <c r="E485" s="4"/>
      <c r="F485" s="14" t="s">
        <v>1769</v>
      </c>
      <c r="G485" s="17">
        <f>IFERROR(__xludf.DUMMYFUNCTION("SPLIT(F:F, "" "")"),0.143403448255053)</f>
        <v>0.1434034483</v>
      </c>
      <c r="H485" s="4">
        <f>IFERROR(__xludf.DUMMYFUNCTION("""COMPUTED_VALUE"""),0.603711262958557)</f>
        <v>0.603711263</v>
      </c>
      <c r="I485" s="15">
        <v>2104.0</v>
      </c>
      <c r="J485" s="4"/>
      <c r="K485" s="14" t="s">
        <v>1770</v>
      </c>
      <c r="L485" s="17">
        <f>IFERROR(__xludf.DUMMYFUNCTION("SPLIT(K:K, "" "")"),0.215196175387318)</f>
        <v>0.2151961754</v>
      </c>
      <c r="M485" s="4">
        <f>IFERROR(__xludf.DUMMYFUNCTION("""COMPUTED_VALUE"""),0.535900552206192)</f>
        <v>0.5359005522</v>
      </c>
      <c r="N485" s="15">
        <v>1472.0</v>
      </c>
      <c r="O485" s="4"/>
      <c r="P485" s="14" t="s">
        <v>1771</v>
      </c>
      <c r="Q485" s="17">
        <f>IFERROR(__xludf.DUMMYFUNCTION("SPLIT(P:P, "" "")"),0.18642671859646)</f>
        <v>0.1864267186</v>
      </c>
      <c r="R485" s="4">
        <f>IFERROR(__xludf.DUMMYFUNCTION("""COMPUTED_VALUE"""),0.4417714696746)</f>
        <v>0.4417714697</v>
      </c>
      <c r="S485" s="15">
        <v>2208.0</v>
      </c>
      <c r="T485" s="4"/>
      <c r="U485" s="4"/>
    </row>
    <row r="486">
      <c r="A486" s="14" t="s">
        <v>1772</v>
      </c>
      <c r="B486" s="4">
        <f>IFERROR(__xludf.DUMMYFUNCTION("SPLIT(A:A, "" "")"),0.195609862795022)</f>
        <v>0.1956098628</v>
      </c>
      <c r="C486" s="4">
        <f>IFERROR(__xludf.DUMMYFUNCTION("""COMPUTED_VALUE"""),0.70500601635636)</f>
        <v>0.7050060164</v>
      </c>
      <c r="D486" s="15">
        <v>1056.0</v>
      </c>
      <c r="E486" s="4"/>
      <c r="F486" s="14" t="s">
        <v>1773</v>
      </c>
      <c r="G486" s="17">
        <f>IFERROR(__xludf.DUMMYFUNCTION("SPLIT(F:F, "" "")"),0.1468570816989)</f>
        <v>0.1468570817</v>
      </c>
      <c r="H486" s="4">
        <f>IFERROR(__xludf.DUMMYFUNCTION("""COMPUTED_VALUE"""),0.606755650074883)</f>
        <v>0.6067556501</v>
      </c>
      <c r="I486" s="15">
        <v>2112.0</v>
      </c>
      <c r="J486" s="4"/>
      <c r="K486" s="14" t="s">
        <v>1774</v>
      </c>
      <c r="L486" s="17">
        <f>IFERROR(__xludf.DUMMYFUNCTION("SPLIT(K:K, "" "")"),0.207819505026932)</f>
        <v>0.207819505</v>
      </c>
      <c r="M486" s="4">
        <f>IFERROR(__xludf.DUMMYFUNCTION("""COMPUTED_VALUE"""),0.522987162951412)</f>
        <v>0.522987163</v>
      </c>
      <c r="N486" s="15">
        <v>1480.0</v>
      </c>
      <c r="O486" s="4"/>
      <c r="P486" s="14" t="s">
        <v>1775</v>
      </c>
      <c r="Q486" s="17">
        <f>IFERROR(__xludf.DUMMYFUNCTION("SPLIT(P:P, "" "")"),0.179420971671317)</f>
        <v>0.1794209717</v>
      </c>
      <c r="R486" s="4">
        <f>IFERROR(__xludf.DUMMYFUNCTION("""COMPUTED_VALUE"""),0.433120862444886)</f>
        <v>0.4331208624</v>
      </c>
      <c r="S486" s="15">
        <v>2220.0</v>
      </c>
      <c r="T486" s="4"/>
      <c r="U486" s="4"/>
    </row>
    <row r="487">
      <c r="A487" s="14" t="s">
        <v>1776</v>
      </c>
      <c r="B487" s="4">
        <f>IFERROR(__xludf.DUMMYFUNCTION("SPLIT(A:A, "" "")"),0.188708052796339)</f>
        <v>0.1887080528</v>
      </c>
      <c r="C487" s="4">
        <f>IFERROR(__xludf.DUMMYFUNCTION("""COMPUTED_VALUE"""),0.700358933526523)</f>
        <v>0.7003589335</v>
      </c>
      <c r="D487" s="15">
        <v>1060.0</v>
      </c>
      <c r="E487" s="4"/>
      <c r="F487" s="14" t="s">
        <v>1777</v>
      </c>
      <c r="G487" s="17">
        <f>IFERROR(__xludf.DUMMYFUNCTION("SPLIT(F:F, "" "")"),0.146812660352183)</f>
        <v>0.1468126604</v>
      </c>
      <c r="H487" s="4">
        <f>IFERROR(__xludf.DUMMYFUNCTION("""COMPUTED_VALUE"""),0.606001321630289)</f>
        <v>0.6060013216</v>
      </c>
      <c r="I487" s="15">
        <v>2120.0</v>
      </c>
      <c r="J487" s="4"/>
      <c r="K487" s="14" t="s">
        <v>1778</v>
      </c>
      <c r="L487" s="17">
        <f>IFERROR(__xludf.DUMMYFUNCTION("SPLIT(K:K, "" "")"),0.217113869897731)</f>
        <v>0.2171138699</v>
      </c>
      <c r="M487" s="4">
        <f>IFERROR(__xludf.DUMMYFUNCTION("""COMPUTED_VALUE"""),0.536135535257378)</f>
        <v>0.5361355353</v>
      </c>
      <c r="N487" s="15">
        <v>1488.0</v>
      </c>
      <c r="O487" s="4"/>
      <c r="P487" s="14" t="s">
        <v>1779</v>
      </c>
      <c r="Q487" s="17">
        <f>IFERROR(__xludf.DUMMYFUNCTION("SPLIT(P:P, "" "")"),0.189311467399452)</f>
        <v>0.1893114674</v>
      </c>
      <c r="R487" s="4">
        <f>IFERROR(__xludf.DUMMYFUNCTION("""COMPUTED_VALUE"""),0.447021207965848)</f>
        <v>0.447021208</v>
      </c>
      <c r="S487" s="15">
        <v>2232.0</v>
      </c>
      <c r="T487" s="4"/>
      <c r="U487" s="4"/>
    </row>
    <row r="488">
      <c r="A488" s="14" t="s">
        <v>1780</v>
      </c>
      <c r="B488" s="4">
        <f>IFERROR(__xludf.DUMMYFUNCTION("SPLIT(A:A, "" "")"),0.19693656496366)</f>
        <v>0.196936565</v>
      </c>
      <c r="C488" s="4">
        <f>IFERROR(__xludf.DUMMYFUNCTION("""COMPUTED_VALUE"""),0.701461155751213)</f>
        <v>0.7014611558</v>
      </c>
      <c r="D488" s="15">
        <v>1064.0</v>
      </c>
      <c r="E488" s="4"/>
      <c r="F488" s="14" t="s">
        <v>1781</v>
      </c>
      <c r="G488" s="17">
        <f>IFERROR(__xludf.DUMMYFUNCTION("SPLIT(F:F, "" "")"),0.148068376061727)</f>
        <v>0.1480683761</v>
      </c>
      <c r="H488" s="4">
        <f>IFERROR(__xludf.DUMMYFUNCTION("""COMPUTED_VALUE"""),0.619890176658648)</f>
        <v>0.6198901767</v>
      </c>
      <c r="I488" s="15">
        <v>2128.0</v>
      </c>
      <c r="J488" s="4"/>
      <c r="K488" s="14" t="s">
        <v>1782</v>
      </c>
      <c r="L488" s="17">
        <f>IFERROR(__xludf.DUMMYFUNCTION("SPLIT(K:K, "" "")"),0.211050475989271)</f>
        <v>0.211050476</v>
      </c>
      <c r="M488" s="4">
        <f>IFERROR(__xludf.DUMMYFUNCTION("""COMPUTED_VALUE"""),0.528411905914346)</f>
        <v>0.5284119059</v>
      </c>
      <c r="N488" s="15">
        <v>1496.0</v>
      </c>
      <c r="O488" s="4"/>
      <c r="P488" s="14" t="s">
        <v>1783</v>
      </c>
      <c r="Q488" s="17">
        <f>IFERROR(__xludf.DUMMYFUNCTION("SPLIT(P:P, "" "")"),0.187776451822456)</f>
        <v>0.1877764518</v>
      </c>
      <c r="R488" s="4">
        <f>IFERROR(__xludf.DUMMYFUNCTION("""COMPUTED_VALUE"""),0.443959119795142)</f>
        <v>0.4439591198</v>
      </c>
      <c r="S488" s="15">
        <v>2244.0</v>
      </c>
      <c r="T488" s="4"/>
      <c r="U488" s="4"/>
    </row>
    <row r="489">
      <c r="A489" s="14" t="s">
        <v>1784</v>
      </c>
      <c r="B489" s="4">
        <f>IFERROR(__xludf.DUMMYFUNCTION("SPLIT(A:A, "" "")"),0.197145171154688)</f>
        <v>0.1971451712</v>
      </c>
      <c r="C489" s="4">
        <f>IFERROR(__xludf.DUMMYFUNCTION("""COMPUTED_VALUE"""),0.714328954014387)</f>
        <v>0.714328954</v>
      </c>
      <c r="D489" s="15">
        <v>1068.0</v>
      </c>
      <c r="E489" s="4"/>
      <c r="F489" s="14" t="s">
        <v>1785</v>
      </c>
      <c r="G489" s="17">
        <f>IFERROR(__xludf.DUMMYFUNCTION("SPLIT(F:F, "" "")"),0.144095955567176)</f>
        <v>0.1440959556</v>
      </c>
      <c r="H489" s="4">
        <f>IFERROR(__xludf.DUMMYFUNCTION("""COMPUTED_VALUE"""),0.600280371203681)</f>
        <v>0.6002803712</v>
      </c>
      <c r="I489" s="15">
        <v>2136.0</v>
      </c>
      <c r="J489" s="4"/>
      <c r="K489" s="14" t="s">
        <v>1786</v>
      </c>
      <c r="L489" s="17">
        <f>IFERROR(__xludf.DUMMYFUNCTION("SPLIT(K:K, "" "")"),0.21163668175954)</f>
        <v>0.2116366818</v>
      </c>
      <c r="M489" s="4">
        <f>IFERROR(__xludf.DUMMYFUNCTION("""COMPUTED_VALUE"""),0.552984879679536)</f>
        <v>0.5529848797</v>
      </c>
      <c r="N489" s="15">
        <v>1504.0</v>
      </c>
      <c r="O489" s="4"/>
      <c r="P489" s="14" t="s">
        <v>1787</v>
      </c>
      <c r="Q489" s="17">
        <f>IFERROR(__xludf.DUMMYFUNCTION("SPLIT(P:P, "" "")"),0.185613691146089)</f>
        <v>0.1856136911</v>
      </c>
      <c r="R489" s="4">
        <f>IFERROR(__xludf.DUMMYFUNCTION("""COMPUTED_VALUE"""),0.439871669197262)</f>
        <v>0.4398716692</v>
      </c>
      <c r="S489" s="15">
        <v>2256.0</v>
      </c>
      <c r="T489" s="4"/>
      <c r="U489" s="4"/>
    </row>
    <row r="490">
      <c r="A490" s="14" t="s">
        <v>1788</v>
      </c>
      <c r="B490" s="4">
        <f>IFERROR(__xludf.DUMMYFUNCTION("SPLIT(A:A, "" "")"),0.192100205859756)</f>
        <v>0.1921002059</v>
      </c>
      <c r="C490" s="4">
        <f>IFERROR(__xludf.DUMMYFUNCTION("""COMPUTED_VALUE"""),0.707616673715408)</f>
        <v>0.7076166737</v>
      </c>
      <c r="D490" s="15">
        <v>1072.0</v>
      </c>
      <c r="E490" s="4"/>
      <c r="F490" s="14" t="s">
        <v>1789</v>
      </c>
      <c r="G490" s="17">
        <f>IFERROR(__xludf.DUMMYFUNCTION("SPLIT(F:F, "" "")"),0.148777134850104)</f>
        <v>0.1487771349</v>
      </c>
      <c r="H490" s="4">
        <f>IFERROR(__xludf.DUMMYFUNCTION("""COMPUTED_VALUE"""),0.619046362815506)</f>
        <v>0.6190463628</v>
      </c>
      <c r="I490" s="15">
        <v>2144.0</v>
      </c>
      <c r="J490" s="4"/>
      <c r="K490" s="14" t="s">
        <v>1790</v>
      </c>
      <c r="L490" s="17">
        <f>IFERROR(__xludf.DUMMYFUNCTION("SPLIT(K:K, "" "")"),0.205561603620253)</f>
        <v>0.2055616036</v>
      </c>
      <c r="M490" s="4">
        <f>IFERROR(__xludf.DUMMYFUNCTION("""COMPUTED_VALUE"""),0.534352425040198)</f>
        <v>0.534352425</v>
      </c>
      <c r="N490" s="15">
        <v>1512.0</v>
      </c>
      <c r="O490" s="4"/>
      <c r="P490" s="14" t="s">
        <v>1791</v>
      </c>
      <c r="Q490" s="17">
        <f>IFERROR(__xludf.DUMMYFUNCTION("SPLIT(P:P, "" "")"),0.187620393222946)</f>
        <v>0.1876203932</v>
      </c>
      <c r="R490" s="4">
        <f>IFERROR(__xludf.DUMMYFUNCTION("""COMPUTED_VALUE"""),0.44270060249399)</f>
        <v>0.4427006025</v>
      </c>
      <c r="S490" s="15">
        <v>2268.0</v>
      </c>
      <c r="T490" s="4"/>
      <c r="U490" s="4"/>
    </row>
    <row r="491">
      <c r="A491" s="14" t="s">
        <v>1792</v>
      </c>
      <c r="B491" s="4">
        <f>IFERROR(__xludf.DUMMYFUNCTION("SPLIT(A:A, "" "")"),0.193596325826419)</f>
        <v>0.1935963258</v>
      </c>
      <c r="C491" s="4">
        <f>IFERROR(__xludf.DUMMYFUNCTION("""COMPUTED_VALUE"""),0.701191854098109)</f>
        <v>0.7011918541</v>
      </c>
      <c r="D491" s="15">
        <v>1076.0</v>
      </c>
      <c r="E491" s="4"/>
      <c r="F491" s="14" t="s">
        <v>1793</v>
      </c>
      <c r="G491" s="17">
        <f>IFERROR(__xludf.DUMMYFUNCTION("SPLIT(F:F, "" "")"),0.152118941244061)</f>
        <v>0.1521189412</v>
      </c>
      <c r="H491" s="4">
        <f>IFERROR(__xludf.DUMMYFUNCTION("""COMPUTED_VALUE"""),0.619091597504659)</f>
        <v>0.6190915975</v>
      </c>
      <c r="I491" s="15">
        <v>2152.0</v>
      </c>
      <c r="J491" s="4"/>
      <c r="K491" s="14" t="s">
        <v>1794</v>
      </c>
      <c r="L491" s="17">
        <f>IFERROR(__xludf.DUMMYFUNCTION("SPLIT(K:K, "" "")"),0.208305411687724)</f>
        <v>0.2083054117</v>
      </c>
      <c r="M491" s="4">
        <f>IFERROR(__xludf.DUMMYFUNCTION("""COMPUTED_VALUE"""),0.533987143788858)</f>
        <v>0.5339871438</v>
      </c>
      <c r="N491" s="15">
        <v>1520.0</v>
      </c>
      <c r="O491" s="4"/>
      <c r="P491" s="14" t="s">
        <v>1795</v>
      </c>
      <c r="Q491" s="17">
        <f>IFERROR(__xludf.DUMMYFUNCTION("SPLIT(P:P, "" "")"),0.18160339137016)</f>
        <v>0.1816033914</v>
      </c>
      <c r="R491" s="4">
        <f>IFERROR(__xludf.DUMMYFUNCTION("""COMPUTED_VALUE"""),0.437802421144546)</f>
        <v>0.4378024211</v>
      </c>
      <c r="S491" s="15">
        <v>2280.0</v>
      </c>
      <c r="T491" s="4"/>
      <c r="U491" s="4"/>
    </row>
    <row r="492">
      <c r="A492" s="14" t="s">
        <v>1796</v>
      </c>
      <c r="B492" s="4">
        <f>IFERROR(__xludf.DUMMYFUNCTION("SPLIT(A:A, "" "")"),0.193055840932142)</f>
        <v>0.1930558409</v>
      </c>
      <c r="C492" s="4">
        <f>IFERROR(__xludf.DUMMYFUNCTION("""COMPUTED_VALUE"""),0.715753177183293)</f>
        <v>0.7157531772</v>
      </c>
      <c r="D492" s="15">
        <v>1080.0</v>
      </c>
      <c r="E492" s="4"/>
      <c r="F492" s="14" t="s">
        <v>1797</v>
      </c>
      <c r="G492" s="17">
        <f>IFERROR(__xludf.DUMMYFUNCTION("SPLIT(F:F, "" "")"),0.143227585145767)</f>
        <v>0.1432275851</v>
      </c>
      <c r="H492" s="4">
        <f>IFERROR(__xludf.DUMMYFUNCTION("""COMPUTED_VALUE"""),0.611195013888976)</f>
        <v>0.6111950139</v>
      </c>
      <c r="I492" s="15">
        <v>2160.0</v>
      </c>
      <c r="J492" s="4"/>
      <c r="K492" s="14" t="s">
        <v>1798</v>
      </c>
      <c r="L492" s="17">
        <f>IFERROR(__xludf.DUMMYFUNCTION("SPLIT(K:K, "" "")"),0.203545589883546)</f>
        <v>0.2035455899</v>
      </c>
      <c r="M492" s="4">
        <f>IFERROR(__xludf.DUMMYFUNCTION("""COMPUTED_VALUE"""),0.53939361967778)</f>
        <v>0.5393936197</v>
      </c>
      <c r="N492" s="15">
        <v>1528.0</v>
      </c>
      <c r="O492" s="4"/>
      <c r="P492" s="14" t="s">
        <v>1799</v>
      </c>
      <c r="Q492" s="17">
        <f>IFERROR(__xludf.DUMMYFUNCTION("SPLIT(P:P, "" "")"),0.181135927280721)</f>
        <v>0.1811359273</v>
      </c>
      <c r="R492" s="4">
        <f>IFERROR(__xludf.DUMMYFUNCTION("""COMPUTED_VALUE"""),0.438292938370574)</f>
        <v>0.4382929384</v>
      </c>
      <c r="S492" s="15">
        <v>2292.0</v>
      </c>
      <c r="T492" s="4"/>
      <c r="U492" s="4"/>
    </row>
    <row r="493">
      <c r="A493" s="14" t="s">
        <v>1800</v>
      </c>
      <c r="B493" s="4">
        <f>IFERROR(__xludf.DUMMYFUNCTION("SPLIT(A:A, "" "")"),0.20109077323679)</f>
        <v>0.2010907732</v>
      </c>
      <c r="C493" s="4">
        <f>IFERROR(__xludf.DUMMYFUNCTION("""COMPUTED_VALUE"""),0.705044048294493)</f>
        <v>0.7050440483</v>
      </c>
      <c r="D493" s="15">
        <v>1084.0</v>
      </c>
      <c r="E493" s="4"/>
      <c r="F493" s="14" t="s">
        <v>1801</v>
      </c>
      <c r="G493" s="17">
        <f>IFERROR(__xludf.DUMMYFUNCTION("SPLIT(F:F, "" "")"),0.143823061917188)</f>
        <v>0.1438230619</v>
      </c>
      <c r="H493" s="4">
        <f>IFERROR(__xludf.DUMMYFUNCTION("""COMPUTED_VALUE"""),0.609412137318129)</f>
        <v>0.6094121373</v>
      </c>
      <c r="I493" s="15">
        <v>2168.0</v>
      </c>
      <c r="J493" s="4"/>
      <c r="K493" s="14" t="s">
        <v>1802</v>
      </c>
      <c r="L493" s="17">
        <f>IFERROR(__xludf.DUMMYFUNCTION("SPLIT(K:K, "" "")"),0.20908421356421)</f>
        <v>0.2090842136</v>
      </c>
      <c r="M493" s="4">
        <f>IFERROR(__xludf.DUMMYFUNCTION("""COMPUTED_VALUE"""),0.528619803383973)</f>
        <v>0.5286198034</v>
      </c>
      <c r="N493" s="15">
        <v>1536.0</v>
      </c>
      <c r="O493" s="4"/>
      <c r="P493" s="14" t="s">
        <v>1803</v>
      </c>
      <c r="Q493" s="17">
        <f>IFERROR(__xludf.DUMMYFUNCTION("SPLIT(P:P, "" "")"),0.177902947319884)</f>
        <v>0.1779029473</v>
      </c>
      <c r="R493" s="4">
        <f>IFERROR(__xludf.DUMMYFUNCTION("""COMPUTED_VALUE"""),0.427686378302099)</f>
        <v>0.4276863783</v>
      </c>
      <c r="S493" s="15">
        <v>2304.0</v>
      </c>
      <c r="T493" s="4"/>
      <c r="U493" s="4"/>
    </row>
    <row r="494">
      <c r="A494" s="14" t="s">
        <v>1804</v>
      </c>
      <c r="B494" s="4">
        <f>IFERROR(__xludf.DUMMYFUNCTION("SPLIT(A:A, "" "")"),0.192021905146438)</f>
        <v>0.1920219051</v>
      </c>
      <c r="C494" s="4">
        <f>IFERROR(__xludf.DUMMYFUNCTION("""COMPUTED_VALUE"""),0.699905926289344)</f>
        <v>0.6999059263</v>
      </c>
      <c r="D494" s="15">
        <v>1088.0</v>
      </c>
      <c r="E494" s="4"/>
      <c r="F494" s="14" t="s">
        <v>1805</v>
      </c>
      <c r="G494" s="17">
        <f>IFERROR(__xludf.DUMMYFUNCTION("SPLIT(F:F, "" "")"),0.142755315641763)</f>
        <v>0.1427553156</v>
      </c>
      <c r="H494" s="4">
        <f>IFERROR(__xludf.DUMMYFUNCTION("""COMPUTED_VALUE"""),0.614397837645183)</f>
        <v>0.6143978376</v>
      </c>
      <c r="I494" s="15">
        <v>2176.0</v>
      </c>
      <c r="J494" s="4"/>
      <c r="K494" s="14" t="s">
        <v>1806</v>
      </c>
      <c r="L494" s="17">
        <f>IFERROR(__xludf.DUMMYFUNCTION("SPLIT(K:K, "" "")"),0.206373146230881)</f>
        <v>0.2063731462</v>
      </c>
      <c r="M494" s="4">
        <f>IFERROR(__xludf.DUMMYFUNCTION("""COMPUTED_VALUE"""),0.537121988132644)</f>
        <v>0.5371219881</v>
      </c>
      <c r="N494" s="15">
        <v>1544.0</v>
      </c>
      <c r="O494" s="4"/>
      <c r="P494" s="14" t="s">
        <v>1807</v>
      </c>
      <c r="Q494" s="17">
        <f>IFERROR(__xludf.DUMMYFUNCTION("SPLIT(P:P, "" "")"),0.181225029128078)</f>
        <v>0.1812250291</v>
      </c>
      <c r="R494" s="4">
        <f>IFERROR(__xludf.DUMMYFUNCTION("""COMPUTED_VALUE"""),0.43065383506477)</f>
        <v>0.4306538351</v>
      </c>
      <c r="S494" s="15">
        <v>2316.0</v>
      </c>
      <c r="T494" s="4"/>
      <c r="U494" s="4"/>
    </row>
    <row r="495">
      <c r="A495" s="14" t="s">
        <v>1808</v>
      </c>
      <c r="B495" s="4">
        <f>IFERROR(__xludf.DUMMYFUNCTION("SPLIT(A:A, "" "")"),0.190263295056248)</f>
        <v>0.1902632951</v>
      </c>
      <c r="C495" s="4">
        <f>IFERROR(__xludf.DUMMYFUNCTION("""COMPUTED_VALUE"""),0.713455857368422)</f>
        <v>0.7134558574</v>
      </c>
      <c r="D495" s="15">
        <v>1092.0</v>
      </c>
      <c r="E495" s="4"/>
      <c r="F495" s="14" t="s">
        <v>1809</v>
      </c>
      <c r="G495" s="17">
        <f>IFERROR(__xludf.DUMMYFUNCTION("SPLIT(F:F, "" "")"),0.142363349719001)</f>
        <v>0.1423633497</v>
      </c>
      <c r="H495" s="4">
        <f>IFERROR(__xludf.DUMMYFUNCTION("""COMPUTED_VALUE"""),0.604559708074613)</f>
        <v>0.6045597081</v>
      </c>
      <c r="I495" s="15">
        <v>2184.0</v>
      </c>
      <c r="J495" s="4"/>
      <c r="K495" s="14" t="s">
        <v>1810</v>
      </c>
      <c r="L495" s="17">
        <f>IFERROR(__xludf.DUMMYFUNCTION("SPLIT(K:K, "" "")"),0.205410078790789)</f>
        <v>0.2054100788</v>
      </c>
      <c r="M495" s="4">
        <f>IFERROR(__xludf.DUMMYFUNCTION("""COMPUTED_VALUE"""),0.535560742961225)</f>
        <v>0.535560743</v>
      </c>
      <c r="N495" s="15">
        <v>1552.0</v>
      </c>
      <c r="O495" s="4"/>
      <c r="P495" s="14" t="s">
        <v>1811</v>
      </c>
      <c r="Q495" s="17">
        <f>IFERROR(__xludf.DUMMYFUNCTION("SPLIT(P:P, "" "")"),0.179064138568576)</f>
        <v>0.1790641386</v>
      </c>
      <c r="R495" s="4">
        <f>IFERROR(__xludf.DUMMYFUNCTION("""COMPUTED_VALUE"""),0.430511814709017)</f>
        <v>0.4305118147</v>
      </c>
      <c r="S495" s="15">
        <v>2328.0</v>
      </c>
      <c r="T495" s="4"/>
      <c r="U495" s="4"/>
    </row>
    <row r="496">
      <c r="A496" s="14" t="s">
        <v>1812</v>
      </c>
      <c r="B496" s="4">
        <f>IFERROR(__xludf.DUMMYFUNCTION("SPLIT(A:A, "" "")"),0.187623598463031)</f>
        <v>0.1876235985</v>
      </c>
      <c r="C496" s="4">
        <f>IFERROR(__xludf.DUMMYFUNCTION("""COMPUTED_VALUE"""),0.712179389108667)</f>
        <v>0.7121793891</v>
      </c>
      <c r="D496" s="15">
        <v>1096.0</v>
      </c>
      <c r="E496" s="4"/>
      <c r="F496" s="14" t="s">
        <v>1813</v>
      </c>
      <c r="G496" s="17">
        <f>IFERROR(__xludf.DUMMYFUNCTION("SPLIT(F:F, "" "")"),0.143748952859039)</f>
        <v>0.1437489529</v>
      </c>
      <c r="H496" s="4">
        <f>IFERROR(__xludf.DUMMYFUNCTION("""COMPUTED_VALUE"""),0.602938037373974)</f>
        <v>0.6029380374</v>
      </c>
      <c r="I496" s="15">
        <v>2192.0</v>
      </c>
      <c r="J496" s="4"/>
      <c r="K496" s="14" t="s">
        <v>1814</v>
      </c>
      <c r="L496" s="17">
        <f>IFERROR(__xludf.DUMMYFUNCTION("SPLIT(K:K, "" "")"),0.201841598264124)</f>
        <v>0.2018415983</v>
      </c>
      <c r="M496" s="4">
        <f>IFERROR(__xludf.DUMMYFUNCTION("""COMPUTED_VALUE"""),0.53019631443007)</f>
        <v>0.5301963144</v>
      </c>
      <c r="N496" s="15">
        <v>1560.0</v>
      </c>
      <c r="O496" s="4"/>
      <c r="P496" s="14" t="s">
        <v>1815</v>
      </c>
      <c r="Q496" s="17">
        <f>IFERROR(__xludf.DUMMYFUNCTION("SPLIT(P:P, "" "")"),0.176937577587997)</f>
        <v>0.1769375776</v>
      </c>
      <c r="R496" s="4">
        <f>IFERROR(__xludf.DUMMYFUNCTION("""COMPUTED_VALUE"""),0.433407241228211)</f>
        <v>0.4334072412</v>
      </c>
      <c r="S496" s="15">
        <v>2340.0</v>
      </c>
      <c r="T496" s="4"/>
      <c r="U496" s="4"/>
    </row>
    <row r="497">
      <c r="A497" s="14" t="s">
        <v>1816</v>
      </c>
      <c r="B497" s="4">
        <f>IFERROR(__xludf.DUMMYFUNCTION("SPLIT(A:A, "" "")"),0.194216268502072)</f>
        <v>0.1942162685</v>
      </c>
      <c r="C497" s="4">
        <f>IFERROR(__xludf.DUMMYFUNCTION("""COMPUTED_VALUE"""),0.728627645476068)</f>
        <v>0.7286276455</v>
      </c>
      <c r="D497" s="15">
        <v>1100.0</v>
      </c>
      <c r="E497" s="4"/>
      <c r="F497" s="14" t="s">
        <v>1817</v>
      </c>
      <c r="G497" s="17">
        <f>IFERROR(__xludf.DUMMYFUNCTION("SPLIT(F:F, "" "")"),0.144354274366683)</f>
        <v>0.1443542744</v>
      </c>
      <c r="H497" s="4">
        <f>IFERROR(__xludf.DUMMYFUNCTION("""COMPUTED_VALUE"""),0.613168800832395)</f>
        <v>0.6131688008</v>
      </c>
      <c r="I497" s="15">
        <v>2200.0</v>
      </c>
      <c r="J497" s="4"/>
      <c r="K497" s="14" t="s">
        <v>1818</v>
      </c>
      <c r="L497" s="17">
        <f>IFERROR(__xludf.DUMMYFUNCTION("SPLIT(K:K, "" "")"),0.204935125089309)</f>
        <v>0.2049351251</v>
      </c>
      <c r="M497" s="4">
        <f>IFERROR(__xludf.DUMMYFUNCTION("""COMPUTED_VALUE"""),0.537765899223714)</f>
        <v>0.5377658992</v>
      </c>
      <c r="N497" s="15">
        <v>1568.0</v>
      </c>
      <c r="O497" s="4"/>
      <c r="P497" s="14" t="s">
        <v>1819</v>
      </c>
      <c r="Q497" s="17">
        <f>IFERROR(__xludf.DUMMYFUNCTION("SPLIT(P:P, "" "")"),0.174870418858519)</f>
        <v>0.1748704189</v>
      </c>
      <c r="R497" s="4">
        <f>IFERROR(__xludf.DUMMYFUNCTION("""COMPUTED_VALUE"""),0.425853458094586)</f>
        <v>0.4258534581</v>
      </c>
      <c r="S497" s="15">
        <v>2352.0</v>
      </c>
      <c r="T497" s="4"/>
      <c r="U497" s="4"/>
    </row>
    <row r="498">
      <c r="A498" s="14" t="s">
        <v>1820</v>
      </c>
      <c r="B498" s="4">
        <f>IFERROR(__xludf.DUMMYFUNCTION("SPLIT(A:A, "" "")"),0.188218208097253)</f>
        <v>0.1882182081</v>
      </c>
      <c r="C498" s="4">
        <f>IFERROR(__xludf.DUMMYFUNCTION("""COMPUTED_VALUE"""),0.706691165454953)</f>
        <v>0.7066911655</v>
      </c>
      <c r="D498" s="15">
        <v>1104.0</v>
      </c>
      <c r="E498" s="4"/>
      <c r="F498" s="14" t="s">
        <v>1821</v>
      </c>
      <c r="G498" s="17">
        <f>IFERROR(__xludf.DUMMYFUNCTION("SPLIT(F:F, "" "")"),0.146030653679789)</f>
        <v>0.1460306537</v>
      </c>
      <c r="H498" s="4">
        <f>IFERROR(__xludf.DUMMYFUNCTION("""COMPUTED_VALUE"""),0.602685288288754)</f>
        <v>0.6026852883</v>
      </c>
      <c r="I498" s="15">
        <v>2208.0</v>
      </c>
      <c r="J498" s="4"/>
      <c r="K498" s="14" t="s">
        <v>1822</v>
      </c>
      <c r="L498" s="17">
        <f>IFERROR(__xludf.DUMMYFUNCTION("SPLIT(K:K, "" "")"),0.207281707813303)</f>
        <v>0.2072817078</v>
      </c>
      <c r="M498" s="4">
        <f>IFERROR(__xludf.DUMMYFUNCTION("""COMPUTED_VALUE"""),0.523019771043908)</f>
        <v>0.523019771</v>
      </c>
      <c r="N498" s="15">
        <v>1576.0</v>
      </c>
      <c r="O498" s="4"/>
      <c r="P498" s="14" t="s">
        <v>1823</v>
      </c>
      <c r="Q498" s="17">
        <f>IFERROR(__xludf.DUMMYFUNCTION("SPLIT(P:P, "" "")"),0.177885729910443)</f>
        <v>0.1778857299</v>
      </c>
      <c r="R498" s="4">
        <f>IFERROR(__xludf.DUMMYFUNCTION("""COMPUTED_VALUE"""),0.430996213188486)</f>
        <v>0.4309962132</v>
      </c>
      <c r="S498" s="15">
        <v>2364.0</v>
      </c>
      <c r="T498" s="4"/>
      <c r="U498" s="4"/>
    </row>
    <row r="499">
      <c r="A499" s="14" t="s">
        <v>1824</v>
      </c>
      <c r="B499" s="4">
        <f>IFERROR(__xludf.DUMMYFUNCTION("SPLIT(A:A, "" "")"),0.191615660488239)</f>
        <v>0.1916156605</v>
      </c>
      <c r="C499" s="4">
        <f>IFERROR(__xludf.DUMMYFUNCTION("""COMPUTED_VALUE"""),0.707643507135075)</f>
        <v>0.7076435071</v>
      </c>
      <c r="D499" s="15">
        <v>1108.0</v>
      </c>
      <c r="E499" s="4"/>
      <c r="F499" s="14" t="s">
        <v>1825</v>
      </c>
      <c r="G499" s="17">
        <f>IFERROR(__xludf.DUMMYFUNCTION("SPLIT(F:F, "" "")"),0.14442872146228)</f>
        <v>0.1444287215</v>
      </c>
      <c r="H499" s="4">
        <f>IFERROR(__xludf.DUMMYFUNCTION("""COMPUTED_VALUE"""),0.607759843556494)</f>
        <v>0.6077598436</v>
      </c>
      <c r="I499" s="15">
        <v>2216.0</v>
      </c>
      <c r="J499" s="4"/>
      <c r="K499" s="14" t="s">
        <v>1826</v>
      </c>
      <c r="L499" s="17">
        <f>IFERROR(__xludf.DUMMYFUNCTION("SPLIT(K:K, "" "")"),0.208387927119606)</f>
        <v>0.2083879271</v>
      </c>
      <c r="M499" s="4">
        <f>IFERROR(__xludf.DUMMYFUNCTION("""COMPUTED_VALUE"""),0.538163182772812)</f>
        <v>0.5381631828</v>
      </c>
      <c r="N499" s="15">
        <v>1584.0</v>
      </c>
      <c r="O499" s="4"/>
      <c r="P499" s="14" t="s">
        <v>1827</v>
      </c>
      <c r="Q499" s="17">
        <f>IFERROR(__xludf.DUMMYFUNCTION("SPLIT(P:P, "" "")"),0.188245325712657)</f>
        <v>0.1882453257</v>
      </c>
      <c r="R499" s="4">
        <f>IFERROR(__xludf.DUMMYFUNCTION("""COMPUTED_VALUE"""),0.435181946790969)</f>
        <v>0.4351819468</v>
      </c>
      <c r="S499" s="15">
        <v>2376.0</v>
      </c>
      <c r="T499" s="4"/>
      <c r="U499" s="4"/>
    </row>
    <row r="500">
      <c r="A500" s="14" t="s">
        <v>1828</v>
      </c>
      <c r="B500" s="4">
        <f>IFERROR(__xludf.DUMMYFUNCTION("SPLIT(A:A, "" "")"),0.19727722109857)</f>
        <v>0.1972772211</v>
      </c>
      <c r="C500" s="4">
        <f>IFERROR(__xludf.DUMMYFUNCTION("""COMPUTED_VALUE"""),0.716778433014431)</f>
        <v>0.716778433</v>
      </c>
      <c r="D500" s="15">
        <v>1112.0</v>
      </c>
      <c r="E500" s="4"/>
      <c r="F500" s="14" t="s">
        <v>1829</v>
      </c>
      <c r="G500" s="17">
        <f>IFERROR(__xludf.DUMMYFUNCTION("SPLIT(F:F, "" "")"),0.143602441495779)</f>
        <v>0.1436024415</v>
      </c>
      <c r="H500" s="4">
        <f>IFERROR(__xludf.DUMMYFUNCTION("""COMPUTED_VALUE"""),0.605709360880641)</f>
        <v>0.6057093609</v>
      </c>
      <c r="I500" s="15">
        <v>2224.0</v>
      </c>
      <c r="J500" s="4"/>
      <c r="K500" s="14" t="s">
        <v>1830</v>
      </c>
      <c r="L500" s="17">
        <f>IFERROR(__xludf.DUMMYFUNCTION("SPLIT(K:K, "" "")"),0.202192106001717)</f>
        <v>0.202192106</v>
      </c>
      <c r="M500" s="4">
        <f>IFERROR(__xludf.DUMMYFUNCTION("""COMPUTED_VALUE"""),0.526179795821936)</f>
        <v>0.5261797958</v>
      </c>
      <c r="N500" s="15">
        <v>1592.0</v>
      </c>
      <c r="O500" s="4"/>
      <c r="P500" s="14" t="s">
        <v>1831</v>
      </c>
      <c r="Q500" s="17">
        <f>IFERROR(__xludf.DUMMYFUNCTION("SPLIT(P:P, "" "")"),0.177862359362607)</f>
        <v>0.1778623594</v>
      </c>
      <c r="R500" s="4">
        <f>IFERROR(__xludf.DUMMYFUNCTION("""COMPUTED_VALUE"""),0.43430941599914)</f>
        <v>0.434309416</v>
      </c>
      <c r="S500" s="15">
        <v>2388.0</v>
      </c>
      <c r="T500" s="4"/>
      <c r="U500" s="4"/>
    </row>
    <row r="501">
      <c r="A501" s="14" t="s">
        <v>1832</v>
      </c>
      <c r="B501" s="4">
        <f>IFERROR(__xludf.DUMMYFUNCTION("SPLIT(A:A, "" "")"),0.184369998841323)</f>
        <v>0.1843699988</v>
      </c>
      <c r="C501" s="4">
        <f>IFERROR(__xludf.DUMMYFUNCTION("""COMPUTED_VALUE"""),0.709664178136894)</f>
        <v>0.7096641781</v>
      </c>
      <c r="D501" s="15">
        <v>1116.0</v>
      </c>
      <c r="E501" s="4"/>
      <c r="F501" s="14" t="s">
        <v>1833</v>
      </c>
      <c r="G501" s="17">
        <f>IFERROR(__xludf.DUMMYFUNCTION("SPLIT(F:F, "" "")"),0.143546948848644)</f>
        <v>0.1435469488</v>
      </c>
      <c r="H501" s="4">
        <f>IFERROR(__xludf.DUMMYFUNCTION("""COMPUTED_VALUE"""),0.610272212607558)</f>
        <v>0.6102722126</v>
      </c>
      <c r="I501" s="15">
        <v>2232.0</v>
      </c>
      <c r="J501" s="4"/>
      <c r="K501" s="14" t="s">
        <v>1834</v>
      </c>
      <c r="L501" s="17">
        <f>IFERROR(__xludf.DUMMYFUNCTION("SPLIT(K:K, "" "")"),0.200937363800718)</f>
        <v>0.2009373638</v>
      </c>
      <c r="M501" s="4">
        <f>IFERROR(__xludf.DUMMYFUNCTION("""COMPUTED_VALUE"""),0.529897840459538)</f>
        <v>0.5298978405</v>
      </c>
      <c r="N501" s="15">
        <v>1600.0</v>
      </c>
      <c r="O501" s="4"/>
      <c r="P501" s="14" t="s">
        <v>1835</v>
      </c>
      <c r="Q501" s="17">
        <f>IFERROR(__xludf.DUMMYFUNCTION("SPLIT(P:P, "" "")"),0.176437042366847)</f>
        <v>0.1764370424</v>
      </c>
      <c r="R501" s="4">
        <f>IFERROR(__xludf.DUMMYFUNCTION("""COMPUTED_VALUE"""),0.434399676184496)</f>
        <v>0.4343996762</v>
      </c>
      <c r="S501" s="15">
        <v>2400.0</v>
      </c>
      <c r="T501" s="4"/>
      <c r="U501" s="4"/>
    </row>
    <row r="502">
      <c r="A502" s="14" t="s">
        <v>1836</v>
      </c>
      <c r="B502" s="4">
        <f>IFERROR(__xludf.DUMMYFUNCTION("SPLIT(A:A, "" "")"),0.186212260140431)</f>
        <v>0.1862122601</v>
      </c>
      <c r="C502" s="4">
        <f>IFERROR(__xludf.DUMMYFUNCTION("""COMPUTED_VALUE"""),0.707204630300364)</f>
        <v>0.7072046303</v>
      </c>
      <c r="D502" s="15">
        <v>1120.0</v>
      </c>
      <c r="E502" s="4"/>
      <c r="F502" s="14" t="s">
        <v>1837</v>
      </c>
      <c r="G502" s="17">
        <f>IFERROR(__xludf.DUMMYFUNCTION("SPLIT(F:F, "" "")"),0.142168854655159)</f>
        <v>0.1421688547</v>
      </c>
      <c r="H502" s="4">
        <f>IFERROR(__xludf.DUMMYFUNCTION("""COMPUTED_VALUE"""),0.605260157087665)</f>
        <v>0.6052601571</v>
      </c>
      <c r="I502" s="15">
        <v>2240.0</v>
      </c>
      <c r="J502" s="4"/>
      <c r="K502" s="14" t="s">
        <v>1838</v>
      </c>
      <c r="L502" s="17">
        <f>IFERROR(__xludf.DUMMYFUNCTION("SPLIT(K:K, "" "")"),0.202657847776628)</f>
        <v>0.2026578478</v>
      </c>
      <c r="M502" s="4">
        <f>IFERROR(__xludf.DUMMYFUNCTION("""COMPUTED_VALUE"""),0.534564301274078)</f>
        <v>0.5345643013</v>
      </c>
      <c r="N502" s="15">
        <v>1608.0</v>
      </c>
      <c r="O502" s="4"/>
      <c r="P502" s="14" t="s">
        <v>1839</v>
      </c>
      <c r="Q502" s="17">
        <f>IFERROR(__xludf.DUMMYFUNCTION("SPLIT(P:P, "" "")"),0.179080329639337)</f>
        <v>0.1790803296</v>
      </c>
      <c r="R502" s="4">
        <f>IFERROR(__xludf.DUMMYFUNCTION("""COMPUTED_VALUE"""),0.427485164998987)</f>
        <v>0.427485165</v>
      </c>
      <c r="S502" s="15">
        <v>2412.0</v>
      </c>
      <c r="T502" s="4"/>
      <c r="U502" s="4"/>
    </row>
    <row r="503">
      <c r="A503" s="14" t="s">
        <v>1840</v>
      </c>
      <c r="B503" s="4">
        <f>IFERROR(__xludf.DUMMYFUNCTION("SPLIT(A:A, "" "")"),0.197516856370632)</f>
        <v>0.1975168564</v>
      </c>
      <c r="C503" s="4">
        <f>IFERROR(__xludf.DUMMYFUNCTION("""COMPUTED_VALUE"""),0.729509464663793)</f>
        <v>0.7295094647</v>
      </c>
      <c r="D503" s="15">
        <v>1124.0</v>
      </c>
      <c r="E503" s="4"/>
      <c r="F503" s="14" t="s">
        <v>1841</v>
      </c>
      <c r="G503" s="17">
        <f>IFERROR(__xludf.DUMMYFUNCTION("SPLIT(F:F, "" "")"),0.13951378289245)</f>
        <v>0.1395137829</v>
      </c>
      <c r="H503" s="4">
        <f>IFERROR(__xludf.DUMMYFUNCTION("""COMPUTED_VALUE"""),0.610807074326195)</f>
        <v>0.6108070743</v>
      </c>
      <c r="I503" s="15">
        <v>2248.0</v>
      </c>
      <c r="J503" s="4"/>
      <c r="K503" s="14" t="s">
        <v>1842</v>
      </c>
      <c r="L503" s="17">
        <f>IFERROR(__xludf.DUMMYFUNCTION("SPLIT(K:K, "" "")"),0.201925664470706)</f>
        <v>0.2019256645</v>
      </c>
      <c r="M503" s="4">
        <f>IFERROR(__xludf.DUMMYFUNCTION("""COMPUTED_VALUE"""),0.532854470278438)</f>
        <v>0.5328544703</v>
      </c>
      <c r="N503" s="15">
        <v>1616.0</v>
      </c>
      <c r="O503" s="4"/>
      <c r="P503" s="14" t="s">
        <v>1843</v>
      </c>
      <c r="Q503" s="17">
        <f>IFERROR(__xludf.DUMMYFUNCTION("SPLIT(P:P, "" "")"),0.178197970488927)</f>
        <v>0.1781979705</v>
      </c>
      <c r="R503" s="4">
        <f>IFERROR(__xludf.DUMMYFUNCTION("""COMPUTED_VALUE"""),0.430437692386586)</f>
        <v>0.4304376924</v>
      </c>
      <c r="S503" s="15">
        <v>2424.0</v>
      </c>
      <c r="T503" s="4"/>
      <c r="U503" s="4"/>
    </row>
    <row r="504">
      <c r="A504" s="14" t="s">
        <v>1844</v>
      </c>
      <c r="B504" s="4">
        <f>IFERROR(__xludf.DUMMYFUNCTION("SPLIT(A:A, "" "")"),0.185165463800315)</f>
        <v>0.1851654638</v>
      </c>
      <c r="C504" s="4">
        <f>IFERROR(__xludf.DUMMYFUNCTION("""COMPUTED_VALUE"""),0.704987777020708)</f>
        <v>0.704987777</v>
      </c>
      <c r="D504" s="15">
        <v>1128.0</v>
      </c>
      <c r="E504" s="4"/>
      <c r="F504" s="14" t="s">
        <v>1845</v>
      </c>
      <c r="G504" s="17">
        <f>IFERROR(__xludf.DUMMYFUNCTION("SPLIT(F:F, "" "")"),0.139448204889266)</f>
        <v>0.1394482049</v>
      </c>
      <c r="H504" s="4">
        <f>IFERROR(__xludf.DUMMYFUNCTION("""COMPUTED_VALUE"""),0.607611546235679)</f>
        <v>0.6076115462</v>
      </c>
      <c r="I504" s="15">
        <v>2256.0</v>
      </c>
      <c r="J504" s="4"/>
      <c r="K504" s="14" t="s">
        <v>1846</v>
      </c>
      <c r="L504" s="17">
        <f>IFERROR(__xludf.DUMMYFUNCTION("SPLIT(K:K, "" "")"),0.205198354650906)</f>
        <v>0.2051983547</v>
      </c>
      <c r="M504" s="4">
        <f>IFERROR(__xludf.DUMMYFUNCTION("""COMPUTED_VALUE"""),0.525452664090863)</f>
        <v>0.5254526641</v>
      </c>
      <c r="N504" s="15">
        <v>1624.0</v>
      </c>
      <c r="O504" s="4"/>
      <c r="P504" s="14" t="s">
        <v>1847</v>
      </c>
      <c r="Q504" s="17">
        <f>IFERROR(__xludf.DUMMYFUNCTION("SPLIT(P:P, "" "")"),0.175734185613126)</f>
        <v>0.1757341856</v>
      </c>
      <c r="R504" s="4">
        <f>IFERROR(__xludf.DUMMYFUNCTION("""COMPUTED_VALUE"""),0.424695784026232)</f>
        <v>0.424695784</v>
      </c>
      <c r="S504" s="15">
        <v>2436.0</v>
      </c>
      <c r="T504" s="4"/>
      <c r="U504" s="4"/>
    </row>
    <row r="505">
      <c r="A505" s="14" t="s">
        <v>1848</v>
      </c>
      <c r="B505" s="4">
        <f>IFERROR(__xludf.DUMMYFUNCTION("SPLIT(A:A, "" "")"),0.184960161159819)</f>
        <v>0.1849601612</v>
      </c>
      <c r="C505" s="4">
        <f>IFERROR(__xludf.DUMMYFUNCTION("""COMPUTED_VALUE"""),0.700867977634751)</f>
        <v>0.7008679776</v>
      </c>
      <c r="D505" s="15">
        <v>1132.0</v>
      </c>
      <c r="E505" s="4"/>
      <c r="F505" s="14" t="s">
        <v>1849</v>
      </c>
      <c r="G505" s="17">
        <f>IFERROR(__xludf.DUMMYFUNCTION("SPLIT(F:F, "" "")"),0.138308915542611)</f>
        <v>0.1383089155</v>
      </c>
      <c r="H505" s="4">
        <f>IFERROR(__xludf.DUMMYFUNCTION("""COMPUTED_VALUE"""),0.613931278605181)</f>
        <v>0.6139312786</v>
      </c>
      <c r="I505" s="15">
        <v>2264.0</v>
      </c>
      <c r="J505" s="4"/>
      <c r="K505" s="14" t="s">
        <v>1850</v>
      </c>
      <c r="L505" s="17">
        <f>IFERROR(__xludf.DUMMYFUNCTION("SPLIT(K:K, "" "")"),0.197802241494048)</f>
        <v>0.1978022415</v>
      </c>
      <c r="M505" s="4">
        <f>IFERROR(__xludf.DUMMYFUNCTION("""COMPUTED_VALUE"""),0.520078398120563)</f>
        <v>0.5200783981</v>
      </c>
      <c r="N505" s="15">
        <v>1632.0</v>
      </c>
      <c r="O505" s="4"/>
      <c r="P505" s="14" t="s">
        <v>1851</v>
      </c>
      <c r="Q505" s="17">
        <f>IFERROR(__xludf.DUMMYFUNCTION("SPLIT(P:P, "" "")"),0.171845166864679)</f>
        <v>0.1718451669</v>
      </c>
      <c r="R505" s="4">
        <f>IFERROR(__xludf.DUMMYFUNCTION("""COMPUTED_VALUE"""),0.431865719951612)</f>
        <v>0.43186572</v>
      </c>
      <c r="S505" s="15">
        <v>2448.0</v>
      </c>
      <c r="T505" s="4"/>
      <c r="U505" s="4"/>
    </row>
    <row r="506">
      <c r="A506" s="14" t="s">
        <v>1852</v>
      </c>
      <c r="B506" s="4">
        <f>IFERROR(__xludf.DUMMYFUNCTION("SPLIT(A:A, "" "")"),0.181451464247444)</f>
        <v>0.1814514642</v>
      </c>
      <c r="C506" s="4">
        <f>IFERROR(__xludf.DUMMYFUNCTION("""COMPUTED_VALUE"""),0.699356010711386)</f>
        <v>0.6993560107</v>
      </c>
      <c r="D506" s="15">
        <v>1136.0</v>
      </c>
      <c r="E506" s="4"/>
      <c r="F506" s="14" t="s">
        <v>1853</v>
      </c>
      <c r="G506" s="17">
        <f>IFERROR(__xludf.DUMMYFUNCTION("SPLIT(F:F, "" "")"),0.13936681560643)</f>
        <v>0.1393668156</v>
      </c>
      <c r="H506" s="4">
        <f>IFERROR(__xludf.DUMMYFUNCTION("""COMPUTED_VALUE"""),0.612965858478772)</f>
        <v>0.6129658585</v>
      </c>
      <c r="I506" s="15">
        <v>2272.0</v>
      </c>
      <c r="J506" s="4"/>
      <c r="K506" s="14" t="s">
        <v>1854</v>
      </c>
      <c r="L506" s="17">
        <f>IFERROR(__xludf.DUMMYFUNCTION("SPLIT(K:K, "" "")"),0.200496490819179)</f>
        <v>0.2004964908</v>
      </c>
      <c r="M506" s="4">
        <f>IFERROR(__xludf.DUMMYFUNCTION("""COMPUTED_VALUE"""),0.529062255968908)</f>
        <v>0.529062256</v>
      </c>
      <c r="N506" s="15">
        <v>1640.0</v>
      </c>
      <c r="O506" s="4"/>
      <c r="P506" s="14" t="s">
        <v>1855</v>
      </c>
      <c r="Q506" s="17">
        <f>IFERROR(__xludf.DUMMYFUNCTION("SPLIT(P:P, "" "")"),0.175408922027479)</f>
        <v>0.175408922</v>
      </c>
      <c r="R506" s="4">
        <f>IFERROR(__xludf.DUMMYFUNCTION("""COMPUTED_VALUE"""),0.430173923268596)</f>
        <v>0.4301739233</v>
      </c>
      <c r="S506" s="15">
        <v>2460.0</v>
      </c>
      <c r="T506" s="4"/>
      <c r="U506" s="4"/>
    </row>
    <row r="507">
      <c r="A507" s="14" t="s">
        <v>1856</v>
      </c>
      <c r="B507" s="4">
        <f>IFERROR(__xludf.DUMMYFUNCTION("SPLIT(A:A, "" "")"),0.192436415911502)</f>
        <v>0.1924364159</v>
      </c>
      <c r="C507" s="4">
        <f>IFERROR(__xludf.DUMMYFUNCTION("""COMPUTED_VALUE"""),0.705592762213889)</f>
        <v>0.7055927622</v>
      </c>
      <c r="D507" s="15">
        <v>1140.0</v>
      </c>
      <c r="E507" s="4"/>
      <c r="F507" s="14" t="s">
        <v>1857</v>
      </c>
      <c r="G507" s="17">
        <f>IFERROR(__xludf.DUMMYFUNCTION("SPLIT(F:F, "" "")"),0.145500133695153)</f>
        <v>0.1455001337</v>
      </c>
      <c r="H507" s="4">
        <f>IFERROR(__xludf.DUMMYFUNCTION("""COMPUTED_VALUE"""),0.621454863631577)</f>
        <v>0.6214548636</v>
      </c>
      <c r="I507" s="15">
        <v>2280.0</v>
      </c>
      <c r="J507" s="4"/>
      <c r="K507" s="14" t="s">
        <v>1858</v>
      </c>
      <c r="L507" s="17">
        <f>IFERROR(__xludf.DUMMYFUNCTION("SPLIT(K:K, "" "")"),0.198064091629025)</f>
        <v>0.1980640916</v>
      </c>
      <c r="M507" s="4">
        <f>IFERROR(__xludf.DUMMYFUNCTION("""COMPUTED_VALUE"""),0.530665553319692)</f>
        <v>0.5306655533</v>
      </c>
      <c r="N507" s="15">
        <v>1648.0</v>
      </c>
      <c r="O507" s="4"/>
      <c r="P507" s="14" t="s">
        <v>1859</v>
      </c>
      <c r="Q507" s="17">
        <f>IFERROR(__xludf.DUMMYFUNCTION("SPLIT(P:P, "" "")"),0.179880703324386)</f>
        <v>0.1798807033</v>
      </c>
      <c r="R507" s="4">
        <f>IFERROR(__xludf.DUMMYFUNCTION("""COMPUTED_VALUE"""),0.425126426640203)</f>
        <v>0.4251264266</v>
      </c>
      <c r="S507" s="15">
        <v>2472.0</v>
      </c>
      <c r="T507" s="4"/>
      <c r="U507" s="4"/>
    </row>
    <row r="508">
      <c r="A508" s="14" t="s">
        <v>1860</v>
      </c>
      <c r="B508" s="4">
        <f>IFERROR(__xludf.DUMMYFUNCTION("SPLIT(A:A, "" "")"),0.183103060275459)</f>
        <v>0.1831030603</v>
      </c>
      <c r="C508" s="4">
        <f>IFERROR(__xludf.DUMMYFUNCTION("""COMPUTED_VALUE"""),0.704680049472022)</f>
        <v>0.7046800495</v>
      </c>
      <c r="D508" s="15">
        <v>1144.0</v>
      </c>
      <c r="E508" s="4"/>
      <c r="F508" s="14" t="s">
        <v>1861</v>
      </c>
      <c r="G508" s="17">
        <f>IFERROR(__xludf.DUMMYFUNCTION("SPLIT(F:F, "" "")"),0.138339332353433)</f>
        <v>0.1383393324</v>
      </c>
      <c r="H508" s="4">
        <f>IFERROR(__xludf.DUMMYFUNCTION("""COMPUTED_VALUE"""),0.603917247265618)</f>
        <v>0.6039172473</v>
      </c>
      <c r="I508" s="15">
        <v>2288.0</v>
      </c>
      <c r="J508" s="4"/>
      <c r="K508" s="14" t="s">
        <v>1862</v>
      </c>
      <c r="L508" s="17">
        <f>IFERROR(__xludf.DUMMYFUNCTION("SPLIT(K:K, "" "")"),0.199057851711459)</f>
        <v>0.1990578517</v>
      </c>
      <c r="M508" s="4">
        <f>IFERROR(__xludf.DUMMYFUNCTION("""COMPUTED_VALUE"""),0.526258178874721)</f>
        <v>0.5262581789</v>
      </c>
      <c r="N508" s="15">
        <v>1656.0</v>
      </c>
      <c r="O508" s="4"/>
      <c r="P508" s="14" t="s">
        <v>1863</v>
      </c>
      <c r="Q508" s="17">
        <f>IFERROR(__xludf.DUMMYFUNCTION("SPLIT(P:P, "" "")"),0.171833472372497)</f>
        <v>0.1718334724</v>
      </c>
      <c r="R508" s="4">
        <f>IFERROR(__xludf.DUMMYFUNCTION("""COMPUTED_VALUE"""),0.42022211789319)</f>
        <v>0.4202221179</v>
      </c>
      <c r="S508" s="15">
        <v>2484.0</v>
      </c>
      <c r="T508" s="4"/>
      <c r="U508" s="4"/>
    </row>
    <row r="509">
      <c r="A509" s="14" t="s">
        <v>1864</v>
      </c>
      <c r="B509" s="4">
        <f>IFERROR(__xludf.DUMMYFUNCTION("SPLIT(A:A, "" "")"),0.193230025489475)</f>
        <v>0.1932300255</v>
      </c>
      <c r="C509" s="4">
        <f>IFERROR(__xludf.DUMMYFUNCTION("""COMPUTED_VALUE"""),0.709730443643269)</f>
        <v>0.7097304436</v>
      </c>
      <c r="D509" s="15">
        <v>1148.0</v>
      </c>
      <c r="E509" s="4"/>
      <c r="F509" s="14" t="s">
        <v>1865</v>
      </c>
      <c r="G509" s="17">
        <f>IFERROR(__xludf.DUMMYFUNCTION("SPLIT(F:F, "" "")"),0.142559830900491)</f>
        <v>0.1425598309</v>
      </c>
      <c r="H509" s="4">
        <f>IFERROR(__xludf.DUMMYFUNCTION("""COMPUTED_VALUE"""),0.609771353907182)</f>
        <v>0.6097713539</v>
      </c>
      <c r="I509" s="15">
        <v>2296.0</v>
      </c>
      <c r="J509" s="4"/>
      <c r="K509" s="14" t="s">
        <v>1866</v>
      </c>
      <c r="L509" s="17">
        <f>IFERROR(__xludf.DUMMYFUNCTION("SPLIT(K:K, "" "")"),0.192830093640214)</f>
        <v>0.1928300936</v>
      </c>
      <c r="M509" s="4">
        <f>IFERROR(__xludf.DUMMYFUNCTION("""COMPUTED_VALUE"""),0.527510558065179)</f>
        <v>0.5275105581</v>
      </c>
      <c r="N509" s="15">
        <v>1664.0</v>
      </c>
      <c r="O509" s="4"/>
      <c r="P509" s="14" t="s">
        <v>1867</v>
      </c>
      <c r="Q509" s="17">
        <f>IFERROR(__xludf.DUMMYFUNCTION("SPLIT(P:P, "" "")"),0.171999037395578)</f>
        <v>0.1719990374</v>
      </c>
      <c r="R509" s="4">
        <f>IFERROR(__xludf.DUMMYFUNCTION("""COMPUTED_VALUE"""),0.420314985368422)</f>
        <v>0.4203149854</v>
      </c>
      <c r="S509" s="15">
        <v>2496.0</v>
      </c>
      <c r="T509" s="4"/>
      <c r="U509" s="4"/>
    </row>
    <row r="510">
      <c r="A510" s="14" t="s">
        <v>1868</v>
      </c>
      <c r="B510" s="4">
        <f>IFERROR(__xludf.DUMMYFUNCTION("SPLIT(A:A, "" "")"),0.182614114185631)</f>
        <v>0.1826141142</v>
      </c>
      <c r="C510" s="4">
        <f>IFERROR(__xludf.DUMMYFUNCTION("""COMPUTED_VALUE"""),0.705776147440037)</f>
        <v>0.7057761474</v>
      </c>
      <c r="D510" s="15">
        <v>1152.0</v>
      </c>
      <c r="E510" s="4"/>
      <c r="F510" s="14" t="s">
        <v>1869</v>
      </c>
      <c r="G510" s="17">
        <f>IFERROR(__xludf.DUMMYFUNCTION("SPLIT(F:F, "" "")"),0.137652560616014)</f>
        <v>0.1376525606</v>
      </c>
      <c r="H510" s="4">
        <f>IFERROR(__xludf.DUMMYFUNCTION("""COMPUTED_VALUE"""),0.602474872344225)</f>
        <v>0.6024748723</v>
      </c>
      <c r="I510" s="15">
        <v>2304.0</v>
      </c>
      <c r="J510" s="4"/>
      <c r="K510" s="14" t="s">
        <v>1870</v>
      </c>
      <c r="L510" s="17">
        <f>IFERROR(__xludf.DUMMYFUNCTION("SPLIT(K:K, "" "")"),0.202396462108632)</f>
        <v>0.2023964621</v>
      </c>
      <c r="M510" s="4">
        <f>IFERROR(__xludf.DUMMYFUNCTION("""COMPUTED_VALUE"""),0.534551705359859)</f>
        <v>0.5345517054</v>
      </c>
      <c r="N510" s="15">
        <v>1672.0</v>
      </c>
      <c r="O510" s="4"/>
      <c r="P510" s="14" t="s">
        <v>1871</v>
      </c>
      <c r="Q510" s="17">
        <f>IFERROR(__xludf.DUMMYFUNCTION("SPLIT(P:P, "" "")"),0.172500943473286)</f>
        <v>0.1725009435</v>
      </c>
      <c r="R510" s="4">
        <f>IFERROR(__xludf.DUMMYFUNCTION("""COMPUTED_VALUE"""),0.423650518894295)</f>
        <v>0.4236505189</v>
      </c>
      <c r="S510" s="15">
        <v>2508.0</v>
      </c>
      <c r="T510" s="4"/>
      <c r="U510" s="4"/>
    </row>
    <row r="511">
      <c r="A511" s="14" t="s">
        <v>1872</v>
      </c>
      <c r="B511" s="4">
        <f>IFERROR(__xludf.DUMMYFUNCTION("SPLIT(A:A, "" "")"),0.179982198309825)</f>
        <v>0.1799821983</v>
      </c>
      <c r="C511" s="4">
        <f>IFERROR(__xludf.DUMMYFUNCTION("""COMPUTED_VALUE"""),0.706812640557476)</f>
        <v>0.7068126406</v>
      </c>
      <c r="D511" s="15">
        <v>1156.0</v>
      </c>
      <c r="E511" s="4"/>
      <c r="F511" s="14" t="s">
        <v>1873</v>
      </c>
      <c r="G511" s="17">
        <f>IFERROR(__xludf.DUMMYFUNCTION("SPLIT(F:F, "" "")"),0.140915433137925)</f>
        <v>0.1409154331</v>
      </c>
      <c r="H511" s="4">
        <f>IFERROR(__xludf.DUMMYFUNCTION("""COMPUTED_VALUE"""),0.619439176711645)</f>
        <v>0.6194391767</v>
      </c>
      <c r="I511" s="15">
        <v>2312.0</v>
      </c>
      <c r="J511" s="4"/>
      <c r="K511" s="14" t="s">
        <v>1874</v>
      </c>
      <c r="L511" s="17">
        <f>IFERROR(__xludf.DUMMYFUNCTION("SPLIT(K:K, "" "")"),0.19727273386387)</f>
        <v>0.1972727339</v>
      </c>
      <c r="M511" s="4">
        <f>IFERROR(__xludf.DUMMYFUNCTION("""COMPUTED_VALUE"""),0.535357998920131)</f>
        <v>0.5353579989</v>
      </c>
      <c r="N511" s="15">
        <v>1680.0</v>
      </c>
      <c r="O511" s="4"/>
      <c r="P511" s="14" t="s">
        <v>1875</v>
      </c>
      <c r="Q511" s="17">
        <f>IFERROR(__xludf.DUMMYFUNCTION("SPLIT(P:P, "" "")"),0.175969297482976)</f>
        <v>0.1759692975</v>
      </c>
      <c r="R511" s="4">
        <f>IFERROR(__xludf.DUMMYFUNCTION("""COMPUTED_VALUE"""),0.426677776512271)</f>
        <v>0.4266777765</v>
      </c>
      <c r="S511" s="15">
        <v>2520.0</v>
      </c>
      <c r="T511" s="4"/>
      <c r="U511" s="4"/>
    </row>
    <row r="512">
      <c r="A512" s="14" t="s">
        <v>1876</v>
      </c>
      <c r="B512" s="4">
        <f>IFERROR(__xludf.DUMMYFUNCTION("SPLIT(A:A, "" "")"),0.176636584283357)</f>
        <v>0.1766365843</v>
      </c>
      <c r="C512" s="4">
        <f>IFERROR(__xludf.DUMMYFUNCTION("""COMPUTED_VALUE"""),0.697671709719047)</f>
        <v>0.6976717097</v>
      </c>
      <c r="D512" s="15">
        <v>1160.0</v>
      </c>
      <c r="E512" s="4"/>
      <c r="F512" s="14" t="s">
        <v>1877</v>
      </c>
      <c r="G512" s="17">
        <f>IFERROR(__xludf.DUMMYFUNCTION("SPLIT(F:F, "" "")"),0.139564226693866)</f>
        <v>0.1395642267</v>
      </c>
      <c r="H512" s="4">
        <f>IFERROR(__xludf.DUMMYFUNCTION("""COMPUTED_VALUE"""),0.614380212124695)</f>
        <v>0.6143802121</v>
      </c>
      <c r="I512" s="15">
        <v>2320.0</v>
      </c>
      <c r="J512" s="4"/>
      <c r="K512" s="14" t="s">
        <v>1878</v>
      </c>
      <c r="L512" s="17">
        <f>IFERROR(__xludf.DUMMYFUNCTION("SPLIT(K:K, "" "")"),0.193486363589044)</f>
        <v>0.1934863636</v>
      </c>
      <c r="M512" s="4">
        <f>IFERROR(__xludf.DUMMYFUNCTION("""COMPUTED_VALUE"""),0.526592453653157)</f>
        <v>0.5265924537</v>
      </c>
      <c r="N512" s="15">
        <v>1688.0</v>
      </c>
      <c r="O512" s="4"/>
      <c r="P512" s="14" t="s">
        <v>1879</v>
      </c>
      <c r="Q512" s="17">
        <f>IFERROR(__xludf.DUMMYFUNCTION("SPLIT(P:P, "" "")"),0.172236684546129)</f>
        <v>0.1722366845</v>
      </c>
      <c r="R512" s="4">
        <f>IFERROR(__xludf.DUMMYFUNCTION("""COMPUTED_VALUE"""),0.430484966364205)</f>
        <v>0.4304849664</v>
      </c>
      <c r="S512" s="15">
        <v>2532.0</v>
      </c>
      <c r="T512" s="4"/>
      <c r="U512" s="4"/>
    </row>
    <row r="513">
      <c r="A513" s="14" t="s">
        <v>1880</v>
      </c>
      <c r="B513" s="4">
        <f>IFERROR(__xludf.DUMMYFUNCTION("SPLIT(A:A, "" "")"),0.179762691959338)</f>
        <v>0.179762692</v>
      </c>
      <c r="C513" s="4">
        <f>IFERROR(__xludf.DUMMYFUNCTION("""COMPUTED_VALUE"""),0.704459144181105)</f>
        <v>0.7044591442</v>
      </c>
      <c r="D513" s="15">
        <v>1164.0</v>
      </c>
      <c r="E513" s="4"/>
      <c r="F513" s="14" t="s">
        <v>1881</v>
      </c>
      <c r="G513" s="17">
        <f>IFERROR(__xludf.DUMMYFUNCTION("SPLIT(F:F, "" "")"),0.136397396912462)</f>
        <v>0.1363973969</v>
      </c>
      <c r="H513" s="4">
        <f>IFERROR(__xludf.DUMMYFUNCTION("""COMPUTED_VALUE"""),0.614455713926959)</f>
        <v>0.6144557139</v>
      </c>
      <c r="I513" s="15">
        <v>2328.0</v>
      </c>
      <c r="J513" s="4"/>
      <c r="K513" s="14" t="s">
        <v>1882</v>
      </c>
      <c r="L513" s="17">
        <f>IFERROR(__xludf.DUMMYFUNCTION("SPLIT(K:K, "" "")"),0.196391925620912)</f>
        <v>0.1963919256</v>
      </c>
      <c r="M513" s="4">
        <f>IFERROR(__xludf.DUMMYFUNCTION("""COMPUTED_VALUE"""),0.533205033490282)</f>
        <v>0.5332050335</v>
      </c>
      <c r="N513" s="15">
        <v>1696.0</v>
      </c>
      <c r="O513" s="4"/>
      <c r="P513" s="14" t="s">
        <v>1883</v>
      </c>
      <c r="Q513" s="17">
        <f>IFERROR(__xludf.DUMMYFUNCTION("SPLIT(P:P, "" "")"),0.173600732784252)</f>
        <v>0.1736007328</v>
      </c>
      <c r="R513" s="4">
        <f>IFERROR(__xludf.DUMMYFUNCTION("""COMPUTED_VALUE"""),0.43376073762432)</f>
        <v>0.4337607376</v>
      </c>
      <c r="S513" s="15">
        <v>2544.0</v>
      </c>
      <c r="T513" s="4"/>
      <c r="U513" s="4"/>
    </row>
    <row r="514">
      <c r="A514" s="14" t="s">
        <v>1884</v>
      </c>
      <c r="B514" s="4">
        <f>IFERROR(__xludf.DUMMYFUNCTION("SPLIT(A:A, "" "")"),0.179871779302033)</f>
        <v>0.1798717793</v>
      </c>
      <c r="C514" s="4">
        <f>IFERROR(__xludf.DUMMYFUNCTION("""COMPUTED_VALUE"""),0.703361689632103)</f>
        <v>0.7033616896</v>
      </c>
      <c r="D514" s="15">
        <v>1168.0</v>
      </c>
      <c r="E514" s="4"/>
      <c r="F514" s="14" t="s">
        <v>1885</v>
      </c>
      <c r="G514" s="17">
        <f>IFERROR(__xludf.DUMMYFUNCTION("SPLIT(F:F, "" "")"),0.137217665649866)</f>
        <v>0.1372176656</v>
      </c>
      <c r="H514" s="4">
        <f>IFERROR(__xludf.DUMMYFUNCTION("""COMPUTED_VALUE"""),0.609752640253527)</f>
        <v>0.6097526403</v>
      </c>
      <c r="I514" s="15">
        <v>2336.0</v>
      </c>
      <c r="J514" s="4"/>
      <c r="K514" s="14" t="s">
        <v>1886</v>
      </c>
      <c r="L514" s="17">
        <f>IFERROR(__xludf.DUMMYFUNCTION("SPLIT(K:K, "" "")"),0.191703713486221)</f>
        <v>0.1917037135</v>
      </c>
      <c r="M514" s="4">
        <f>IFERROR(__xludf.DUMMYFUNCTION("""COMPUTED_VALUE"""),0.530849695749518)</f>
        <v>0.5308496957</v>
      </c>
      <c r="N514" s="15">
        <v>1704.0</v>
      </c>
      <c r="O514" s="4"/>
      <c r="P514" s="14" t="s">
        <v>1887</v>
      </c>
      <c r="Q514" s="17">
        <f>IFERROR(__xludf.DUMMYFUNCTION("SPLIT(P:P, "" "")"),0.170927239273746)</f>
        <v>0.1709272393</v>
      </c>
      <c r="R514" s="4">
        <f>IFERROR(__xludf.DUMMYFUNCTION("""COMPUTED_VALUE"""),0.42356462021414)</f>
        <v>0.4235646202</v>
      </c>
      <c r="S514" s="15">
        <v>2556.0</v>
      </c>
      <c r="T514" s="4"/>
      <c r="U514" s="4"/>
    </row>
    <row r="515">
      <c r="A515" s="14" t="s">
        <v>1888</v>
      </c>
      <c r="B515" s="4">
        <f>IFERROR(__xludf.DUMMYFUNCTION("SPLIT(A:A, "" "")"),0.182019837123142)</f>
        <v>0.1820198371</v>
      </c>
      <c r="C515" s="4">
        <f>IFERROR(__xludf.DUMMYFUNCTION("""COMPUTED_VALUE"""),0.701495412557105)</f>
        <v>0.7014954126</v>
      </c>
      <c r="D515" s="15">
        <v>1172.0</v>
      </c>
      <c r="E515" s="4"/>
      <c r="F515" s="14" t="s">
        <v>1889</v>
      </c>
      <c r="G515" s="17">
        <f>IFERROR(__xludf.DUMMYFUNCTION("SPLIT(F:F, "" "")"),0.141966306300514)</f>
        <v>0.1419663063</v>
      </c>
      <c r="H515" s="4">
        <f>IFERROR(__xludf.DUMMYFUNCTION("""COMPUTED_VALUE"""),0.615706202942679)</f>
        <v>0.6157062029</v>
      </c>
      <c r="I515" s="15">
        <v>2344.0</v>
      </c>
      <c r="J515" s="4"/>
      <c r="K515" s="14" t="s">
        <v>1890</v>
      </c>
      <c r="L515" s="17">
        <f>IFERROR(__xludf.DUMMYFUNCTION("SPLIT(K:K, "" "")"),0.193007883559776)</f>
        <v>0.1930078836</v>
      </c>
      <c r="M515" s="4">
        <f>IFERROR(__xludf.DUMMYFUNCTION("""COMPUTED_VALUE"""),0.533332902024411)</f>
        <v>0.533332902</v>
      </c>
      <c r="N515" s="15">
        <v>1712.0</v>
      </c>
      <c r="O515" s="4"/>
      <c r="P515" s="14" t="s">
        <v>1891</v>
      </c>
      <c r="Q515" s="17">
        <f>IFERROR(__xludf.DUMMYFUNCTION("SPLIT(P:P, "" "")"),0.17060408639845)</f>
        <v>0.1706040864</v>
      </c>
      <c r="R515" s="4">
        <f>IFERROR(__xludf.DUMMYFUNCTION("""COMPUTED_VALUE"""),0.426812947667447)</f>
        <v>0.4268129477</v>
      </c>
      <c r="S515" s="15">
        <v>2568.0</v>
      </c>
      <c r="T515" s="4"/>
      <c r="U515" s="4"/>
    </row>
    <row r="516">
      <c r="A516" s="14" t="s">
        <v>1892</v>
      </c>
      <c r="B516" s="4">
        <f>IFERROR(__xludf.DUMMYFUNCTION("SPLIT(A:A, "" "")"),0.181227779458036)</f>
        <v>0.1812277795</v>
      </c>
      <c r="C516" s="4">
        <f>IFERROR(__xludf.DUMMYFUNCTION("""COMPUTED_VALUE"""),0.708170573700124)</f>
        <v>0.7081705737</v>
      </c>
      <c r="D516" s="15">
        <v>1176.0</v>
      </c>
      <c r="E516" s="4"/>
      <c r="F516" s="14" t="s">
        <v>1893</v>
      </c>
      <c r="G516" s="17">
        <f>IFERROR(__xludf.DUMMYFUNCTION("SPLIT(F:F, "" "")"),0.136595580517699)</f>
        <v>0.1365955805</v>
      </c>
      <c r="H516" s="4">
        <f>IFERROR(__xludf.DUMMYFUNCTION("""COMPUTED_VALUE"""),0.614152970530031)</f>
        <v>0.6141529705</v>
      </c>
      <c r="I516" s="15">
        <v>2352.0</v>
      </c>
      <c r="J516" s="4"/>
      <c r="K516" s="14" t="s">
        <v>1894</v>
      </c>
      <c r="L516" s="17">
        <f>IFERROR(__xludf.DUMMYFUNCTION("SPLIT(K:K, "" "")"),0.189148481883403)</f>
        <v>0.1891484819</v>
      </c>
      <c r="M516" s="4">
        <f>IFERROR(__xludf.DUMMYFUNCTION("""COMPUTED_VALUE"""),0.517245380439732)</f>
        <v>0.5172453804</v>
      </c>
      <c r="N516" s="15">
        <v>1720.0</v>
      </c>
      <c r="O516" s="4"/>
      <c r="P516" s="14" t="s">
        <v>1895</v>
      </c>
      <c r="Q516" s="17">
        <f>IFERROR(__xludf.DUMMYFUNCTION("SPLIT(P:P, "" "")"),0.167629625908712)</f>
        <v>0.1676296259</v>
      </c>
      <c r="R516" s="4">
        <f>IFERROR(__xludf.DUMMYFUNCTION("""COMPUTED_VALUE"""),0.41657540968615)</f>
        <v>0.4165754097</v>
      </c>
      <c r="S516" s="15">
        <v>2580.0</v>
      </c>
      <c r="T516" s="4"/>
      <c r="U516" s="4"/>
    </row>
    <row r="517">
      <c r="A517" s="14" t="s">
        <v>1896</v>
      </c>
      <c r="B517" s="4">
        <f>IFERROR(__xludf.DUMMYFUNCTION("SPLIT(A:A, "" "")"),0.178452291138152)</f>
        <v>0.1784522911</v>
      </c>
      <c r="C517" s="4">
        <f>IFERROR(__xludf.DUMMYFUNCTION("""COMPUTED_VALUE"""),0.705340585350301)</f>
        <v>0.7053405854</v>
      </c>
      <c r="D517" s="15">
        <v>1180.0</v>
      </c>
      <c r="E517" s="4"/>
      <c r="F517" s="14" t="s">
        <v>1897</v>
      </c>
      <c r="G517" s="17">
        <f>IFERROR(__xludf.DUMMYFUNCTION("SPLIT(F:F, "" "")"),0.136338716155262)</f>
        <v>0.1363387162</v>
      </c>
      <c r="H517" s="4">
        <f>IFERROR(__xludf.DUMMYFUNCTION("""COMPUTED_VALUE"""),0.611666506753189)</f>
        <v>0.6116665068</v>
      </c>
      <c r="I517" s="15">
        <v>2360.0</v>
      </c>
      <c r="J517" s="4"/>
      <c r="K517" s="14" t="s">
        <v>1898</v>
      </c>
      <c r="L517" s="17">
        <f>IFERROR(__xludf.DUMMYFUNCTION("SPLIT(K:K, "" "")"),0.190883136158745)</f>
        <v>0.1908831362</v>
      </c>
      <c r="M517" s="4">
        <f>IFERROR(__xludf.DUMMYFUNCTION("""COMPUTED_VALUE"""),0.524547707306003)</f>
        <v>0.5245477073</v>
      </c>
      <c r="N517" s="15">
        <v>1728.0</v>
      </c>
      <c r="O517" s="4"/>
      <c r="P517" s="14" t="s">
        <v>1899</v>
      </c>
      <c r="Q517" s="17">
        <f>IFERROR(__xludf.DUMMYFUNCTION("SPLIT(P:P, "" "")"),0.167059013090145)</f>
        <v>0.1670590131</v>
      </c>
      <c r="R517" s="4">
        <f>IFERROR(__xludf.DUMMYFUNCTION("""COMPUTED_VALUE"""),0.421530336383191)</f>
        <v>0.4215303364</v>
      </c>
      <c r="S517" s="15">
        <v>2592.0</v>
      </c>
      <c r="T517" s="4"/>
      <c r="U517" s="4"/>
    </row>
    <row r="518">
      <c r="A518" s="14" t="s">
        <v>1900</v>
      </c>
      <c r="B518" s="4">
        <f>IFERROR(__xludf.DUMMYFUNCTION("SPLIT(A:A, "" "")"),0.181033635454574)</f>
        <v>0.1810336355</v>
      </c>
      <c r="C518" s="4">
        <f>IFERROR(__xludf.DUMMYFUNCTION("""COMPUTED_VALUE"""),0.71685421841751)</f>
        <v>0.7168542184</v>
      </c>
      <c r="D518" s="15">
        <v>1184.0</v>
      </c>
      <c r="E518" s="4"/>
      <c r="F518" s="14" t="s">
        <v>1901</v>
      </c>
      <c r="G518" s="17">
        <f>IFERROR(__xludf.DUMMYFUNCTION("SPLIT(F:F, "" "")"),0.140424499957769)</f>
        <v>0.1404245</v>
      </c>
      <c r="H518" s="4">
        <f>IFERROR(__xludf.DUMMYFUNCTION("""COMPUTED_VALUE"""),0.619743531332495)</f>
        <v>0.6197435313</v>
      </c>
      <c r="I518" s="15">
        <v>2368.0</v>
      </c>
      <c r="J518" s="4"/>
      <c r="K518" s="14" t="s">
        <v>1902</v>
      </c>
      <c r="L518" s="17">
        <f>IFERROR(__xludf.DUMMYFUNCTION("SPLIT(K:K, "" "")"),0.1953010320655)</f>
        <v>0.1953010321</v>
      </c>
      <c r="M518" s="4">
        <f>IFERROR(__xludf.DUMMYFUNCTION("""COMPUTED_VALUE"""),0.534210192420334)</f>
        <v>0.5342101924</v>
      </c>
      <c r="N518" s="15">
        <v>1736.0</v>
      </c>
      <c r="O518" s="4"/>
      <c r="P518" s="14" t="s">
        <v>1903</v>
      </c>
      <c r="Q518" s="17">
        <f>IFERROR(__xludf.DUMMYFUNCTION("SPLIT(P:P, "" "")"),0.171444592693663)</f>
        <v>0.1714445927</v>
      </c>
      <c r="R518" s="4">
        <f>IFERROR(__xludf.DUMMYFUNCTION("""COMPUTED_VALUE"""),0.427750438115302)</f>
        <v>0.4277504381</v>
      </c>
      <c r="S518" s="15">
        <v>2604.0</v>
      </c>
      <c r="T518" s="4"/>
      <c r="U518" s="4"/>
    </row>
    <row r="519">
      <c r="A519" s="14" t="s">
        <v>1904</v>
      </c>
      <c r="B519" s="4">
        <f>IFERROR(__xludf.DUMMYFUNCTION("SPLIT(A:A, "" "")"),0.186335071264485)</f>
        <v>0.1863350713</v>
      </c>
      <c r="C519" s="4">
        <f>IFERROR(__xludf.DUMMYFUNCTION("""COMPUTED_VALUE"""),0.728938998816046)</f>
        <v>0.7289389988</v>
      </c>
      <c r="D519" s="15">
        <v>1188.0</v>
      </c>
      <c r="E519" s="4"/>
      <c r="F519" s="14" t="s">
        <v>1905</v>
      </c>
      <c r="G519" s="17">
        <f>IFERROR(__xludf.DUMMYFUNCTION("SPLIT(F:F, "" "")"),0.135790630185386)</f>
        <v>0.1357906302</v>
      </c>
      <c r="H519" s="4">
        <f>IFERROR(__xludf.DUMMYFUNCTION("""COMPUTED_VALUE"""),0.608781018654802)</f>
        <v>0.6087810187</v>
      </c>
      <c r="I519" s="15">
        <v>2376.0</v>
      </c>
      <c r="J519" s="4"/>
      <c r="K519" s="14" t="s">
        <v>1906</v>
      </c>
      <c r="L519" s="17">
        <f>IFERROR(__xludf.DUMMYFUNCTION("SPLIT(K:K, "" "")"),0.190531122007073)</f>
        <v>0.190531122</v>
      </c>
      <c r="M519" s="4">
        <f>IFERROR(__xludf.DUMMYFUNCTION("""COMPUTED_VALUE"""),0.530387672959752)</f>
        <v>0.530387673</v>
      </c>
      <c r="N519" s="15">
        <v>1744.0</v>
      </c>
      <c r="O519" s="4"/>
      <c r="P519" s="14" t="s">
        <v>1907</v>
      </c>
      <c r="Q519" s="17">
        <f>IFERROR(__xludf.DUMMYFUNCTION("SPLIT(P:P, "" "")"),0.166186170401636)</f>
        <v>0.1661861704</v>
      </c>
      <c r="R519" s="4">
        <f>IFERROR(__xludf.DUMMYFUNCTION("""COMPUTED_VALUE"""),0.414481783325632)</f>
        <v>0.4144817833</v>
      </c>
      <c r="S519" s="15">
        <v>2616.0</v>
      </c>
      <c r="T519" s="4"/>
      <c r="U519" s="4"/>
    </row>
    <row r="520">
      <c r="A520" s="14" t="s">
        <v>1908</v>
      </c>
      <c r="B520" s="4">
        <f>IFERROR(__xludf.DUMMYFUNCTION("SPLIT(A:A, "" "")"),0.178916665684267)</f>
        <v>0.1789166657</v>
      </c>
      <c r="C520" s="4">
        <f>IFERROR(__xludf.DUMMYFUNCTION("""COMPUTED_VALUE"""),0.697235250775736)</f>
        <v>0.6972352508</v>
      </c>
      <c r="D520" s="15">
        <v>1192.0</v>
      </c>
      <c r="E520" s="4"/>
      <c r="F520" s="14" t="s">
        <v>1909</v>
      </c>
      <c r="G520" s="17">
        <f>IFERROR(__xludf.DUMMYFUNCTION("SPLIT(F:F, "" "")"),0.139390516730501)</f>
        <v>0.1393905167</v>
      </c>
      <c r="H520" s="4">
        <f>IFERROR(__xludf.DUMMYFUNCTION("""COMPUTED_VALUE"""),0.61949101383746)</f>
        <v>0.6194910138</v>
      </c>
      <c r="I520" s="15">
        <v>2384.0</v>
      </c>
      <c r="J520" s="4"/>
      <c r="K520" s="14" t="s">
        <v>1910</v>
      </c>
      <c r="L520" s="17">
        <f>IFERROR(__xludf.DUMMYFUNCTION("SPLIT(K:K, "" "")"),0.191324750926052)</f>
        <v>0.1913247509</v>
      </c>
      <c r="M520" s="4">
        <f>IFERROR(__xludf.DUMMYFUNCTION("""COMPUTED_VALUE"""),0.523728366565959)</f>
        <v>0.5237283666</v>
      </c>
      <c r="N520" s="15">
        <v>1752.0</v>
      </c>
      <c r="O520" s="4"/>
      <c r="P520" s="14" t="s">
        <v>1911</v>
      </c>
      <c r="Q520" s="17">
        <f>IFERROR(__xludf.DUMMYFUNCTION("SPLIT(P:P, "" "")"),0.17119371986385)</f>
        <v>0.1711937199</v>
      </c>
      <c r="R520" s="4">
        <f>IFERROR(__xludf.DUMMYFUNCTION("""COMPUTED_VALUE"""),0.425172065815728)</f>
        <v>0.4251720658</v>
      </c>
      <c r="S520" s="15">
        <v>2628.0</v>
      </c>
      <c r="T520" s="4"/>
      <c r="U520" s="4"/>
    </row>
    <row r="521">
      <c r="A521" s="14" t="s">
        <v>1912</v>
      </c>
      <c r="B521" s="4">
        <f>IFERROR(__xludf.DUMMYFUNCTION("SPLIT(A:A, "" "")"),0.18309715610754)</f>
        <v>0.1830971561</v>
      </c>
      <c r="C521" s="4">
        <f>IFERROR(__xludf.DUMMYFUNCTION("""COMPUTED_VALUE"""),0.710178882495946)</f>
        <v>0.7101788825</v>
      </c>
      <c r="D521" s="15">
        <v>1196.0</v>
      </c>
      <c r="E521" s="4"/>
      <c r="F521" s="14" t="s">
        <v>1913</v>
      </c>
      <c r="G521" s="17">
        <f>IFERROR(__xludf.DUMMYFUNCTION("SPLIT(F:F, "" "")"),0.135680514052012)</f>
        <v>0.1356805141</v>
      </c>
      <c r="H521" s="4">
        <f>IFERROR(__xludf.DUMMYFUNCTION("""COMPUTED_VALUE"""),0.606391129757339)</f>
        <v>0.6063911298</v>
      </c>
      <c r="I521" s="15">
        <v>2392.0</v>
      </c>
      <c r="J521" s="4"/>
      <c r="K521" s="14" t="s">
        <v>1914</v>
      </c>
      <c r="L521" s="17">
        <f>IFERROR(__xludf.DUMMYFUNCTION("SPLIT(K:K, "" "")"),0.191460902504543)</f>
        <v>0.1914609025</v>
      </c>
      <c r="M521" s="4">
        <f>IFERROR(__xludf.DUMMYFUNCTION("""COMPUTED_VALUE"""),0.526324077188058)</f>
        <v>0.5263240772</v>
      </c>
      <c r="N521" s="15">
        <v>1760.0</v>
      </c>
      <c r="O521" s="4"/>
      <c r="P521" s="14" t="s">
        <v>1915</v>
      </c>
      <c r="Q521" s="17">
        <f>IFERROR(__xludf.DUMMYFUNCTION("SPLIT(P:P, "" "")"),0.163775777070336)</f>
        <v>0.1637757771</v>
      </c>
      <c r="R521" s="4">
        <f>IFERROR(__xludf.DUMMYFUNCTION("""COMPUTED_VALUE"""),0.423133488588337)</f>
        <v>0.4231334886</v>
      </c>
      <c r="S521" s="15">
        <v>2640.0</v>
      </c>
      <c r="T521" s="4"/>
      <c r="U521" s="4"/>
    </row>
    <row r="522">
      <c r="A522" s="14" t="s">
        <v>1916</v>
      </c>
      <c r="B522" s="4">
        <f>IFERROR(__xludf.DUMMYFUNCTION("SPLIT(A:A, "" "")"),0.174088795586887)</f>
        <v>0.1740887956</v>
      </c>
      <c r="C522" s="4">
        <f>IFERROR(__xludf.DUMMYFUNCTION("""COMPUTED_VALUE"""),0.706134356194628)</f>
        <v>0.7061343562</v>
      </c>
      <c r="D522" s="15">
        <v>1200.0</v>
      </c>
      <c r="E522" s="4"/>
      <c r="F522" s="14" t="s">
        <v>1917</v>
      </c>
      <c r="G522" s="17">
        <f>IFERROR(__xludf.DUMMYFUNCTION("SPLIT(F:F, "" "")"),0.135401480997699)</f>
        <v>0.135401481</v>
      </c>
      <c r="H522" s="4">
        <f>IFERROR(__xludf.DUMMYFUNCTION("""COMPUTED_VALUE"""),0.611255049201861)</f>
        <v>0.6112550492</v>
      </c>
      <c r="I522" s="15">
        <v>2400.0</v>
      </c>
      <c r="J522" s="4"/>
      <c r="K522" s="14" t="s">
        <v>1918</v>
      </c>
      <c r="L522" s="17">
        <f>IFERROR(__xludf.DUMMYFUNCTION("SPLIT(K:K, "" "")"),0.190397341908212)</f>
        <v>0.1903973419</v>
      </c>
      <c r="M522" s="4">
        <f>IFERROR(__xludf.DUMMYFUNCTION("""COMPUTED_VALUE"""),0.532107259501799)</f>
        <v>0.5321072595</v>
      </c>
      <c r="N522" s="15">
        <v>1768.0</v>
      </c>
      <c r="O522" s="4"/>
      <c r="P522" s="14" t="s">
        <v>1919</v>
      </c>
      <c r="Q522" s="17">
        <f>IFERROR(__xludf.DUMMYFUNCTION("SPLIT(P:P, "" "")"),0.170605565038018)</f>
        <v>0.170605565</v>
      </c>
      <c r="R522" s="4">
        <f>IFERROR(__xludf.DUMMYFUNCTION("""COMPUTED_VALUE"""),0.427215661158023)</f>
        <v>0.4272156612</v>
      </c>
      <c r="S522" s="15">
        <v>2652.0</v>
      </c>
      <c r="T522" s="4"/>
      <c r="U522" s="4"/>
    </row>
    <row r="523">
      <c r="A523" s="14" t="s">
        <v>1920</v>
      </c>
      <c r="B523" s="4">
        <f>IFERROR(__xludf.DUMMYFUNCTION("SPLIT(A:A, "" "")"),0.176119735951155)</f>
        <v>0.176119736</v>
      </c>
      <c r="C523" s="4">
        <f>IFERROR(__xludf.DUMMYFUNCTION("""COMPUTED_VALUE"""),0.708275616495659)</f>
        <v>0.7082756165</v>
      </c>
      <c r="D523" s="15">
        <v>1204.0</v>
      </c>
      <c r="E523" s="4"/>
      <c r="F523" s="14" t="s">
        <v>1921</v>
      </c>
      <c r="G523" s="17">
        <f>IFERROR(__xludf.DUMMYFUNCTION("SPLIT(F:F, "" "")"),0.138293147044772)</f>
        <v>0.138293147</v>
      </c>
      <c r="H523" s="4">
        <f>IFERROR(__xludf.DUMMYFUNCTION("""COMPUTED_VALUE"""),0.608936050683544)</f>
        <v>0.6089360507</v>
      </c>
      <c r="I523" s="15">
        <v>2408.0</v>
      </c>
      <c r="J523" s="4"/>
      <c r="K523" s="14" t="s">
        <v>1922</v>
      </c>
      <c r="L523" s="17">
        <f>IFERROR(__xludf.DUMMYFUNCTION("SPLIT(K:K, "" "")"),0.196661554546267)</f>
        <v>0.1966615545</v>
      </c>
      <c r="M523" s="4">
        <f>IFERROR(__xludf.DUMMYFUNCTION("""COMPUTED_VALUE"""),0.5416848218194)</f>
        <v>0.5416848218</v>
      </c>
      <c r="N523" s="15">
        <v>1776.0</v>
      </c>
      <c r="O523" s="4"/>
      <c r="P523" s="14" t="s">
        <v>1923</v>
      </c>
      <c r="Q523" s="17">
        <f>IFERROR(__xludf.DUMMYFUNCTION("SPLIT(P:P, "" "")"),0.163979415192043)</f>
        <v>0.1639794152</v>
      </c>
      <c r="R523" s="4">
        <f>IFERROR(__xludf.DUMMYFUNCTION("""COMPUTED_VALUE"""),0.425897429626613)</f>
        <v>0.4258974296</v>
      </c>
      <c r="S523" s="15">
        <v>2664.0</v>
      </c>
      <c r="T523" s="4"/>
      <c r="U523" s="4"/>
    </row>
    <row r="524">
      <c r="A524" s="14" t="s">
        <v>1924</v>
      </c>
      <c r="B524" s="4">
        <f>IFERROR(__xludf.DUMMYFUNCTION("SPLIT(A:A, "" "")"),0.175901634301105)</f>
        <v>0.1759016343</v>
      </c>
      <c r="C524" s="4">
        <f>IFERROR(__xludf.DUMMYFUNCTION("""COMPUTED_VALUE"""),0.714962102953246)</f>
        <v>0.714962103</v>
      </c>
      <c r="D524" s="15">
        <v>1208.0</v>
      </c>
      <c r="E524" s="4"/>
      <c r="F524" s="14" t="s">
        <v>1925</v>
      </c>
      <c r="G524" s="17">
        <f>IFERROR(__xludf.DUMMYFUNCTION("SPLIT(F:F, "" "")"),0.138013756876454)</f>
        <v>0.1380137569</v>
      </c>
      <c r="H524" s="4">
        <f>IFERROR(__xludf.DUMMYFUNCTION("""COMPUTED_VALUE"""),0.61284710367437)</f>
        <v>0.6128471037</v>
      </c>
      <c r="I524" s="15">
        <v>2416.0</v>
      </c>
      <c r="J524" s="4"/>
      <c r="K524" s="14" t="s">
        <v>1926</v>
      </c>
      <c r="L524" s="17">
        <f>IFERROR(__xludf.DUMMYFUNCTION("SPLIT(K:K, "" "")"),0.188111557282802)</f>
        <v>0.1881115573</v>
      </c>
      <c r="M524" s="4">
        <f>IFERROR(__xludf.DUMMYFUNCTION("""COMPUTED_VALUE"""),0.523431299299072)</f>
        <v>0.5234312993</v>
      </c>
      <c r="N524" s="15">
        <v>1784.0</v>
      </c>
      <c r="O524" s="4"/>
      <c r="P524" s="14" t="s">
        <v>1927</v>
      </c>
      <c r="Q524" s="17">
        <f>IFERROR(__xludf.DUMMYFUNCTION("SPLIT(P:P, "" "")"),0.171205866464068)</f>
        <v>0.1712058665</v>
      </c>
      <c r="R524" s="4">
        <f>IFERROR(__xludf.DUMMYFUNCTION("""COMPUTED_VALUE"""),0.432228206942886)</f>
        <v>0.4322282069</v>
      </c>
      <c r="S524" s="15">
        <v>2676.0</v>
      </c>
      <c r="T524" s="4"/>
      <c r="U524" s="4"/>
    </row>
    <row r="525">
      <c r="A525" s="14" t="s">
        <v>1928</v>
      </c>
      <c r="B525" s="4">
        <f>IFERROR(__xludf.DUMMYFUNCTION("SPLIT(A:A, "" "")"),0.178287279995753)</f>
        <v>0.17828728</v>
      </c>
      <c r="C525" s="4">
        <f>IFERROR(__xludf.DUMMYFUNCTION("""COMPUTED_VALUE"""),0.696326628726618)</f>
        <v>0.6963266287</v>
      </c>
      <c r="D525" s="15">
        <v>1212.0</v>
      </c>
      <c r="E525" s="4"/>
      <c r="F525" s="14" t="s">
        <v>1929</v>
      </c>
      <c r="G525" s="17">
        <f>IFERROR(__xludf.DUMMYFUNCTION("SPLIT(F:F, "" "")"),0.136554845496999)</f>
        <v>0.1365548455</v>
      </c>
      <c r="H525" s="4">
        <f>IFERROR(__xludf.DUMMYFUNCTION("""COMPUTED_VALUE"""),0.610162856000605)</f>
        <v>0.610162856</v>
      </c>
      <c r="I525" s="15">
        <v>2424.0</v>
      </c>
      <c r="J525" s="4"/>
      <c r="K525" s="14" t="s">
        <v>1930</v>
      </c>
      <c r="L525" s="17">
        <f>IFERROR(__xludf.DUMMYFUNCTION("SPLIT(K:K, "" "")"),0.196286635523027)</f>
        <v>0.1962866355</v>
      </c>
      <c r="M525" s="4">
        <f>IFERROR(__xludf.DUMMYFUNCTION("""COMPUTED_VALUE"""),0.548259403428824)</f>
        <v>0.5482594034</v>
      </c>
      <c r="N525" s="15">
        <v>1792.0</v>
      </c>
      <c r="O525" s="4"/>
      <c r="P525" s="14" t="s">
        <v>1931</v>
      </c>
      <c r="Q525" s="17">
        <f>IFERROR(__xludf.DUMMYFUNCTION("SPLIT(P:P, "" "")"),0.163096360436991)</f>
        <v>0.1630963604</v>
      </c>
      <c r="R525" s="4">
        <f>IFERROR(__xludf.DUMMYFUNCTION("""COMPUTED_VALUE"""),0.41386068661148)</f>
        <v>0.4138606866</v>
      </c>
      <c r="S525" s="15">
        <v>2688.0</v>
      </c>
      <c r="T525" s="4"/>
      <c r="U525" s="4"/>
    </row>
    <row r="526">
      <c r="A526" s="14" t="s">
        <v>1932</v>
      </c>
      <c r="B526" s="4">
        <f>IFERROR(__xludf.DUMMYFUNCTION("SPLIT(A:A, "" "")"),0.175944918244891)</f>
        <v>0.1759449182</v>
      </c>
      <c r="C526" s="4">
        <f>IFERROR(__xludf.DUMMYFUNCTION("""COMPUTED_VALUE"""),0.697356567238697)</f>
        <v>0.6973565672</v>
      </c>
      <c r="D526" s="15">
        <v>1216.0</v>
      </c>
      <c r="E526" s="4"/>
      <c r="F526" s="14" t="s">
        <v>1933</v>
      </c>
      <c r="G526" s="17">
        <f>IFERROR(__xludf.DUMMYFUNCTION("SPLIT(F:F, "" "")"),0.133747500165362)</f>
        <v>0.1337475002</v>
      </c>
      <c r="H526" s="4">
        <f>IFERROR(__xludf.DUMMYFUNCTION("""COMPUTED_VALUE"""),0.614813863775913)</f>
        <v>0.6148138638</v>
      </c>
      <c r="I526" s="15">
        <v>2432.0</v>
      </c>
      <c r="J526" s="4"/>
      <c r="K526" s="14" t="s">
        <v>1934</v>
      </c>
      <c r="L526" s="17">
        <f>IFERROR(__xludf.DUMMYFUNCTION("SPLIT(K:K, "" "")"),0.188209777065903)</f>
        <v>0.1882097771</v>
      </c>
      <c r="M526" s="4">
        <f>IFERROR(__xludf.DUMMYFUNCTION("""COMPUTED_VALUE"""),0.521654990367975)</f>
        <v>0.5216549904</v>
      </c>
      <c r="N526" s="15">
        <v>1800.0</v>
      </c>
      <c r="O526" s="4"/>
      <c r="P526" s="14" t="s">
        <v>1935</v>
      </c>
      <c r="Q526" s="17">
        <f>IFERROR(__xludf.DUMMYFUNCTION("SPLIT(P:P, "" "")"),0.166281798738743)</f>
        <v>0.1662817987</v>
      </c>
      <c r="R526" s="4">
        <f>IFERROR(__xludf.DUMMYFUNCTION("""COMPUTED_VALUE"""),0.426318704945362)</f>
        <v>0.4263187049</v>
      </c>
      <c r="S526" s="15">
        <v>2700.0</v>
      </c>
      <c r="T526" s="4"/>
      <c r="U526" s="4"/>
    </row>
    <row r="527">
      <c r="A527" s="14" t="s">
        <v>1936</v>
      </c>
      <c r="B527" s="4">
        <f>IFERROR(__xludf.DUMMYFUNCTION("SPLIT(A:A, "" "")"),0.18207813791598)</f>
        <v>0.1820781379</v>
      </c>
      <c r="C527" s="4">
        <f>IFERROR(__xludf.DUMMYFUNCTION("""COMPUTED_VALUE"""),0.706412854824041)</f>
        <v>0.7064128548</v>
      </c>
      <c r="D527" s="15">
        <v>1220.0</v>
      </c>
      <c r="E527" s="4"/>
      <c r="F527" s="14" t="s">
        <v>1937</v>
      </c>
      <c r="G527" s="17">
        <f>IFERROR(__xludf.DUMMYFUNCTION("SPLIT(F:F, "" "")"),0.135237367867229)</f>
        <v>0.1352373679</v>
      </c>
      <c r="H527" s="4">
        <f>IFERROR(__xludf.DUMMYFUNCTION("""COMPUTED_VALUE"""),0.622171931027674)</f>
        <v>0.622171931</v>
      </c>
      <c r="I527" s="15">
        <v>2440.0</v>
      </c>
      <c r="J527" s="4"/>
      <c r="K527" s="14" t="s">
        <v>1938</v>
      </c>
      <c r="L527" s="17">
        <f>IFERROR(__xludf.DUMMYFUNCTION("SPLIT(K:K, "" "")"),0.203890306615175)</f>
        <v>0.2038903066</v>
      </c>
      <c r="M527" s="4">
        <f>IFERROR(__xludf.DUMMYFUNCTION("""COMPUTED_VALUE"""),0.533691078765935)</f>
        <v>0.5336910788</v>
      </c>
      <c r="N527" s="15">
        <v>1808.0</v>
      </c>
      <c r="O527" s="4"/>
      <c r="P527" s="14" t="s">
        <v>1939</v>
      </c>
      <c r="Q527" s="17">
        <f>IFERROR(__xludf.DUMMYFUNCTION("SPLIT(P:P, "" "")"),0.165845643801566)</f>
        <v>0.1658456438</v>
      </c>
      <c r="R527" s="4">
        <f>IFERROR(__xludf.DUMMYFUNCTION("""COMPUTED_VALUE"""),0.426518335066638)</f>
        <v>0.4265183351</v>
      </c>
      <c r="S527" s="15">
        <v>2712.0</v>
      </c>
      <c r="T527" s="4"/>
      <c r="U527" s="4"/>
    </row>
    <row r="528">
      <c r="A528" s="14" t="s">
        <v>1940</v>
      </c>
      <c r="B528" s="4">
        <f>IFERROR(__xludf.DUMMYFUNCTION("SPLIT(A:A, "" "")"),0.173796959393778)</f>
        <v>0.1737969594</v>
      </c>
      <c r="C528" s="4">
        <f>IFERROR(__xludf.DUMMYFUNCTION("""COMPUTED_VALUE"""),0.705252948960038)</f>
        <v>0.705252949</v>
      </c>
      <c r="D528" s="15">
        <v>1224.0</v>
      </c>
      <c r="E528" s="4"/>
      <c r="F528" s="14" t="s">
        <v>1941</v>
      </c>
      <c r="G528" s="17">
        <f>IFERROR(__xludf.DUMMYFUNCTION("SPLIT(F:F, "" "")"),0.130849704228061)</f>
        <v>0.1308497042</v>
      </c>
      <c r="H528" s="4">
        <f>IFERROR(__xludf.DUMMYFUNCTION("""COMPUTED_VALUE"""),0.606580495710195)</f>
        <v>0.6065804957</v>
      </c>
      <c r="I528" s="15">
        <v>2448.0</v>
      </c>
      <c r="J528" s="4"/>
      <c r="K528" s="14" t="s">
        <v>1942</v>
      </c>
      <c r="L528" s="17">
        <f>IFERROR(__xludf.DUMMYFUNCTION("SPLIT(K:K, "" "")"),0.184252287047548)</f>
        <v>0.184252287</v>
      </c>
      <c r="M528" s="4">
        <f>IFERROR(__xludf.DUMMYFUNCTION("""COMPUTED_VALUE"""),0.533250143501292)</f>
        <v>0.5332501435</v>
      </c>
      <c r="N528" s="15">
        <v>1816.0</v>
      </c>
      <c r="O528" s="4"/>
      <c r="P528" s="14" t="s">
        <v>1943</v>
      </c>
      <c r="Q528" s="17">
        <f>IFERROR(__xludf.DUMMYFUNCTION("SPLIT(P:P, "" "")"),0.161666301603447)</f>
        <v>0.1616663016</v>
      </c>
      <c r="R528" s="4">
        <f>IFERROR(__xludf.DUMMYFUNCTION("""COMPUTED_VALUE"""),0.416538337785079)</f>
        <v>0.4165383378</v>
      </c>
      <c r="S528" s="15">
        <v>2724.0</v>
      </c>
      <c r="T528" s="4"/>
      <c r="U528" s="4"/>
    </row>
    <row r="529">
      <c r="A529" s="14" t="s">
        <v>1944</v>
      </c>
      <c r="B529" s="4">
        <f>IFERROR(__xludf.DUMMYFUNCTION("SPLIT(A:A, "" "")"),0.178307896205165)</f>
        <v>0.1783078962</v>
      </c>
      <c r="C529" s="4">
        <f>IFERROR(__xludf.DUMMYFUNCTION("""COMPUTED_VALUE"""),0.699884094186446)</f>
        <v>0.6998840942</v>
      </c>
      <c r="D529" s="15">
        <v>1228.0</v>
      </c>
      <c r="E529" s="4"/>
      <c r="F529" s="14" t="s">
        <v>1945</v>
      </c>
      <c r="G529" s="17">
        <f>IFERROR(__xludf.DUMMYFUNCTION("SPLIT(F:F, "" "")"),0.136567872300352)</f>
        <v>0.1365678723</v>
      </c>
      <c r="H529" s="4">
        <f>IFERROR(__xludf.DUMMYFUNCTION("""COMPUTED_VALUE"""),0.615129209507913)</f>
        <v>0.6151292095</v>
      </c>
      <c r="I529" s="15">
        <v>2456.0</v>
      </c>
      <c r="J529" s="4"/>
      <c r="K529" s="14" t="s">
        <v>1946</v>
      </c>
      <c r="L529" s="17">
        <f>IFERROR(__xludf.DUMMYFUNCTION("SPLIT(K:K, "" "")"),0.186840236827304)</f>
        <v>0.1868402368</v>
      </c>
      <c r="M529" s="4">
        <f>IFERROR(__xludf.DUMMYFUNCTION("""COMPUTED_VALUE"""),0.530194826298117)</f>
        <v>0.5301948263</v>
      </c>
      <c r="N529" s="15">
        <v>1824.0</v>
      </c>
      <c r="O529" s="4"/>
      <c r="P529" s="14" t="s">
        <v>1947</v>
      </c>
      <c r="Q529" s="17">
        <f>IFERROR(__xludf.DUMMYFUNCTION("SPLIT(P:P, "" "")"),0.16071907985924)</f>
        <v>0.1607190799</v>
      </c>
      <c r="R529" s="4">
        <f>IFERROR(__xludf.DUMMYFUNCTION("""COMPUTED_VALUE"""),0.417669586509653)</f>
        <v>0.4176695865</v>
      </c>
      <c r="S529" s="15">
        <v>2736.0</v>
      </c>
      <c r="T529" s="4"/>
      <c r="U529" s="4"/>
    </row>
    <row r="530">
      <c r="A530" s="14" t="s">
        <v>1948</v>
      </c>
      <c r="B530" s="4">
        <f>IFERROR(__xludf.DUMMYFUNCTION("SPLIT(A:A, "" "")"),0.174774828509005)</f>
        <v>0.1747748285</v>
      </c>
      <c r="C530" s="4">
        <f>IFERROR(__xludf.DUMMYFUNCTION("""COMPUTED_VALUE"""),0.696265064343542)</f>
        <v>0.6962650643</v>
      </c>
      <c r="D530" s="15">
        <v>1232.0</v>
      </c>
      <c r="E530" s="4"/>
      <c r="F530" s="14" t="s">
        <v>1949</v>
      </c>
      <c r="G530" s="17">
        <f>IFERROR(__xludf.DUMMYFUNCTION("SPLIT(F:F, "" "")"),0.137694237737796)</f>
        <v>0.1376942377</v>
      </c>
      <c r="H530" s="4">
        <f>IFERROR(__xludf.DUMMYFUNCTION("""COMPUTED_VALUE"""),0.610764893369905)</f>
        <v>0.6107648934</v>
      </c>
      <c r="I530" s="15">
        <v>2464.0</v>
      </c>
      <c r="J530" s="4"/>
      <c r="K530" s="14" t="s">
        <v>1950</v>
      </c>
      <c r="L530" s="17">
        <f>IFERROR(__xludf.DUMMYFUNCTION("SPLIT(K:K, "" "")"),0.189538912027353)</f>
        <v>0.189538912</v>
      </c>
      <c r="M530" s="4">
        <f>IFERROR(__xludf.DUMMYFUNCTION("""COMPUTED_VALUE"""),0.520809610817185)</f>
        <v>0.5208096108</v>
      </c>
      <c r="N530" s="15">
        <v>1832.0</v>
      </c>
      <c r="O530" s="4"/>
      <c r="P530" s="14" t="s">
        <v>1951</v>
      </c>
      <c r="Q530" s="17">
        <f>IFERROR(__xludf.DUMMYFUNCTION("SPLIT(P:P, "" "")"),0.162480767351669)</f>
        <v>0.1624807674</v>
      </c>
      <c r="R530" s="4">
        <f>IFERROR(__xludf.DUMMYFUNCTION("""COMPUTED_VALUE"""),0.427998239595734)</f>
        <v>0.4279982396</v>
      </c>
      <c r="S530" s="15">
        <v>2748.0</v>
      </c>
      <c r="T530" s="4"/>
      <c r="U530" s="4"/>
    </row>
    <row r="531">
      <c r="A531" s="14" t="s">
        <v>1952</v>
      </c>
      <c r="B531" s="4">
        <f>IFERROR(__xludf.DUMMYFUNCTION("SPLIT(A:A, "" "")"),0.174743662958131)</f>
        <v>0.174743663</v>
      </c>
      <c r="C531" s="4">
        <f>IFERROR(__xludf.DUMMYFUNCTION("""COMPUTED_VALUE"""),0.702241042488916)</f>
        <v>0.7022410425</v>
      </c>
      <c r="D531" s="15">
        <v>1236.0</v>
      </c>
      <c r="E531" s="4"/>
      <c r="F531" s="14" t="s">
        <v>1953</v>
      </c>
      <c r="G531" s="17">
        <f>IFERROR(__xludf.DUMMYFUNCTION("SPLIT(F:F, "" "")"),0.136937332948184)</f>
        <v>0.1369373329</v>
      </c>
      <c r="H531" s="4">
        <f>IFERROR(__xludf.DUMMYFUNCTION("""COMPUTED_VALUE"""),0.614070449648466)</f>
        <v>0.6140704496</v>
      </c>
      <c r="I531" s="15">
        <v>2472.0</v>
      </c>
      <c r="J531" s="4"/>
      <c r="K531" s="14" t="s">
        <v>1954</v>
      </c>
      <c r="L531" s="17">
        <f>IFERROR(__xludf.DUMMYFUNCTION("SPLIT(K:K, "" "")"),0.184650051346852)</f>
        <v>0.1846500513</v>
      </c>
      <c r="M531" s="4">
        <f>IFERROR(__xludf.DUMMYFUNCTION("""COMPUTED_VALUE"""),0.524957800037684)</f>
        <v>0.5249578</v>
      </c>
      <c r="N531" s="15">
        <v>1840.0</v>
      </c>
      <c r="O531" s="4"/>
      <c r="P531" s="14" t="s">
        <v>1955</v>
      </c>
      <c r="Q531" s="17">
        <f>IFERROR(__xludf.DUMMYFUNCTION("SPLIT(P:P, "" "")"),0.163870387618295)</f>
        <v>0.1638703876</v>
      </c>
      <c r="R531" s="4">
        <f>IFERROR(__xludf.DUMMYFUNCTION("""COMPUTED_VALUE"""),0.429011739115865)</f>
        <v>0.4290117391</v>
      </c>
      <c r="S531" s="15">
        <v>2760.0</v>
      </c>
      <c r="T531" s="4"/>
      <c r="U531" s="4"/>
    </row>
    <row r="532">
      <c r="A532" s="14" t="s">
        <v>1956</v>
      </c>
      <c r="B532" s="4">
        <f>IFERROR(__xludf.DUMMYFUNCTION("SPLIT(A:A, "" "")"),0.172735931570213)</f>
        <v>0.1727359316</v>
      </c>
      <c r="C532" s="4">
        <f>IFERROR(__xludf.DUMMYFUNCTION("""COMPUTED_VALUE"""),0.706112149466744)</f>
        <v>0.7061121495</v>
      </c>
      <c r="D532" s="15">
        <v>1240.0</v>
      </c>
      <c r="E532" s="4"/>
      <c r="F532" s="14" t="s">
        <v>1957</v>
      </c>
      <c r="G532" s="17">
        <f>IFERROR(__xludf.DUMMYFUNCTION("SPLIT(F:F, "" "")"),0.131049805676754)</f>
        <v>0.1310498057</v>
      </c>
      <c r="H532" s="4">
        <f>IFERROR(__xludf.DUMMYFUNCTION("""COMPUTED_VALUE"""),0.609172828641988)</f>
        <v>0.6091728286</v>
      </c>
      <c r="I532" s="15">
        <v>2480.0</v>
      </c>
      <c r="J532" s="4"/>
      <c r="K532" s="14" t="s">
        <v>1958</v>
      </c>
      <c r="L532" s="17">
        <f>IFERROR(__xludf.DUMMYFUNCTION("SPLIT(K:K, "" "")"),0.18315003640764)</f>
        <v>0.1831500364</v>
      </c>
      <c r="M532" s="4">
        <f>IFERROR(__xludf.DUMMYFUNCTION("""COMPUTED_VALUE"""),0.517728949476854)</f>
        <v>0.5177289495</v>
      </c>
      <c r="N532" s="15">
        <v>1848.0</v>
      </c>
      <c r="O532" s="4"/>
      <c r="P532" s="14" t="s">
        <v>1959</v>
      </c>
      <c r="Q532" s="17">
        <f>IFERROR(__xludf.DUMMYFUNCTION("SPLIT(P:P, "" "")"),0.165099031707228)</f>
        <v>0.1650990317</v>
      </c>
      <c r="R532" s="4">
        <f>IFERROR(__xludf.DUMMYFUNCTION("""COMPUTED_VALUE"""),0.432701760116052)</f>
        <v>0.4327017601</v>
      </c>
      <c r="S532" s="15">
        <v>2772.0</v>
      </c>
      <c r="T532" s="4"/>
      <c r="U532" s="4"/>
    </row>
    <row r="533">
      <c r="A533" s="14" t="s">
        <v>1960</v>
      </c>
      <c r="B533" s="4">
        <f>IFERROR(__xludf.DUMMYFUNCTION("SPLIT(A:A, "" "")"),0.169864455855905)</f>
        <v>0.1698644559</v>
      </c>
      <c r="C533" s="4">
        <f>IFERROR(__xludf.DUMMYFUNCTION("""COMPUTED_VALUE"""),0.700286559062894)</f>
        <v>0.7002865591</v>
      </c>
      <c r="D533" s="15">
        <v>1244.0</v>
      </c>
      <c r="E533" s="4"/>
      <c r="F533" s="14" t="s">
        <v>1961</v>
      </c>
      <c r="G533" s="17">
        <f>IFERROR(__xludf.DUMMYFUNCTION("SPLIT(F:F, "" "")"),0.136295985145233)</f>
        <v>0.1362959851</v>
      </c>
      <c r="H533" s="4">
        <f>IFERROR(__xludf.DUMMYFUNCTION("""COMPUTED_VALUE"""),0.614116099340691)</f>
        <v>0.6141160993</v>
      </c>
      <c r="I533" s="15">
        <v>2488.0</v>
      </c>
      <c r="J533" s="4"/>
      <c r="K533" s="14" t="s">
        <v>1962</v>
      </c>
      <c r="L533" s="17">
        <f>IFERROR(__xludf.DUMMYFUNCTION("SPLIT(K:K, "" "")"),0.188463674096014)</f>
        <v>0.1884636741</v>
      </c>
      <c r="M533" s="4">
        <f>IFERROR(__xludf.DUMMYFUNCTION("""COMPUTED_VALUE"""),0.539790676767412)</f>
        <v>0.5397906768</v>
      </c>
      <c r="N533" s="15">
        <v>1856.0</v>
      </c>
      <c r="O533" s="4"/>
      <c r="P533" s="14" t="s">
        <v>1963</v>
      </c>
      <c r="Q533" s="17">
        <f>IFERROR(__xludf.DUMMYFUNCTION("SPLIT(P:P, "" "")"),0.164820589206544)</f>
        <v>0.1648205892</v>
      </c>
      <c r="R533" s="4">
        <f>IFERROR(__xludf.DUMMYFUNCTION("""COMPUTED_VALUE"""),0.423170323505984)</f>
        <v>0.4231703235</v>
      </c>
      <c r="S533" s="15">
        <v>2784.0</v>
      </c>
      <c r="T533" s="4"/>
      <c r="U533" s="4"/>
    </row>
    <row r="534">
      <c r="A534" s="14" t="s">
        <v>1964</v>
      </c>
      <c r="B534" s="4">
        <f>IFERROR(__xludf.DUMMYFUNCTION("SPLIT(A:A, "" "")"),0.170579255760365)</f>
        <v>0.1705792558</v>
      </c>
      <c r="C534" s="4">
        <f>IFERROR(__xludf.DUMMYFUNCTION("""COMPUTED_VALUE"""),0.70559018934824)</f>
        <v>0.7055901893</v>
      </c>
      <c r="D534" s="15">
        <v>1248.0</v>
      </c>
      <c r="E534" s="4"/>
      <c r="F534" s="14" t="s">
        <v>1965</v>
      </c>
      <c r="G534" s="17">
        <f>IFERROR(__xludf.DUMMYFUNCTION("SPLIT(F:F, "" "")"),0.13082285388199)</f>
        <v>0.1308228539</v>
      </c>
      <c r="H534" s="4">
        <f>IFERROR(__xludf.DUMMYFUNCTION("""COMPUTED_VALUE"""),0.609621825522111)</f>
        <v>0.6096218255</v>
      </c>
      <c r="I534" s="15">
        <v>2496.0</v>
      </c>
      <c r="J534" s="4"/>
      <c r="K534" s="14" t="s">
        <v>1966</v>
      </c>
      <c r="L534" s="17">
        <f>IFERROR(__xludf.DUMMYFUNCTION("SPLIT(K:K, "" "")"),0.183555071023479)</f>
        <v>0.183555071</v>
      </c>
      <c r="M534" s="4">
        <f>IFERROR(__xludf.DUMMYFUNCTION("""COMPUTED_VALUE"""),0.516838929874709)</f>
        <v>0.5168389299</v>
      </c>
      <c r="N534" s="15">
        <v>1864.0</v>
      </c>
      <c r="O534" s="4"/>
      <c r="P534" s="14" t="s">
        <v>1967</v>
      </c>
      <c r="Q534" s="17">
        <f>IFERROR(__xludf.DUMMYFUNCTION("SPLIT(P:P, "" "")"),0.162477271986899)</f>
        <v>0.162477272</v>
      </c>
      <c r="R534" s="4">
        <f>IFERROR(__xludf.DUMMYFUNCTION("""COMPUTED_VALUE"""),0.417471379600606)</f>
        <v>0.4174713796</v>
      </c>
      <c r="S534" s="15">
        <v>2796.0</v>
      </c>
      <c r="T534" s="4"/>
      <c r="U534" s="4"/>
    </row>
    <row r="535">
      <c r="A535" s="14" t="s">
        <v>1968</v>
      </c>
      <c r="B535" s="4">
        <f>IFERROR(__xludf.DUMMYFUNCTION("SPLIT(A:A, "" "")"),0.172733868242414)</f>
        <v>0.1727338682</v>
      </c>
      <c r="C535" s="4">
        <f>IFERROR(__xludf.DUMMYFUNCTION("""COMPUTED_VALUE"""),0.703324821413103)</f>
        <v>0.7033248214</v>
      </c>
      <c r="D535" s="15">
        <v>1252.0</v>
      </c>
      <c r="E535" s="4"/>
      <c r="F535" s="14" t="s">
        <v>1969</v>
      </c>
      <c r="G535" s="17">
        <f>IFERROR(__xludf.DUMMYFUNCTION("SPLIT(F:F, "" "")"),0.133204114031844)</f>
        <v>0.133204114</v>
      </c>
      <c r="H535" s="4">
        <f>IFERROR(__xludf.DUMMYFUNCTION("""COMPUTED_VALUE"""),0.622936961661095)</f>
        <v>0.6229369617</v>
      </c>
      <c r="I535" s="15">
        <v>2504.0</v>
      </c>
      <c r="J535" s="4"/>
      <c r="K535" s="14" t="s">
        <v>1970</v>
      </c>
      <c r="L535" s="17">
        <f>IFERROR(__xludf.DUMMYFUNCTION("SPLIT(K:K, "" "")"),0.183580938411331)</f>
        <v>0.1835809384</v>
      </c>
      <c r="M535" s="4">
        <f>IFERROR(__xludf.DUMMYFUNCTION("""COMPUTED_VALUE"""),0.521747982155634)</f>
        <v>0.5217479822</v>
      </c>
      <c r="N535" s="15">
        <v>1872.0</v>
      </c>
      <c r="O535" s="4"/>
      <c r="P535" s="14" t="s">
        <v>1971</v>
      </c>
      <c r="Q535" s="17">
        <f>IFERROR(__xludf.DUMMYFUNCTION("SPLIT(P:P, "" "")"),0.167990832361526)</f>
        <v>0.1679908324</v>
      </c>
      <c r="R535" s="4">
        <f>IFERROR(__xludf.DUMMYFUNCTION("""COMPUTED_VALUE"""),0.428715423942599)</f>
        <v>0.4287154239</v>
      </c>
      <c r="S535" s="15">
        <v>2808.0</v>
      </c>
      <c r="T535" s="4"/>
      <c r="U535" s="4"/>
    </row>
    <row r="536">
      <c r="A536" s="14" t="s">
        <v>1972</v>
      </c>
      <c r="B536" s="4">
        <f>IFERROR(__xludf.DUMMYFUNCTION("SPLIT(A:A, "" "")"),0.171849216235937)</f>
        <v>0.1718492162</v>
      </c>
      <c r="C536" s="4">
        <f>IFERROR(__xludf.DUMMYFUNCTION("""COMPUTED_VALUE"""),0.709469629076912)</f>
        <v>0.7094696291</v>
      </c>
      <c r="D536" s="15">
        <v>1256.0</v>
      </c>
      <c r="E536" s="4"/>
      <c r="F536" s="14" t="s">
        <v>1973</v>
      </c>
      <c r="G536" s="17">
        <f>IFERROR(__xludf.DUMMYFUNCTION("SPLIT(F:F, "" "")"),0.131303493114854)</f>
        <v>0.1313034931</v>
      </c>
      <c r="H536" s="4">
        <f>IFERROR(__xludf.DUMMYFUNCTION("""COMPUTED_VALUE"""),0.610255883060343)</f>
        <v>0.6102558831</v>
      </c>
      <c r="I536" s="15">
        <v>2512.0</v>
      </c>
      <c r="J536" s="4"/>
      <c r="K536" s="14" t="s">
        <v>1974</v>
      </c>
      <c r="L536" s="17">
        <f>IFERROR(__xludf.DUMMYFUNCTION("SPLIT(K:K, "" "")"),0.184650212043275)</f>
        <v>0.184650212</v>
      </c>
      <c r="M536" s="4">
        <f>IFERROR(__xludf.DUMMYFUNCTION("""COMPUTED_VALUE"""),0.533482734446223)</f>
        <v>0.5334827344</v>
      </c>
      <c r="N536" s="15">
        <v>1880.0</v>
      </c>
      <c r="O536" s="4"/>
      <c r="P536" s="14" t="s">
        <v>1975</v>
      </c>
      <c r="Q536" s="17">
        <f>IFERROR(__xludf.DUMMYFUNCTION("SPLIT(P:P, "" "")"),0.15918903793697)</f>
        <v>0.1591890379</v>
      </c>
      <c r="R536" s="4">
        <f>IFERROR(__xludf.DUMMYFUNCTION("""COMPUTED_VALUE"""),0.416024460255681)</f>
        <v>0.4160244603</v>
      </c>
      <c r="S536" s="15">
        <v>2820.0</v>
      </c>
      <c r="T536" s="4"/>
      <c r="U536" s="4"/>
    </row>
    <row r="537">
      <c r="A537" s="14" t="s">
        <v>1976</v>
      </c>
      <c r="B537" s="4">
        <f>IFERROR(__xludf.DUMMYFUNCTION("SPLIT(A:A, "" "")"),0.168437119083561)</f>
        <v>0.1684371191</v>
      </c>
      <c r="C537" s="4">
        <f>IFERROR(__xludf.DUMMYFUNCTION("""COMPUTED_VALUE"""),0.696952568767977)</f>
        <v>0.6969525688</v>
      </c>
      <c r="D537" s="15">
        <v>1260.0</v>
      </c>
      <c r="E537" s="4"/>
      <c r="F537" s="14" t="s">
        <v>1977</v>
      </c>
      <c r="G537" s="17">
        <f>IFERROR(__xludf.DUMMYFUNCTION("SPLIT(F:F, "" "")"),0.13219484099367)</f>
        <v>0.132194841</v>
      </c>
      <c r="H537" s="4">
        <f>IFERROR(__xludf.DUMMYFUNCTION("""COMPUTED_VALUE"""),0.618973518960365)</f>
        <v>0.618973519</v>
      </c>
      <c r="I537" s="15">
        <v>2520.0</v>
      </c>
      <c r="J537" s="4"/>
      <c r="K537" s="14" t="s">
        <v>1978</v>
      </c>
      <c r="L537" s="17">
        <f>IFERROR(__xludf.DUMMYFUNCTION("SPLIT(K:K, "" "")"),0.183539546037793)</f>
        <v>0.183539546</v>
      </c>
      <c r="M537" s="4">
        <f>IFERROR(__xludf.DUMMYFUNCTION("""COMPUTED_VALUE"""),0.523771804352659)</f>
        <v>0.5237718044</v>
      </c>
      <c r="N537" s="15">
        <v>1888.0</v>
      </c>
      <c r="O537" s="4"/>
      <c r="P537" s="14" t="s">
        <v>1979</v>
      </c>
      <c r="Q537" s="17">
        <f>IFERROR(__xludf.DUMMYFUNCTION("SPLIT(P:P, "" "")"),0.161481290901479)</f>
        <v>0.1614812909</v>
      </c>
      <c r="R537" s="4">
        <f>IFERROR(__xludf.DUMMYFUNCTION("""COMPUTED_VALUE"""),0.42486220772953)</f>
        <v>0.4248622077</v>
      </c>
      <c r="S537" s="15">
        <v>2832.0</v>
      </c>
      <c r="T537" s="4"/>
      <c r="U537" s="4"/>
    </row>
    <row r="538">
      <c r="A538" s="14" t="s">
        <v>1980</v>
      </c>
      <c r="B538" s="4">
        <f>IFERROR(__xludf.DUMMYFUNCTION("SPLIT(A:A, "" "")"),0.174520562005869)</f>
        <v>0.174520562</v>
      </c>
      <c r="C538" s="4">
        <f>IFERROR(__xludf.DUMMYFUNCTION("""COMPUTED_VALUE"""),0.70053300553693)</f>
        <v>0.7005330055</v>
      </c>
      <c r="D538" s="15">
        <v>1264.0</v>
      </c>
      <c r="E538" s="4"/>
      <c r="F538" s="14" t="s">
        <v>1981</v>
      </c>
      <c r="G538" s="17">
        <f>IFERROR(__xludf.DUMMYFUNCTION("SPLIT(F:F, "" "")"),0.138852595750831)</f>
        <v>0.1388525958</v>
      </c>
      <c r="H538" s="4">
        <f>IFERROR(__xludf.DUMMYFUNCTION("""COMPUTED_VALUE"""),0.613052298435992)</f>
        <v>0.6130522984</v>
      </c>
      <c r="I538" s="15">
        <v>2528.0</v>
      </c>
      <c r="J538" s="4"/>
      <c r="K538" s="14" t="s">
        <v>1982</v>
      </c>
      <c r="L538" s="17">
        <f>IFERROR(__xludf.DUMMYFUNCTION("SPLIT(K:K, "" "")"),0.185343844877729)</f>
        <v>0.1853438449</v>
      </c>
      <c r="M538" s="4">
        <f>IFERROR(__xludf.DUMMYFUNCTION("""COMPUTED_VALUE"""),0.527012131251125)</f>
        <v>0.5270121313</v>
      </c>
      <c r="N538" s="15">
        <v>1896.0</v>
      </c>
      <c r="O538" s="4"/>
      <c r="P538" s="14" t="s">
        <v>1983</v>
      </c>
      <c r="Q538" s="17">
        <f>IFERROR(__xludf.DUMMYFUNCTION("SPLIT(P:P, "" "")"),0.160457081777441)</f>
        <v>0.1604570818</v>
      </c>
      <c r="R538" s="4">
        <f>IFERROR(__xludf.DUMMYFUNCTION("""COMPUTED_VALUE"""),0.416471947597362)</f>
        <v>0.4164719476</v>
      </c>
      <c r="S538" s="15">
        <v>2844.0</v>
      </c>
      <c r="T538" s="4"/>
      <c r="U538" s="4"/>
    </row>
    <row r="539">
      <c r="A539" s="14" t="s">
        <v>1984</v>
      </c>
      <c r="B539" s="4">
        <f>IFERROR(__xludf.DUMMYFUNCTION("SPLIT(A:A, "" "")"),0.168711997705119)</f>
        <v>0.1687119977</v>
      </c>
      <c r="C539" s="4">
        <f>IFERROR(__xludf.DUMMYFUNCTION("""COMPUTED_VALUE"""),0.692353105324952)</f>
        <v>0.6923531053</v>
      </c>
      <c r="D539" s="15">
        <v>1268.0</v>
      </c>
      <c r="E539" s="4"/>
      <c r="F539" s="14" t="s">
        <v>1985</v>
      </c>
      <c r="G539" s="17">
        <f>IFERROR(__xludf.DUMMYFUNCTION("SPLIT(F:F, "" "")"),0.131972361452254)</f>
        <v>0.1319723615</v>
      </c>
      <c r="H539" s="4">
        <f>IFERROR(__xludf.DUMMYFUNCTION("""COMPUTED_VALUE"""),0.621287240636142)</f>
        <v>0.6212872406</v>
      </c>
      <c r="I539" s="15">
        <v>2536.0</v>
      </c>
      <c r="J539" s="4"/>
      <c r="K539" s="14" t="s">
        <v>1986</v>
      </c>
      <c r="L539" s="17">
        <f>IFERROR(__xludf.DUMMYFUNCTION("SPLIT(K:K, "" "")"),0.179771696399391)</f>
        <v>0.1797716964</v>
      </c>
      <c r="M539" s="4">
        <f>IFERROR(__xludf.DUMMYFUNCTION("""COMPUTED_VALUE"""),0.520104869794652)</f>
        <v>0.5201048698</v>
      </c>
      <c r="N539" s="15">
        <v>1904.0</v>
      </c>
      <c r="O539" s="4"/>
      <c r="P539" s="14" t="s">
        <v>1987</v>
      </c>
      <c r="Q539" s="17">
        <f>IFERROR(__xludf.DUMMYFUNCTION("SPLIT(P:P, "" "")"),0.157512171160888)</f>
        <v>0.1575121712</v>
      </c>
      <c r="R539" s="4">
        <f>IFERROR(__xludf.DUMMYFUNCTION("""COMPUTED_VALUE"""),0.415976780814926)</f>
        <v>0.4159767808</v>
      </c>
      <c r="S539" s="15">
        <v>2856.0</v>
      </c>
      <c r="T539" s="4"/>
      <c r="U539" s="4"/>
    </row>
    <row r="540">
      <c r="A540" s="14" t="s">
        <v>1988</v>
      </c>
      <c r="B540" s="4">
        <f>IFERROR(__xludf.DUMMYFUNCTION("SPLIT(A:A, "" "")"),0.172233100881357)</f>
        <v>0.1722331009</v>
      </c>
      <c r="C540" s="4">
        <f>IFERROR(__xludf.DUMMYFUNCTION("""COMPUTED_VALUE"""),0.699014059303807)</f>
        <v>0.6990140593</v>
      </c>
      <c r="D540" s="15">
        <v>1272.0</v>
      </c>
      <c r="E540" s="4"/>
      <c r="F540" s="14" t="s">
        <v>1989</v>
      </c>
      <c r="G540" s="17">
        <f>IFERROR(__xludf.DUMMYFUNCTION("SPLIT(F:F, "" "")"),0.130122801775871)</f>
        <v>0.1301228018</v>
      </c>
      <c r="H540" s="4">
        <f>IFERROR(__xludf.DUMMYFUNCTION("""COMPUTED_VALUE"""),0.605193337431087)</f>
        <v>0.6051933374</v>
      </c>
      <c r="I540" s="15">
        <v>2544.0</v>
      </c>
      <c r="J540" s="4"/>
      <c r="K540" s="14" t="s">
        <v>1990</v>
      </c>
      <c r="L540" s="17">
        <f>IFERROR(__xludf.DUMMYFUNCTION("SPLIT(K:K, "" "")"),0.185961878191588)</f>
        <v>0.1859618782</v>
      </c>
      <c r="M540" s="4">
        <f>IFERROR(__xludf.DUMMYFUNCTION("""COMPUTED_VALUE"""),0.523976843824659)</f>
        <v>0.5239768438</v>
      </c>
      <c r="N540" s="15">
        <v>1912.0</v>
      </c>
      <c r="O540" s="4"/>
      <c r="P540" s="14" t="s">
        <v>1991</v>
      </c>
      <c r="Q540" s="17">
        <f>IFERROR(__xludf.DUMMYFUNCTION("SPLIT(P:P, "" "")"),0.157572777784121)</f>
        <v>0.1575727778</v>
      </c>
      <c r="R540" s="4">
        <f>IFERROR(__xludf.DUMMYFUNCTION("""COMPUTED_VALUE"""),0.417269875741997)</f>
        <v>0.4172698757</v>
      </c>
      <c r="S540" s="15">
        <v>2868.0</v>
      </c>
      <c r="T540" s="4"/>
      <c r="U540" s="4"/>
    </row>
    <row r="541">
      <c r="A541" s="14" t="s">
        <v>1992</v>
      </c>
      <c r="B541" s="4">
        <f>IFERROR(__xludf.DUMMYFUNCTION("SPLIT(A:A, "" "")"),0.173450735530533)</f>
        <v>0.1734507355</v>
      </c>
      <c r="C541" s="4">
        <f>IFERROR(__xludf.DUMMYFUNCTION("""COMPUTED_VALUE"""),0.712546022128593)</f>
        <v>0.7125460221</v>
      </c>
      <c r="D541" s="15">
        <v>1276.0</v>
      </c>
      <c r="E541" s="4"/>
      <c r="F541" s="14" t="s">
        <v>1993</v>
      </c>
      <c r="G541" s="17">
        <f>IFERROR(__xludf.DUMMYFUNCTION("SPLIT(F:F, "" "")"),0.131507973229136)</f>
        <v>0.1315079732</v>
      </c>
      <c r="H541" s="4">
        <f>IFERROR(__xludf.DUMMYFUNCTION("""COMPUTED_VALUE"""),0.618934749545623)</f>
        <v>0.6189347495</v>
      </c>
      <c r="I541" s="15">
        <v>2552.0</v>
      </c>
      <c r="J541" s="4"/>
      <c r="K541" s="14" t="s">
        <v>1994</v>
      </c>
      <c r="L541" s="17">
        <f>IFERROR(__xludf.DUMMYFUNCTION("SPLIT(K:K, "" "")"),0.178623794087683)</f>
        <v>0.1786237941</v>
      </c>
      <c r="M541" s="4">
        <f>IFERROR(__xludf.DUMMYFUNCTION("""COMPUTED_VALUE"""),0.526791284789203)</f>
        <v>0.5267912848</v>
      </c>
      <c r="N541" s="15">
        <v>1920.0</v>
      </c>
      <c r="O541" s="4"/>
      <c r="P541" s="14" t="s">
        <v>1995</v>
      </c>
      <c r="Q541" s="17">
        <f>IFERROR(__xludf.DUMMYFUNCTION("SPLIT(P:P, "" "")"),0.163752832775994)</f>
        <v>0.1637528328</v>
      </c>
      <c r="R541" s="4">
        <f>IFERROR(__xludf.DUMMYFUNCTION("""COMPUTED_VALUE"""),0.419313623285716)</f>
        <v>0.4193136233</v>
      </c>
      <c r="S541" s="15">
        <v>2880.0</v>
      </c>
      <c r="T541" s="4"/>
      <c r="U541" s="4"/>
    </row>
    <row r="542">
      <c r="A542" s="14" t="s">
        <v>1996</v>
      </c>
      <c r="B542" s="4">
        <f>IFERROR(__xludf.DUMMYFUNCTION("SPLIT(A:A, "" "")"),0.172528749201393)</f>
        <v>0.1725287492</v>
      </c>
      <c r="C542" s="4">
        <f>IFERROR(__xludf.DUMMYFUNCTION("""COMPUTED_VALUE"""),0.717038122313476)</f>
        <v>0.7170381223</v>
      </c>
      <c r="D542" s="15">
        <v>1280.0</v>
      </c>
      <c r="E542" s="4"/>
      <c r="F542" s="14" t="s">
        <v>1997</v>
      </c>
      <c r="G542" s="17">
        <f>IFERROR(__xludf.DUMMYFUNCTION("SPLIT(F:F, "" "")"),0.13140607127291)</f>
        <v>0.1314060713</v>
      </c>
      <c r="H542" s="4">
        <f>IFERROR(__xludf.DUMMYFUNCTION("""COMPUTED_VALUE"""),0.61487261423283)</f>
        <v>0.6148726142</v>
      </c>
      <c r="I542" s="15">
        <v>2560.0</v>
      </c>
      <c r="J542" s="4"/>
      <c r="K542" s="14" t="s">
        <v>1998</v>
      </c>
      <c r="L542" s="17">
        <f>IFERROR(__xludf.DUMMYFUNCTION("SPLIT(K:K, "" "")"),0.181127711363167)</f>
        <v>0.1811277114</v>
      </c>
      <c r="M542" s="4">
        <f>IFERROR(__xludf.DUMMYFUNCTION("""COMPUTED_VALUE"""),0.533147700475266)</f>
        <v>0.5331477005</v>
      </c>
      <c r="N542" s="15">
        <v>1928.0</v>
      </c>
      <c r="O542" s="4"/>
      <c r="P542" s="14" t="s">
        <v>1999</v>
      </c>
      <c r="Q542" s="17">
        <f>IFERROR(__xludf.DUMMYFUNCTION("SPLIT(P:P, "" "")"),0.156182190339371)</f>
        <v>0.1561821903</v>
      </c>
      <c r="R542" s="4">
        <f>IFERROR(__xludf.DUMMYFUNCTION("""COMPUTED_VALUE"""),0.408926298050738)</f>
        <v>0.4089262981</v>
      </c>
      <c r="S542" s="15">
        <v>2892.0</v>
      </c>
      <c r="T542" s="4"/>
      <c r="U542" s="4"/>
    </row>
    <row r="543">
      <c r="A543" s="14" t="s">
        <v>2000</v>
      </c>
      <c r="B543" s="4">
        <f>IFERROR(__xludf.DUMMYFUNCTION("SPLIT(A:A, "" "")"),0.167018235265205)</f>
        <v>0.1670182353</v>
      </c>
      <c r="C543" s="4">
        <f>IFERROR(__xludf.DUMMYFUNCTION("""COMPUTED_VALUE"""),0.693743654420374)</f>
        <v>0.6937436544</v>
      </c>
      <c r="D543" s="15">
        <v>1284.0</v>
      </c>
      <c r="E543" s="4"/>
      <c r="F543" s="14" t="s">
        <v>2001</v>
      </c>
      <c r="G543" s="17">
        <f>IFERROR(__xludf.DUMMYFUNCTION("SPLIT(F:F, "" "")"),0.129581940866676)</f>
        <v>0.1295819409</v>
      </c>
      <c r="H543" s="4">
        <f>IFERROR(__xludf.DUMMYFUNCTION("""COMPUTED_VALUE"""),0.613010648086044)</f>
        <v>0.6130106481</v>
      </c>
      <c r="I543" s="15">
        <v>2568.0</v>
      </c>
      <c r="J543" s="4"/>
      <c r="K543" s="14" t="s">
        <v>2002</v>
      </c>
      <c r="L543" s="17">
        <f>IFERROR(__xludf.DUMMYFUNCTION("SPLIT(K:K, "" "")"),0.183981597538667)</f>
        <v>0.1839815975</v>
      </c>
      <c r="M543" s="4">
        <f>IFERROR(__xludf.DUMMYFUNCTION("""COMPUTED_VALUE"""),0.520361386710001)</f>
        <v>0.5203613867</v>
      </c>
      <c r="N543" s="15">
        <v>1936.0</v>
      </c>
      <c r="O543" s="4"/>
      <c r="P543" s="14" t="s">
        <v>2003</v>
      </c>
      <c r="Q543" s="17">
        <f>IFERROR(__xludf.DUMMYFUNCTION("SPLIT(P:P, "" "")"),0.164507603393321)</f>
        <v>0.1645076034</v>
      </c>
      <c r="R543" s="4">
        <f>IFERROR(__xludf.DUMMYFUNCTION("""COMPUTED_VALUE"""),0.420048195570147)</f>
        <v>0.4200481956</v>
      </c>
      <c r="S543" s="15">
        <v>2904.0</v>
      </c>
      <c r="T543" s="4"/>
      <c r="U543" s="4"/>
    </row>
    <row r="544">
      <c r="A544" s="14" t="s">
        <v>2004</v>
      </c>
      <c r="B544" s="4">
        <f>IFERROR(__xludf.DUMMYFUNCTION("SPLIT(A:A, "" "")"),0.169547516195864)</f>
        <v>0.1695475162</v>
      </c>
      <c r="C544" s="4">
        <f>IFERROR(__xludf.DUMMYFUNCTION("""COMPUTED_VALUE"""),0.713556478881925)</f>
        <v>0.7135564789</v>
      </c>
      <c r="D544" s="15">
        <v>1288.0</v>
      </c>
      <c r="E544" s="4"/>
      <c r="F544" s="14" t="s">
        <v>2005</v>
      </c>
      <c r="G544" s="17">
        <f>IFERROR(__xludf.DUMMYFUNCTION("SPLIT(F:F, "" "")"),0.130637771497045)</f>
        <v>0.1306377715</v>
      </c>
      <c r="H544" s="4">
        <f>IFERROR(__xludf.DUMMYFUNCTION("""COMPUTED_VALUE"""),0.61652178526413)</f>
        <v>0.6165217853</v>
      </c>
      <c r="I544" s="15">
        <v>2576.0</v>
      </c>
      <c r="J544" s="4"/>
      <c r="K544" s="14" t="s">
        <v>2006</v>
      </c>
      <c r="L544" s="17">
        <f>IFERROR(__xludf.DUMMYFUNCTION("SPLIT(K:K, "" "")"),0.177484211533957)</f>
        <v>0.1774842115</v>
      </c>
      <c r="M544" s="4">
        <f>IFERROR(__xludf.DUMMYFUNCTION("""COMPUTED_VALUE"""),0.525788315364233)</f>
        <v>0.5257883154</v>
      </c>
      <c r="N544" s="15">
        <v>1944.0</v>
      </c>
      <c r="O544" s="4"/>
      <c r="P544" s="14" t="s">
        <v>2007</v>
      </c>
      <c r="Q544" s="17">
        <f>IFERROR(__xludf.DUMMYFUNCTION("SPLIT(P:P, "" "")"),0.158241823534892)</f>
        <v>0.1582418235</v>
      </c>
      <c r="R544" s="4">
        <f>IFERROR(__xludf.DUMMYFUNCTION("""COMPUTED_VALUE"""),0.417082222866419)</f>
        <v>0.4170822229</v>
      </c>
      <c r="S544" s="15">
        <v>2916.0</v>
      </c>
      <c r="T544" s="4"/>
      <c r="U544" s="4"/>
    </row>
    <row r="545">
      <c r="A545" s="14" t="s">
        <v>2008</v>
      </c>
      <c r="B545" s="4">
        <f>IFERROR(__xludf.DUMMYFUNCTION("SPLIT(A:A, "" "")"),0.176011463305352)</f>
        <v>0.1760114633</v>
      </c>
      <c r="C545" s="4">
        <f>IFERROR(__xludf.DUMMYFUNCTION("""COMPUTED_VALUE"""),0.696098401191568)</f>
        <v>0.6960984012</v>
      </c>
      <c r="D545" s="15">
        <v>1292.0</v>
      </c>
      <c r="E545" s="4"/>
      <c r="F545" s="14" t="s">
        <v>2009</v>
      </c>
      <c r="G545" s="17">
        <f>IFERROR(__xludf.DUMMYFUNCTION("SPLIT(F:F, "" "")"),0.128715528893175)</f>
        <v>0.1287155289</v>
      </c>
      <c r="H545" s="4">
        <f>IFERROR(__xludf.DUMMYFUNCTION("""COMPUTED_VALUE"""),0.603166039667911)</f>
        <v>0.6031660397</v>
      </c>
      <c r="I545" s="15">
        <v>2584.0</v>
      </c>
      <c r="J545" s="4"/>
      <c r="K545" s="14" t="s">
        <v>2010</v>
      </c>
      <c r="L545" s="17">
        <f>IFERROR(__xludf.DUMMYFUNCTION("SPLIT(K:K, "" "")"),0.17680968212905)</f>
        <v>0.1768096821</v>
      </c>
      <c r="M545" s="4">
        <f>IFERROR(__xludf.DUMMYFUNCTION("""COMPUTED_VALUE"""),0.517499655138474)</f>
        <v>0.5174996551</v>
      </c>
      <c r="N545" s="15">
        <v>1952.0</v>
      </c>
      <c r="O545" s="4"/>
      <c r="P545" s="14" t="s">
        <v>2011</v>
      </c>
      <c r="Q545" s="17">
        <f>IFERROR(__xludf.DUMMYFUNCTION("SPLIT(P:P, "" "")"),0.157576012706848)</f>
        <v>0.1575760127</v>
      </c>
      <c r="R545" s="4">
        <f>IFERROR(__xludf.DUMMYFUNCTION("""COMPUTED_VALUE"""),0.420020417546176)</f>
        <v>0.4200204175</v>
      </c>
      <c r="S545" s="15">
        <v>2928.0</v>
      </c>
      <c r="T545" s="4"/>
      <c r="U545" s="4"/>
    </row>
    <row r="546">
      <c r="A546" s="14" t="s">
        <v>2012</v>
      </c>
      <c r="B546" s="4">
        <f>IFERROR(__xludf.DUMMYFUNCTION("SPLIT(A:A, "" "")"),0.167939194404861)</f>
        <v>0.1679391944</v>
      </c>
      <c r="C546" s="4">
        <f>IFERROR(__xludf.DUMMYFUNCTION("""COMPUTED_VALUE"""),0.71088499736919)</f>
        <v>0.7108849974</v>
      </c>
      <c r="D546" s="15">
        <v>1296.0</v>
      </c>
      <c r="E546" s="4"/>
      <c r="F546" s="14" t="s">
        <v>2013</v>
      </c>
      <c r="G546" s="17">
        <f>IFERROR(__xludf.DUMMYFUNCTION("SPLIT(F:F, "" "")"),0.129338738955498)</f>
        <v>0.129338739</v>
      </c>
      <c r="H546" s="4">
        <f>IFERROR(__xludf.DUMMYFUNCTION("""COMPUTED_VALUE"""),0.610249885163254)</f>
        <v>0.6102498852</v>
      </c>
      <c r="I546" s="15">
        <v>2592.0</v>
      </c>
      <c r="J546" s="4"/>
      <c r="K546" s="14" t="s">
        <v>2014</v>
      </c>
      <c r="L546" s="17">
        <f>IFERROR(__xludf.DUMMYFUNCTION("SPLIT(K:K, "" "")"),0.187804496435161)</f>
        <v>0.1878044964</v>
      </c>
      <c r="M546" s="4">
        <f>IFERROR(__xludf.DUMMYFUNCTION("""COMPUTED_VALUE"""),0.535445131187967)</f>
        <v>0.5354451312</v>
      </c>
      <c r="N546" s="15">
        <v>1960.0</v>
      </c>
      <c r="O546" s="4"/>
      <c r="P546" s="14" t="s">
        <v>2015</v>
      </c>
      <c r="Q546" s="17">
        <f>IFERROR(__xludf.DUMMYFUNCTION("SPLIT(P:P, "" "")"),0.156527568543392)</f>
        <v>0.1565275685</v>
      </c>
      <c r="R546" s="4">
        <f>IFERROR(__xludf.DUMMYFUNCTION("""COMPUTED_VALUE"""),0.415064601008708)</f>
        <v>0.415064601</v>
      </c>
      <c r="S546" s="15">
        <v>2940.0</v>
      </c>
      <c r="T546" s="4"/>
      <c r="U546" s="4"/>
    </row>
    <row r="547">
      <c r="A547" s="14" t="s">
        <v>2016</v>
      </c>
      <c r="B547" s="4">
        <f>IFERROR(__xludf.DUMMYFUNCTION("SPLIT(A:A, "" "")"),0.168870481720316)</f>
        <v>0.1688704817</v>
      </c>
      <c r="C547" s="4">
        <f>IFERROR(__xludf.DUMMYFUNCTION("""COMPUTED_VALUE"""),0.698697220799808)</f>
        <v>0.6986972208</v>
      </c>
      <c r="D547" s="15">
        <v>1300.0</v>
      </c>
      <c r="E547" s="4"/>
      <c r="F547" s="14" t="s">
        <v>2017</v>
      </c>
      <c r="G547" s="17">
        <f>IFERROR(__xludf.DUMMYFUNCTION("SPLIT(F:F, "" "")"),0.128997395306353)</f>
        <v>0.1289973953</v>
      </c>
      <c r="H547" s="4">
        <f>IFERROR(__xludf.DUMMYFUNCTION("""COMPUTED_VALUE"""),0.619030389567899)</f>
        <v>0.6190303896</v>
      </c>
      <c r="I547" s="15">
        <v>2600.0</v>
      </c>
      <c r="J547" s="4"/>
      <c r="K547" s="14" t="s">
        <v>2018</v>
      </c>
      <c r="L547" s="17">
        <f>IFERROR(__xludf.DUMMYFUNCTION("SPLIT(K:K, "" "")"),0.181481249935532)</f>
        <v>0.1814812499</v>
      </c>
      <c r="M547" s="4">
        <f>IFERROR(__xludf.DUMMYFUNCTION("""COMPUTED_VALUE"""),0.512767992069014)</f>
        <v>0.5127679921</v>
      </c>
      <c r="N547" s="15">
        <v>1968.0</v>
      </c>
      <c r="O547" s="4"/>
      <c r="P547" s="14" t="s">
        <v>2019</v>
      </c>
      <c r="Q547" s="17">
        <f>IFERROR(__xludf.DUMMYFUNCTION("SPLIT(P:P, "" "")"),0.159245609331269)</f>
        <v>0.1592456093</v>
      </c>
      <c r="R547" s="4">
        <f>IFERROR(__xludf.DUMMYFUNCTION("""COMPUTED_VALUE"""),0.413556769884541)</f>
        <v>0.4135567699</v>
      </c>
      <c r="S547" s="15">
        <v>2952.0</v>
      </c>
      <c r="T547" s="4"/>
      <c r="U547" s="4"/>
    </row>
    <row r="548">
      <c r="A548" s="14" t="s">
        <v>2020</v>
      </c>
      <c r="B548" s="4">
        <f>IFERROR(__xludf.DUMMYFUNCTION("SPLIT(A:A, "" "")"),0.166272988150973)</f>
        <v>0.1662729882</v>
      </c>
      <c r="C548" s="4">
        <f>IFERROR(__xludf.DUMMYFUNCTION("""COMPUTED_VALUE"""),0.705461574078594)</f>
        <v>0.7054615741</v>
      </c>
      <c r="D548" s="15">
        <v>1304.0</v>
      </c>
      <c r="E548" s="4"/>
      <c r="F548" s="14" t="s">
        <v>2021</v>
      </c>
      <c r="G548" s="17">
        <f>IFERROR(__xludf.DUMMYFUNCTION("SPLIT(F:F, "" "")"),0.12810477718995)</f>
        <v>0.1281047772</v>
      </c>
      <c r="H548" s="4">
        <f>IFERROR(__xludf.DUMMYFUNCTION("""COMPUTED_VALUE"""),0.60096689648856)</f>
        <v>0.6009668965</v>
      </c>
      <c r="I548" s="15">
        <v>2608.0</v>
      </c>
      <c r="J548" s="4"/>
      <c r="K548" s="14" t="s">
        <v>2022</v>
      </c>
      <c r="L548" s="17">
        <f>IFERROR(__xludf.DUMMYFUNCTION("SPLIT(K:K, "" "")"),0.179082741060177)</f>
        <v>0.1790827411</v>
      </c>
      <c r="M548" s="4">
        <f>IFERROR(__xludf.DUMMYFUNCTION("""COMPUTED_VALUE"""),0.526962319704006)</f>
        <v>0.5269623197</v>
      </c>
      <c r="N548" s="15">
        <v>1976.0</v>
      </c>
      <c r="O548" s="4"/>
      <c r="P548" s="14" t="s">
        <v>2023</v>
      </c>
      <c r="Q548" s="17">
        <f>IFERROR(__xludf.DUMMYFUNCTION("SPLIT(P:P, "" "")"),0.157891897613197)</f>
        <v>0.1578918976</v>
      </c>
      <c r="R548" s="4">
        <f>IFERROR(__xludf.DUMMYFUNCTION("""COMPUTED_VALUE"""),0.420448962160036)</f>
        <v>0.4204489622</v>
      </c>
      <c r="S548" s="15">
        <v>2964.0</v>
      </c>
      <c r="T548" s="4"/>
      <c r="U548" s="4"/>
    </row>
    <row r="549">
      <c r="A549" s="14" t="s">
        <v>2024</v>
      </c>
      <c r="B549" s="4">
        <f>IFERROR(__xludf.DUMMYFUNCTION("SPLIT(A:A, "" "")"),0.169189274831765)</f>
        <v>0.1691892748</v>
      </c>
      <c r="C549" s="4">
        <f>IFERROR(__xludf.DUMMYFUNCTION("""COMPUTED_VALUE"""),0.717001360693221)</f>
        <v>0.7170013607</v>
      </c>
      <c r="D549" s="15">
        <v>1308.0</v>
      </c>
      <c r="E549" s="4"/>
      <c r="F549" s="14" t="s">
        <v>2025</v>
      </c>
      <c r="G549" s="17">
        <f>IFERROR(__xludf.DUMMYFUNCTION("SPLIT(F:F, "" "")"),0.126462285121318)</f>
        <v>0.1264622851</v>
      </c>
      <c r="H549" s="4">
        <f>IFERROR(__xludf.DUMMYFUNCTION("""COMPUTED_VALUE"""),0.607303757532613)</f>
        <v>0.6073037575</v>
      </c>
      <c r="I549" s="15">
        <v>2616.0</v>
      </c>
      <c r="J549" s="4"/>
      <c r="K549" s="14" t="s">
        <v>2026</v>
      </c>
      <c r="L549" s="17">
        <f>IFERROR(__xludf.DUMMYFUNCTION("SPLIT(K:K, "" "")"),0.17826367515381)</f>
        <v>0.1782636752</v>
      </c>
      <c r="M549" s="4">
        <f>IFERROR(__xludf.DUMMYFUNCTION("""COMPUTED_VALUE"""),0.527062228500685)</f>
        <v>0.5270622285</v>
      </c>
      <c r="N549" s="15">
        <v>1984.0</v>
      </c>
      <c r="O549" s="4"/>
      <c r="P549" s="14" t="s">
        <v>2027</v>
      </c>
      <c r="Q549" s="17">
        <f>IFERROR(__xludf.DUMMYFUNCTION("SPLIT(P:P, "" "")"),0.154324670009346)</f>
        <v>0.15432467</v>
      </c>
      <c r="R549" s="4">
        <f>IFERROR(__xludf.DUMMYFUNCTION("""COMPUTED_VALUE"""),0.412107941378422)</f>
        <v>0.4121079414</v>
      </c>
      <c r="S549" s="15">
        <v>2976.0</v>
      </c>
      <c r="T549" s="4"/>
      <c r="U549" s="4"/>
    </row>
    <row r="550">
      <c r="A550" s="14" t="s">
        <v>2028</v>
      </c>
      <c r="B550" s="4">
        <f>IFERROR(__xludf.DUMMYFUNCTION("SPLIT(A:A, "" "")"),0.16607078618864)</f>
        <v>0.1660707862</v>
      </c>
      <c r="C550" s="4">
        <f>IFERROR(__xludf.DUMMYFUNCTION("""COMPUTED_VALUE"""),0.705551564566056)</f>
        <v>0.7055515646</v>
      </c>
      <c r="D550" s="15">
        <v>1312.0</v>
      </c>
      <c r="E550" s="4"/>
      <c r="F550" s="14" t="s">
        <v>2029</v>
      </c>
      <c r="G550" s="17">
        <f>IFERROR(__xludf.DUMMYFUNCTION("SPLIT(F:F, "" "")"),0.12815148337796)</f>
        <v>0.1281514834</v>
      </c>
      <c r="H550" s="4">
        <f>IFERROR(__xludf.DUMMYFUNCTION("""COMPUTED_VALUE"""),0.609291470023179)</f>
        <v>0.60929147</v>
      </c>
      <c r="I550" s="15">
        <v>2624.0</v>
      </c>
      <c r="J550" s="4"/>
      <c r="K550" s="14" t="s">
        <v>2030</v>
      </c>
      <c r="L550" s="17">
        <f>IFERROR(__xludf.DUMMYFUNCTION("SPLIT(K:K, "" "")"),0.17548139010785)</f>
        <v>0.1754813901</v>
      </c>
      <c r="M550" s="4">
        <f>IFERROR(__xludf.DUMMYFUNCTION("""COMPUTED_VALUE"""),0.521704714333598)</f>
        <v>0.5217047143</v>
      </c>
      <c r="N550" s="15">
        <v>1992.0</v>
      </c>
      <c r="O550" s="4"/>
      <c r="P550" s="14" t="s">
        <v>2031</v>
      </c>
      <c r="Q550" s="17">
        <f>IFERROR(__xludf.DUMMYFUNCTION("SPLIT(P:P, "" "")"),0.155860457437611)</f>
        <v>0.1558604574</v>
      </c>
      <c r="R550" s="4">
        <f>IFERROR(__xludf.DUMMYFUNCTION("""COMPUTED_VALUE"""),0.413795114266977)</f>
        <v>0.4137951143</v>
      </c>
      <c r="S550" s="15">
        <v>2988.0</v>
      </c>
      <c r="T550" s="4"/>
      <c r="U550" s="4"/>
    </row>
    <row r="551">
      <c r="A551" s="14" t="s">
        <v>2032</v>
      </c>
      <c r="B551" s="4">
        <f>IFERROR(__xludf.DUMMYFUNCTION("SPLIT(A:A, "" "")"),0.165288701134765)</f>
        <v>0.1652887011</v>
      </c>
      <c r="C551" s="4">
        <f>IFERROR(__xludf.DUMMYFUNCTION("""COMPUTED_VALUE"""),0.708779759417079)</f>
        <v>0.7087797594</v>
      </c>
      <c r="D551" s="15">
        <v>1316.0</v>
      </c>
      <c r="E551" s="4"/>
      <c r="F551" s="14" t="s">
        <v>2033</v>
      </c>
      <c r="G551" s="17">
        <f>IFERROR(__xludf.DUMMYFUNCTION("SPLIT(F:F, "" "")"),0.130128323358861)</f>
        <v>0.1301283234</v>
      </c>
      <c r="H551" s="4">
        <f>IFERROR(__xludf.DUMMYFUNCTION("""COMPUTED_VALUE"""),0.617986169102423)</f>
        <v>0.6179861691</v>
      </c>
      <c r="I551" s="15">
        <v>2632.0</v>
      </c>
      <c r="J551" s="4"/>
      <c r="K551" s="14" t="s">
        <v>2034</v>
      </c>
      <c r="L551" s="17">
        <f>IFERROR(__xludf.DUMMYFUNCTION("SPLIT(K:K, "" "")"),0.174688264424136)</f>
        <v>0.1746882644</v>
      </c>
      <c r="M551" s="4">
        <f>IFERROR(__xludf.DUMMYFUNCTION("""COMPUTED_VALUE"""),0.526446675992744)</f>
        <v>0.526446676</v>
      </c>
      <c r="N551" s="15">
        <v>2000.0</v>
      </c>
      <c r="O551" s="4"/>
      <c r="P551" s="14" t="s">
        <v>2035</v>
      </c>
      <c r="Q551" s="17">
        <f>IFERROR(__xludf.DUMMYFUNCTION("SPLIT(P:P, "" "")"),0.158121099471266)</f>
        <v>0.1581210995</v>
      </c>
      <c r="R551" s="4">
        <f>IFERROR(__xludf.DUMMYFUNCTION("""COMPUTED_VALUE"""),0.416946825465386)</f>
        <v>0.4169468255</v>
      </c>
      <c r="S551" s="15">
        <v>3000.0</v>
      </c>
      <c r="T551" s="4"/>
      <c r="U551" s="4"/>
    </row>
    <row r="552">
      <c r="A552" s="14" t="s">
        <v>2036</v>
      </c>
      <c r="B552" s="4">
        <f>IFERROR(__xludf.DUMMYFUNCTION("SPLIT(A:A, "" "")"),0.16962270112568)</f>
        <v>0.1696227011</v>
      </c>
      <c r="C552" s="4">
        <f>IFERROR(__xludf.DUMMYFUNCTION("""COMPUTED_VALUE"""),0.721314746898451)</f>
        <v>0.7213147469</v>
      </c>
      <c r="D552" s="15">
        <v>1320.0</v>
      </c>
      <c r="E552" s="4"/>
      <c r="F552" s="14" t="s">
        <v>2037</v>
      </c>
      <c r="G552" s="17">
        <f>IFERROR(__xludf.DUMMYFUNCTION("SPLIT(F:F, "" "")"),0.126450667403616)</f>
        <v>0.1264506674</v>
      </c>
      <c r="H552" s="4">
        <f>IFERROR(__xludf.DUMMYFUNCTION("""COMPUTED_VALUE"""),0.613345073895151)</f>
        <v>0.6133450739</v>
      </c>
      <c r="I552" s="15">
        <v>2640.0</v>
      </c>
      <c r="J552" s="4"/>
      <c r="K552" s="14" t="s">
        <v>2038</v>
      </c>
      <c r="L552" s="17">
        <f>IFERROR(__xludf.DUMMYFUNCTION("SPLIT(K:K, "" "")"),0.182975537237833)</f>
        <v>0.1829755372</v>
      </c>
      <c r="M552" s="4">
        <f>IFERROR(__xludf.DUMMYFUNCTION("""COMPUTED_VALUE"""),0.532160303129778)</f>
        <v>0.5321603031</v>
      </c>
      <c r="N552" s="15">
        <v>2008.0</v>
      </c>
      <c r="O552" s="4"/>
      <c r="P552" s="14" t="s">
        <v>2039</v>
      </c>
      <c r="Q552" s="17">
        <f>IFERROR(__xludf.DUMMYFUNCTION("SPLIT(P:P, "" "")"),0.154228391263667)</f>
        <v>0.1542283913</v>
      </c>
      <c r="R552" s="4">
        <f>IFERROR(__xludf.DUMMYFUNCTION("""COMPUTED_VALUE"""),0.413992507434691)</f>
        <v>0.4139925074</v>
      </c>
      <c r="S552" s="15">
        <v>3012.0</v>
      </c>
      <c r="T552" s="4"/>
      <c r="U552" s="4"/>
    </row>
    <row r="553">
      <c r="A553" s="14" t="s">
        <v>2040</v>
      </c>
      <c r="B553" s="4">
        <f>IFERROR(__xludf.DUMMYFUNCTION("SPLIT(A:A, "" "")"),0.164110932509442)</f>
        <v>0.1641109325</v>
      </c>
      <c r="C553" s="4">
        <f>IFERROR(__xludf.DUMMYFUNCTION("""COMPUTED_VALUE"""),0.70422801213039)</f>
        <v>0.7042280121</v>
      </c>
      <c r="D553" s="15">
        <v>1324.0</v>
      </c>
      <c r="E553" s="4"/>
      <c r="F553" s="14" t="s">
        <v>2041</v>
      </c>
      <c r="G553" s="17">
        <f>IFERROR(__xludf.DUMMYFUNCTION("SPLIT(F:F, "" "")"),0.130747122616325)</f>
        <v>0.1307471226</v>
      </c>
      <c r="H553" s="4">
        <f>IFERROR(__xludf.DUMMYFUNCTION("""COMPUTED_VALUE"""),0.616988865557834)</f>
        <v>0.6169888656</v>
      </c>
      <c r="I553" s="15">
        <v>2648.0</v>
      </c>
      <c r="J553" s="4"/>
      <c r="K553" s="14" t="s">
        <v>2042</v>
      </c>
      <c r="L553" s="17">
        <f>IFERROR(__xludf.DUMMYFUNCTION("SPLIT(K:K, "" "")"),0.184143198421068)</f>
        <v>0.1841431984</v>
      </c>
      <c r="M553" s="4">
        <f>IFERROR(__xludf.DUMMYFUNCTION("""COMPUTED_VALUE"""),0.530420638872504)</f>
        <v>0.5304206389</v>
      </c>
      <c r="N553" s="15">
        <v>2016.0</v>
      </c>
      <c r="O553" s="4"/>
      <c r="P553" s="14" t="s">
        <v>2043</v>
      </c>
      <c r="Q553" s="17">
        <f>IFERROR(__xludf.DUMMYFUNCTION("SPLIT(P:P, "" "")"),0.152694723827337)</f>
        <v>0.1526947238</v>
      </c>
      <c r="R553" s="4">
        <f>IFERROR(__xludf.DUMMYFUNCTION("""COMPUTED_VALUE"""),0.410270766716641)</f>
        <v>0.4102707667</v>
      </c>
      <c r="S553" s="15">
        <v>3024.0</v>
      </c>
      <c r="T553" s="4"/>
      <c r="U553" s="4"/>
    </row>
    <row r="554">
      <c r="A554" s="14" t="s">
        <v>2044</v>
      </c>
      <c r="B554" s="4">
        <f>IFERROR(__xludf.DUMMYFUNCTION("SPLIT(A:A, "" "")"),0.166895291163622)</f>
        <v>0.1668952912</v>
      </c>
      <c r="C554" s="4">
        <f>IFERROR(__xludf.DUMMYFUNCTION("""COMPUTED_VALUE"""),0.710230974990921)</f>
        <v>0.710230975</v>
      </c>
      <c r="D554" s="15">
        <v>1328.0</v>
      </c>
      <c r="E554" s="4"/>
      <c r="F554" s="14" t="s">
        <v>2045</v>
      </c>
      <c r="G554" s="17">
        <f>IFERROR(__xludf.DUMMYFUNCTION("SPLIT(F:F, "" "")"),0.129268228026157)</f>
        <v>0.129268228</v>
      </c>
      <c r="H554" s="4">
        <f>IFERROR(__xludf.DUMMYFUNCTION("""COMPUTED_VALUE"""),0.616004441947192)</f>
        <v>0.6160044419</v>
      </c>
      <c r="I554" s="15">
        <v>2656.0</v>
      </c>
      <c r="J554" s="4"/>
      <c r="K554" s="14" t="s">
        <v>2046</v>
      </c>
      <c r="L554" s="17">
        <f>IFERROR(__xludf.DUMMYFUNCTION("SPLIT(K:K, "" "")"),0.184562947400423)</f>
        <v>0.1845629474</v>
      </c>
      <c r="M554" s="4">
        <f>IFERROR(__xludf.DUMMYFUNCTION("""COMPUTED_VALUE"""),0.530504279485473)</f>
        <v>0.5305042795</v>
      </c>
      <c r="N554" s="15">
        <v>2024.0</v>
      </c>
      <c r="O554" s="4"/>
      <c r="P554" s="14" t="s">
        <v>2047</v>
      </c>
      <c r="Q554" s="17">
        <f>IFERROR(__xludf.DUMMYFUNCTION("SPLIT(P:P, "" "")"),0.157115828906833)</f>
        <v>0.1571158289</v>
      </c>
      <c r="R554" s="4">
        <f>IFERROR(__xludf.DUMMYFUNCTION("""COMPUTED_VALUE"""),0.41554999780946)</f>
        <v>0.4155499978</v>
      </c>
      <c r="S554" s="15">
        <v>3036.0</v>
      </c>
      <c r="T554" s="4"/>
      <c r="U554" s="4"/>
    </row>
    <row r="555">
      <c r="A555" s="14" t="s">
        <v>2048</v>
      </c>
      <c r="B555" s="4">
        <f>IFERROR(__xludf.DUMMYFUNCTION("SPLIT(A:A, "" "")"),0.165885192735807)</f>
        <v>0.1658851927</v>
      </c>
      <c r="C555" s="4">
        <f>IFERROR(__xludf.DUMMYFUNCTION("""COMPUTED_VALUE"""),0.715183059630889)</f>
        <v>0.7151830596</v>
      </c>
      <c r="D555" s="15">
        <v>1332.0</v>
      </c>
      <c r="E555" s="4"/>
      <c r="F555" s="14" t="s">
        <v>2049</v>
      </c>
      <c r="G555" s="17">
        <f>IFERROR(__xludf.DUMMYFUNCTION("SPLIT(F:F, "" "")"),0.128649453671035)</f>
        <v>0.1286494537</v>
      </c>
      <c r="H555" s="4">
        <f>IFERROR(__xludf.DUMMYFUNCTION("""COMPUTED_VALUE"""),0.613159635402099)</f>
        <v>0.6131596354</v>
      </c>
      <c r="I555" s="15">
        <v>2664.0</v>
      </c>
      <c r="J555" s="4"/>
      <c r="K555" s="14" t="s">
        <v>2050</v>
      </c>
      <c r="L555" s="17">
        <f>IFERROR(__xludf.DUMMYFUNCTION("SPLIT(K:K, "" "")"),0.174650264766408)</f>
        <v>0.1746502648</v>
      </c>
      <c r="M555" s="4">
        <f>IFERROR(__xludf.DUMMYFUNCTION("""COMPUTED_VALUE"""),0.522519273090393)</f>
        <v>0.5225192731</v>
      </c>
      <c r="N555" s="15">
        <v>2032.0</v>
      </c>
      <c r="O555" s="4"/>
      <c r="P555" s="14" t="s">
        <v>2051</v>
      </c>
      <c r="Q555" s="17">
        <f>IFERROR(__xludf.DUMMYFUNCTION("SPLIT(P:P, "" "")"),0.154761429837795)</f>
        <v>0.1547614298</v>
      </c>
      <c r="R555" s="4">
        <f>IFERROR(__xludf.DUMMYFUNCTION("""COMPUTED_VALUE"""),0.420812318161846)</f>
        <v>0.4208123182</v>
      </c>
      <c r="S555" s="15">
        <v>3048.0</v>
      </c>
      <c r="T555" s="4"/>
      <c r="U555" s="4"/>
    </row>
    <row r="556">
      <c r="A556" s="14" t="s">
        <v>2052</v>
      </c>
      <c r="B556" s="4">
        <f>IFERROR(__xludf.DUMMYFUNCTION("SPLIT(A:A, "" "")"),0.168889435916047)</f>
        <v>0.1688894359</v>
      </c>
      <c r="C556" s="4">
        <f>IFERROR(__xludf.DUMMYFUNCTION("""COMPUTED_VALUE"""),0.712080060837108)</f>
        <v>0.7120800608</v>
      </c>
      <c r="D556" s="15">
        <v>1336.0</v>
      </c>
      <c r="E556" s="4"/>
      <c r="F556" s="14" t="s">
        <v>2053</v>
      </c>
      <c r="G556" s="17">
        <f>IFERROR(__xludf.DUMMYFUNCTION("SPLIT(F:F, "" "")"),0.124775648665051)</f>
        <v>0.1247756487</v>
      </c>
      <c r="H556" s="4">
        <f>IFERROR(__xludf.DUMMYFUNCTION("""COMPUTED_VALUE"""),0.610970463512209)</f>
        <v>0.6109704635</v>
      </c>
      <c r="I556" s="15">
        <v>2672.0</v>
      </c>
      <c r="J556" s="4"/>
      <c r="K556" s="14" t="s">
        <v>2054</v>
      </c>
      <c r="L556" s="17">
        <f>IFERROR(__xludf.DUMMYFUNCTION("SPLIT(K:K, "" "")"),0.17596044673634)</f>
        <v>0.1759604467</v>
      </c>
      <c r="M556" s="4">
        <f>IFERROR(__xludf.DUMMYFUNCTION("""COMPUTED_VALUE"""),0.520305808747111)</f>
        <v>0.5203058087</v>
      </c>
      <c r="N556" s="15">
        <v>2040.0</v>
      </c>
      <c r="O556" s="4"/>
      <c r="P556" s="14" t="s">
        <v>2055</v>
      </c>
      <c r="Q556" s="17">
        <f>IFERROR(__xludf.DUMMYFUNCTION("SPLIT(P:P, "" "")"),0.152741250683072)</f>
        <v>0.1527412507</v>
      </c>
      <c r="R556" s="4">
        <f>IFERROR(__xludf.DUMMYFUNCTION("""COMPUTED_VALUE"""),0.41261665562442)</f>
        <v>0.4126166556</v>
      </c>
      <c r="S556" s="15">
        <v>3060.0</v>
      </c>
      <c r="T556" s="4"/>
      <c r="U556" s="4"/>
    </row>
    <row r="557">
      <c r="A557" s="14" t="s">
        <v>2056</v>
      </c>
      <c r="B557" s="4">
        <f>IFERROR(__xludf.DUMMYFUNCTION("SPLIT(A:A, "" "")"),0.167024011134409)</f>
        <v>0.1670240111</v>
      </c>
      <c r="C557" s="4">
        <f>IFERROR(__xludf.DUMMYFUNCTION("""COMPUTED_VALUE"""),0.708368797685732)</f>
        <v>0.7083687977</v>
      </c>
      <c r="D557" s="15">
        <v>1340.0</v>
      </c>
      <c r="E557" s="4"/>
      <c r="F557" s="14" t="s">
        <v>2057</v>
      </c>
      <c r="G557" s="17">
        <f>IFERROR(__xludf.DUMMYFUNCTION("SPLIT(F:F, "" "")"),0.125668396560379)</f>
        <v>0.1256683966</v>
      </c>
      <c r="H557" s="4">
        <f>IFERROR(__xludf.DUMMYFUNCTION("""COMPUTED_VALUE"""),0.616725931596482)</f>
        <v>0.6167259316</v>
      </c>
      <c r="I557" s="15">
        <v>2680.0</v>
      </c>
      <c r="J557" s="4"/>
      <c r="K557" s="14" t="s">
        <v>2058</v>
      </c>
      <c r="L557" s="17">
        <f>IFERROR(__xludf.DUMMYFUNCTION("SPLIT(K:K, "" "")"),0.175719699941249)</f>
        <v>0.1757196999</v>
      </c>
      <c r="M557" s="4">
        <f>IFERROR(__xludf.DUMMYFUNCTION("""COMPUTED_VALUE"""),0.529464434478503)</f>
        <v>0.5294644345</v>
      </c>
      <c r="N557" s="15">
        <v>2048.0</v>
      </c>
      <c r="O557" s="4"/>
      <c r="P557" s="14" t="s">
        <v>2059</v>
      </c>
      <c r="Q557" s="17">
        <f>IFERROR(__xludf.DUMMYFUNCTION("SPLIT(P:P, "" "")"),0.151852316519723)</f>
        <v>0.1518523165</v>
      </c>
      <c r="R557" s="4">
        <f>IFERROR(__xludf.DUMMYFUNCTION("""COMPUTED_VALUE"""),0.407251543748949)</f>
        <v>0.4072515437</v>
      </c>
      <c r="S557" s="15">
        <v>3072.0</v>
      </c>
      <c r="T557" s="4"/>
      <c r="U557" s="4"/>
    </row>
    <row r="558">
      <c r="A558" s="14" t="s">
        <v>2060</v>
      </c>
      <c r="B558" s="4">
        <f>IFERROR(__xludf.DUMMYFUNCTION("SPLIT(A:A, "" "")"),0.166415991693654)</f>
        <v>0.1664159917</v>
      </c>
      <c r="C558" s="4">
        <f>IFERROR(__xludf.DUMMYFUNCTION("""COMPUTED_VALUE"""),0.699966796225159)</f>
        <v>0.6999667962</v>
      </c>
      <c r="D558" s="15">
        <v>1344.0</v>
      </c>
      <c r="E558" s="4"/>
      <c r="F558" s="14" t="s">
        <v>2061</v>
      </c>
      <c r="G558" s="17">
        <f>IFERROR(__xludf.DUMMYFUNCTION("SPLIT(F:F, "" "")"),0.124234128976946)</f>
        <v>0.124234129</v>
      </c>
      <c r="H558" s="4">
        <f>IFERROR(__xludf.DUMMYFUNCTION("""COMPUTED_VALUE"""),0.614367004508984)</f>
        <v>0.6143670045</v>
      </c>
      <c r="I558" s="15">
        <v>2688.0</v>
      </c>
      <c r="J558" s="4"/>
      <c r="K558" s="14" t="s">
        <v>2062</v>
      </c>
      <c r="L558" s="17">
        <f>IFERROR(__xludf.DUMMYFUNCTION("SPLIT(K:K, "" "")"),0.170794178014267)</f>
        <v>0.170794178</v>
      </c>
      <c r="M558" s="4">
        <f>IFERROR(__xludf.DUMMYFUNCTION("""COMPUTED_VALUE"""),0.520863813219034)</f>
        <v>0.5208638132</v>
      </c>
      <c r="N558" s="15">
        <v>2056.0</v>
      </c>
      <c r="O558" s="4"/>
      <c r="P558" s="14" t="s">
        <v>2063</v>
      </c>
      <c r="Q558" s="17">
        <f>IFERROR(__xludf.DUMMYFUNCTION("SPLIT(P:P, "" "")"),0.151826766808254)</f>
        <v>0.1518267668</v>
      </c>
      <c r="R558" s="4">
        <f>IFERROR(__xludf.DUMMYFUNCTION("""COMPUTED_VALUE"""),0.413794118209916)</f>
        <v>0.4137941182</v>
      </c>
      <c r="S558" s="15">
        <v>3084.0</v>
      </c>
      <c r="T558" s="4"/>
      <c r="U558" s="4"/>
    </row>
    <row r="559">
      <c r="A559" s="14" t="s">
        <v>2064</v>
      </c>
      <c r="B559" s="4">
        <f>IFERROR(__xludf.DUMMYFUNCTION("SPLIT(A:A, "" "")"),0.164643092732123)</f>
        <v>0.1646430927</v>
      </c>
      <c r="C559" s="4">
        <f>IFERROR(__xludf.DUMMYFUNCTION("""COMPUTED_VALUE"""),0.698551019143676)</f>
        <v>0.6985510191</v>
      </c>
      <c r="D559" s="15">
        <v>1348.0</v>
      </c>
      <c r="E559" s="4"/>
      <c r="F559" s="14" t="s">
        <v>2065</v>
      </c>
      <c r="G559" s="17">
        <f>IFERROR(__xludf.DUMMYFUNCTION("SPLIT(F:F, "" "")"),0.126931146904755)</f>
        <v>0.1269311469</v>
      </c>
      <c r="H559" s="4">
        <f>IFERROR(__xludf.DUMMYFUNCTION("""COMPUTED_VALUE"""),0.620263582197776)</f>
        <v>0.6202635822</v>
      </c>
      <c r="I559" s="15">
        <v>2696.0</v>
      </c>
      <c r="J559" s="4"/>
      <c r="K559" s="14" t="s">
        <v>2066</v>
      </c>
      <c r="L559" s="17">
        <f>IFERROR(__xludf.DUMMYFUNCTION("SPLIT(K:K, "" "")"),0.172572487807139)</f>
        <v>0.1725724878</v>
      </c>
      <c r="M559" s="4">
        <f>IFERROR(__xludf.DUMMYFUNCTION("""COMPUTED_VALUE"""),0.512139102181989)</f>
        <v>0.5121391022</v>
      </c>
      <c r="N559" s="15">
        <v>2064.0</v>
      </c>
      <c r="O559" s="4"/>
      <c r="P559" s="14" t="s">
        <v>2067</v>
      </c>
      <c r="Q559" s="17">
        <f>IFERROR(__xludf.DUMMYFUNCTION("SPLIT(P:P, "" "")"),0.150370727690748)</f>
        <v>0.1503707277</v>
      </c>
      <c r="R559" s="4">
        <f>IFERROR(__xludf.DUMMYFUNCTION("""COMPUTED_VALUE"""),0.413919840495604)</f>
        <v>0.4139198405</v>
      </c>
      <c r="S559" s="15">
        <v>3096.0</v>
      </c>
      <c r="T559" s="4"/>
      <c r="U559" s="4"/>
    </row>
    <row r="560">
      <c r="A560" s="14" t="s">
        <v>2068</v>
      </c>
      <c r="B560" s="4">
        <f>IFERROR(__xludf.DUMMYFUNCTION("SPLIT(A:A, "" "")"),0.172587767351585)</f>
        <v>0.1725877674</v>
      </c>
      <c r="C560" s="4">
        <f>IFERROR(__xludf.DUMMYFUNCTION("""COMPUTED_VALUE"""),0.715088740919823)</f>
        <v>0.7150887409</v>
      </c>
      <c r="D560" s="15">
        <v>1352.0</v>
      </c>
      <c r="E560" s="4"/>
      <c r="F560" s="14" t="s">
        <v>2069</v>
      </c>
      <c r="G560" s="17">
        <f>IFERROR(__xludf.DUMMYFUNCTION("SPLIT(F:F, "" "")"),0.126964943405292)</f>
        <v>0.1269649434</v>
      </c>
      <c r="H560" s="4">
        <f>IFERROR(__xludf.DUMMYFUNCTION("""COMPUTED_VALUE"""),0.612041850127455)</f>
        <v>0.6120418501</v>
      </c>
      <c r="I560" s="15">
        <v>2704.0</v>
      </c>
      <c r="J560" s="4"/>
      <c r="K560" s="14" t="s">
        <v>2070</v>
      </c>
      <c r="L560" s="17">
        <f>IFERROR(__xludf.DUMMYFUNCTION("SPLIT(K:K, "" "")"),0.17551092311328)</f>
        <v>0.1755109231</v>
      </c>
      <c r="M560" s="4">
        <f>IFERROR(__xludf.DUMMYFUNCTION("""COMPUTED_VALUE"""),0.53177360872402)</f>
        <v>0.5317736087</v>
      </c>
      <c r="N560" s="15">
        <v>2072.0</v>
      </c>
      <c r="O560" s="4"/>
      <c r="P560" s="14" t="s">
        <v>2071</v>
      </c>
      <c r="Q560" s="17">
        <f>IFERROR(__xludf.DUMMYFUNCTION("SPLIT(P:P, "" "")"),0.148363962765383)</f>
        <v>0.1483639628</v>
      </c>
      <c r="R560" s="4">
        <f>IFERROR(__xludf.DUMMYFUNCTION("""COMPUTED_VALUE"""),0.406776453055602)</f>
        <v>0.4067764531</v>
      </c>
      <c r="S560" s="15">
        <v>3108.0</v>
      </c>
      <c r="T560" s="4"/>
      <c r="U560" s="4"/>
    </row>
    <row r="561">
      <c r="A561" s="14" t="s">
        <v>2072</v>
      </c>
      <c r="B561" s="4">
        <f>IFERROR(__xludf.DUMMYFUNCTION("SPLIT(A:A, "" "")"),0.161719491670873)</f>
        <v>0.1617194917</v>
      </c>
      <c r="C561" s="4">
        <f>IFERROR(__xludf.DUMMYFUNCTION("""COMPUTED_VALUE"""),0.70208081560871)</f>
        <v>0.7020808156</v>
      </c>
      <c r="D561" s="15">
        <v>1356.0</v>
      </c>
      <c r="E561" s="4"/>
      <c r="F561" s="14" t="s">
        <v>2073</v>
      </c>
      <c r="G561" s="17">
        <f>IFERROR(__xludf.DUMMYFUNCTION("SPLIT(F:F, "" "")"),0.122167000497771)</f>
        <v>0.1221670005</v>
      </c>
      <c r="H561" s="4">
        <f>IFERROR(__xludf.DUMMYFUNCTION("""COMPUTED_VALUE"""),0.612971171682598)</f>
        <v>0.6129711717</v>
      </c>
      <c r="I561" s="15">
        <v>2712.0</v>
      </c>
      <c r="J561" s="4"/>
      <c r="K561" s="14" t="s">
        <v>2074</v>
      </c>
      <c r="L561" s="17">
        <f>IFERROR(__xludf.DUMMYFUNCTION("SPLIT(K:K, "" "")"),0.175747234438856)</f>
        <v>0.1757472344</v>
      </c>
      <c r="M561" s="4">
        <f>IFERROR(__xludf.DUMMYFUNCTION("""COMPUTED_VALUE"""),0.519951342318422)</f>
        <v>0.5199513423</v>
      </c>
      <c r="N561" s="15">
        <v>2080.0</v>
      </c>
      <c r="O561" s="4"/>
      <c r="P561" s="14" t="s">
        <v>2075</v>
      </c>
      <c r="Q561" s="17">
        <f>IFERROR(__xludf.DUMMYFUNCTION("SPLIT(P:P, "" "")"),0.155034508792308)</f>
        <v>0.1550345088</v>
      </c>
      <c r="R561" s="4">
        <f>IFERROR(__xludf.DUMMYFUNCTION("""COMPUTED_VALUE"""),0.414657006081936)</f>
        <v>0.4146570061</v>
      </c>
      <c r="S561" s="15">
        <v>3120.0</v>
      </c>
      <c r="T561" s="4"/>
      <c r="U561" s="4"/>
    </row>
    <row r="562">
      <c r="A562" s="14" t="s">
        <v>2076</v>
      </c>
      <c r="B562" s="4">
        <f>IFERROR(__xludf.DUMMYFUNCTION("SPLIT(A:A, "" "")"),0.165361426345249)</f>
        <v>0.1653614263</v>
      </c>
      <c r="C562" s="4">
        <f>IFERROR(__xludf.DUMMYFUNCTION("""COMPUTED_VALUE"""),0.710006651678632)</f>
        <v>0.7100066517</v>
      </c>
      <c r="D562" s="15">
        <v>1360.0</v>
      </c>
      <c r="E562" s="4"/>
      <c r="F562" s="14" t="s">
        <v>2077</v>
      </c>
      <c r="G562" s="17">
        <f>IFERROR(__xludf.DUMMYFUNCTION("SPLIT(F:F, "" "")"),0.125209352141485)</f>
        <v>0.1252093521</v>
      </c>
      <c r="H562" s="4">
        <f>IFERROR(__xludf.DUMMYFUNCTION("""COMPUTED_VALUE"""),0.617429400759947)</f>
        <v>0.6174294008</v>
      </c>
      <c r="I562" s="15">
        <v>2720.0</v>
      </c>
      <c r="J562" s="4"/>
      <c r="K562" s="14" t="s">
        <v>2078</v>
      </c>
      <c r="L562" s="17">
        <f>IFERROR(__xludf.DUMMYFUNCTION("SPLIT(K:K, "" "")"),0.173395516434734)</f>
        <v>0.1733955164</v>
      </c>
      <c r="M562" s="4">
        <f>IFERROR(__xludf.DUMMYFUNCTION("""COMPUTED_VALUE"""),0.520865113072108)</f>
        <v>0.5208651131</v>
      </c>
      <c r="N562" s="15">
        <v>2088.0</v>
      </c>
      <c r="O562" s="4"/>
      <c r="P562" s="14" t="s">
        <v>2079</v>
      </c>
      <c r="Q562" s="17">
        <f>IFERROR(__xludf.DUMMYFUNCTION("SPLIT(P:P, "" "")"),0.151915974835673)</f>
        <v>0.1519159748</v>
      </c>
      <c r="R562" s="4">
        <f>IFERROR(__xludf.DUMMYFUNCTION("""COMPUTED_VALUE"""),0.408838888670789)</f>
        <v>0.4088388887</v>
      </c>
      <c r="S562" s="15">
        <v>3132.0</v>
      </c>
      <c r="T562" s="4"/>
      <c r="U562" s="4"/>
    </row>
    <row r="563">
      <c r="A563" s="14" t="s">
        <v>2080</v>
      </c>
      <c r="B563" s="4">
        <f>IFERROR(__xludf.DUMMYFUNCTION("SPLIT(A:A, "" "")"),0.160583447939519)</f>
        <v>0.1605834479</v>
      </c>
      <c r="C563" s="4">
        <f>IFERROR(__xludf.DUMMYFUNCTION("""COMPUTED_VALUE"""),0.708757887740294)</f>
        <v>0.7087578877</v>
      </c>
      <c r="D563" s="15">
        <v>1364.0</v>
      </c>
      <c r="E563" s="4"/>
      <c r="F563" s="14" t="s">
        <v>2081</v>
      </c>
      <c r="G563" s="17">
        <f>IFERROR(__xludf.DUMMYFUNCTION("SPLIT(F:F, "" "")"),0.12809640655868)</f>
        <v>0.1280964066</v>
      </c>
      <c r="H563" s="4">
        <f>IFERROR(__xludf.DUMMYFUNCTION("""COMPUTED_VALUE"""),0.619333336350424)</f>
        <v>0.6193333364</v>
      </c>
      <c r="I563" s="15">
        <v>2728.0</v>
      </c>
      <c r="J563" s="4"/>
      <c r="K563" s="14" t="s">
        <v>2082</v>
      </c>
      <c r="L563" s="17">
        <f>IFERROR(__xludf.DUMMYFUNCTION("SPLIT(K:K, "" "")"),0.177001887234784)</f>
        <v>0.1770018872</v>
      </c>
      <c r="M563" s="4">
        <f>IFERROR(__xludf.DUMMYFUNCTION("""COMPUTED_VALUE"""),0.516902772658801)</f>
        <v>0.5169027727</v>
      </c>
      <c r="N563" s="15">
        <v>2096.0</v>
      </c>
      <c r="O563" s="4"/>
      <c r="P563" s="14" t="s">
        <v>2083</v>
      </c>
      <c r="Q563" s="17">
        <f>IFERROR(__xludf.DUMMYFUNCTION("SPLIT(P:P, "" "")"),0.14959797099459)</f>
        <v>0.149597971</v>
      </c>
      <c r="R563" s="4">
        <f>IFERROR(__xludf.DUMMYFUNCTION("""COMPUTED_VALUE"""),0.406979779992042)</f>
        <v>0.40697978</v>
      </c>
      <c r="S563" s="15">
        <v>3144.0</v>
      </c>
      <c r="T563" s="4"/>
      <c r="U563" s="4"/>
    </row>
    <row r="564">
      <c r="A564" s="14" t="s">
        <v>2084</v>
      </c>
      <c r="B564" s="4">
        <f>IFERROR(__xludf.DUMMYFUNCTION("SPLIT(A:A, "" "")"),0.163603072037545)</f>
        <v>0.163603072</v>
      </c>
      <c r="C564" s="4">
        <f>IFERROR(__xludf.DUMMYFUNCTION("""COMPUTED_VALUE"""),0.714276364000546)</f>
        <v>0.714276364</v>
      </c>
      <c r="D564" s="15">
        <v>1368.0</v>
      </c>
      <c r="E564" s="4"/>
      <c r="F564" s="14" t="s">
        <v>2085</v>
      </c>
      <c r="G564" s="17">
        <f>IFERROR(__xludf.DUMMYFUNCTION("SPLIT(F:F, "" "")"),0.129856140956788)</f>
        <v>0.129856141</v>
      </c>
      <c r="H564" s="4">
        <f>IFERROR(__xludf.DUMMYFUNCTION("""COMPUTED_VALUE"""),0.614298952628247)</f>
        <v>0.6142989526</v>
      </c>
      <c r="I564" s="15">
        <v>2736.0</v>
      </c>
      <c r="J564" s="4"/>
      <c r="K564" s="14" t="s">
        <v>2086</v>
      </c>
      <c r="L564" s="17">
        <f>IFERROR(__xludf.DUMMYFUNCTION("SPLIT(K:K, "" "")"),0.167727558222988)</f>
        <v>0.1677275582</v>
      </c>
      <c r="M564" s="4">
        <f>IFERROR(__xludf.DUMMYFUNCTION("""COMPUTED_VALUE"""),0.510414373543453)</f>
        <v>0.5104143735</v>
      </c>
      <c r="N564" s="15">
        <v>2104.0</v>
      </c>
      <c r="O564" s="4"/>
      <c r="P564" s="14" t="s">
        <v>2087</v>
      </c>
      <c r="Q564" s="17">
        <f>IFERROR(__xludf.DUMMYFUNCTION("SPLIT(P:P, "" "")"),0.146784943329696)</f>
        <v>0.1467849433</v>
      </c>
      <c r="R564" s="4">
        <f>IFERROR(__xludf.DUMMYFUNCTION("""COMPUTED_VALUE"""),0.402745505139862)</f>
        <v>0.4027455051</v>
      </c>
      <c r="S564" s="15">
        <v>3156.0</v>
      </c>
      <c r="T564" s="4"/>
      <c r="U564" s="4"/>
    </row>
    <row r="565">
      <c r="A565" s="14" t="s">
        <v>2088</v>
      </c>
      <c r="B565" s="4">
        <f>IFERROR(__xludf.DUMMYFUNCTION("SPLIT(A:A, "" "")"),0.167273916570753)</f>
        <v>0.1672739166</v>
      </c>
      <c r="C565" s="4">
        <f>IFERROR(__xludf.DUMMYFUNCTION("""COMPUTED_VALUE"""),0.705377789716912)</f>
        <v>0.7053777897</v>
      </c>
      <c r="D565" s="15">
        <v>1372.0</v>
      </c>
      <c r="E565" s="4"/>
      <c r="F565" s="14" t="s">
        <v>2089</v>
      </c>
      <c r="G565" s="17">
        <f>IFERROR(__xludf.DUMMYFUNCTION("SPLIT(F:F, "" "")"),0.125494074323123)</f>
        <v>0.1254940743</v>
      </c>
      <c r="H565" s="4">
        <f>IFERROR(__xludf.DUMMYFUNCTION("""COMPUTED_VALUE"""),0.621041026882753)</f>
        <v>0.6210410269</v>
      </c>
      <c r="I565" s="15">
        <v>2744.0</v>
      </c>
      <c r="J565" s="4"/>
      <c r="K565" s="14" t="s">
        <v>2090</v>
      </c>
      <c r="L565" s="17">
        <f>IFERROR(__xludf.DUMMYFUNCTION("SPLIT(K:K, "" "")"),0.172058078984319)</f>
        <v>0.172058079</v>
      </c>
      <c r="M565" s="4">
        <f>IFERROR(__xludf.DUMMYFUNCTION("""COMPUTED_VALUE"""),0.51674782936537)</f>
        <v>0.5167478294</v>
      </c>
      <c r="N565" s="15">
        <v>2112.0</v>
      </c>
      <c r="O565" s="4"/>
      <c r="P565" s="14" t="s">
        <v>2091</v>
      </c>
      <c r="Q565" s="17">
        <f>IFERROR(__xludf.DUMMYFUNCTION("SPLIT(P:P, "" "")"),0.149612166453383)</f>
        <v>0.1496121665</v>
      </c>
      <c r="R565" s="4">
        <f>IFERROR(__xludf.DUMMYFUNCTION("""COMPUTED_VALUE"""),0.41647151813609)</f>
        <v>0.4164715181</v>
      </c>
      <c r="S565" s="15">
        <v>3168.0</v>
      </c>
      <c r="T565" s="4"/>
      <c r="U565" s="4"/>
    </row>
    <row r="566">
      <c r="A566" s="14" t="s">
        <v>2092</v>
      </c>
      <c r="B566" s="4">
        <f>IFERROR(__xludf.DUMMYFUNCTION("SPLIT(A:A, "" "")"),0.158049395888834)</f>
        <v>0.1580493959</v>
      </c>
      <c r="C566" s="4">
        <f>IFERROR(__xludf.DUMMYFUNCTION("""COMPUTED_VALUE"""),0.699360276833838)</f>
        <v>0.6993602768</v>
      </c>
      <c r="D566" s="15">
        <v>1376.0</v>
      </c>
      <c r="E566" s="4"/>
      <c r="F566" s="14" t="s">
        <v>2093</v>
      </c>
      <c r="G566" s="17">
        <f>IFERROR(__xludf.DUMMYFUNCTION("SPLIT(F:F, "" "")"),0.121574940551222)</f>
        <v>0.1215749406</v>
      </c>
      <c r="H566" s="4">
        <f>IFERROR(__xludf.DUMMYFUNCTION("""COMPUTED_VALUE"""),0.613073964212981)</f>
        <v>0.6130739642</v>
      </c>
      <c r="I566" s="15">
        <v>2752.0</v>
      </c>
      <c r="J566" s="4"/>
      <c r="K566" s="14" t="s">
        <v>2094</v>
      </c>
      <c r="L566" s="17">
        <f>IFERROR(__xludf.DUMMYFUNCTION("SPLIT(K:K, "" "")"),0.169656445033595)</f>
        <v>0.169656445</v>
      </c>
      <c r="M566" s="4">
        <f>IFERROR(__xludf.DUMMYFUNCTION("""COMPUTED_VALUE"""),0.52270522940097)</f>
        <v>0.5227052294</v>
      </c>
      <c r="N566" s="15">
        <v>2120.0</v>
      </c>
      <c r="O566" s="4"/>
      <c r="P566" s="14" t="s">
        <v>2095</v>
      </c>
      <c r="Q566" s="17">
        <f>IFERROR(__xludf.DUMMYFUNCTION("SPLIT(P:P, "" "")"),0.151635189902355)</f>
        <v>0.1516351899</v>
      </c>
      <c r="R566" s="4">
        <f>IFERROR(__xludf.DUMMYFUNCTION("""COMPUTED_VALUE"""),0.411008785861387)</f>
        <v>0.4110087859</v>
      </c>
      <c r="S566" s="15">
        <v>3180.0</v>
      </c>
      <c r="T566" s="4"/>
      <c r="U566" s="4"/>
    </row>
    <row r="567">
      <c r="A567" s="14" t="s">
        <v>2096</v>
      </c>
      <c r="B567" s="4">
        <f>IFERROR(__xludf.DUMMYFUNCTION("SPLIT(A:A, "" "")"),0.164398434317996)</f>
        <v>0.1643984343</v>
      </c>
      <c r="C567" s="4">
        <f>IFERROR(__xludf.DUMMYFUNCTION("""COMPUTED_VALUE"""),0.713508086396438)</f>
        <v>0.7135080864</v>
      </c>
      <c r="D567" s="15">
        <v>1380.0</v>
      </c>
      <c r="E567" s="4"/>
      <c r="F567" s="14" t="s">
        <v>2097</v>
      </c>
      <c r="G567" s="17">
        <f>IFERROR(__xludf.DUMMYFUNCTION("SPLIT(F:F, "" "")"),0.123392747433681)</f>
        <v>0.1233927474</v>
      </c>
      <c r="H567" s="4">
        <f>IFERROR(__xludf.DUMMYFUNCTION("""COMPUTED_VALUE"""),0.606774029662846)</f>
        <v>0.6067740297</v>
      </c>
      <c r="I567" s="15">
        <v>2760.0</v>
      </c>
      <c r="J567" s="4"/>
      <c r="K567" s="14" t="s">
        <v>2098</v>
      </c>
      <c r="L567" s="17">
        <f>IFERROR(__xludf.DUMMYFUNCTION("SPLIT(K:K, "" "")"),0.172310172527842)</f>
        <v>0.1723101725</v>
      </c>
      <c r="M567" s="4">
        <f>IFERROR(__xludf.DUMMYFUNCTION("""COMPUTED_VALUE"""),0.518846171721829)</f>
        <v>0.5188461717</v>
      </c>
      <c r="N567" s="15">
        <v>2128.0</v>
      </c>
      <c r="O567" s="4"/>
      <c r="P567" s="14" t="s">
        <v>2099</v>
      </c>
      <c r="Q567" s="17">
        <f>IFERROR(__xludf.DUMMYFUNCTION("SPLIT(P:P, "" "")"),0.155167814277908)</f>
        <v>0.1551678143</v>
      </c>
      <c r="R567" s="4">
        <f>IFERROR(__xludf.DUMMYFUNCTION("""COMPUTED_VALUE"""),0.416848410778706)</f>
        <v>0.4168484108</v>
      </c>
      <c r="S567" s="15">
        <v>3192.0</v>
      </c>
      <c r="T567" s="4"/>
      <c r="U567" s="4"/>
    </row>
    <row r="568">
      <c r="A568" s="14" t="s">
        <v>2100</v>
      </c>
      <c r="B568" s="4">
        <f>IFERROR(__xludf.DUMMYFUNCTION("SPLIT(A:A, "" "")"),0.159808109518152)</f>
        <v>0.1598081095</v>
      </c>
      <c r="C568" s="4">
        <f>IFERROR(__xludf.DUMMYFUNCTION("""COMPUTED_VALUE"""),0.716902367624966)</f>
        <v>0.7169023676</v>
      </c>
      <c r="D568" s="15">
        <v>1384.0</v>
      </c>
      <c r="E568" s="4"/>
      <c r="F568" s="14" t="s">
        <v>2101</v>
      </c>
      <c r="G568" s="17">
        <f>IFERROR(__xludf.DUMMYFUNCTION("SPLIT(F:F, "" "")"),0.124920584601312)</f>
        <v>0.1249205846</v>
      </c>
      <c r="H568" s="4">
        <f>IFERROR(__xludf.DUMMYFUNCTION("""COMPUTED_VALUE"""),0.611781672849124)</f>
        <v>0.6117816728</v>
      </c>
      <c r="I568" s="15">
        <v>2768.0</v>
      </c>
      <c r="J568" s="4"/>
      <c r="K568" s="14" t="s">
        <v>2102</v>
      </c>
      <c r="L568" s="17">
        <f>IFERROR(__xludf.DUMMYFUNCTION("SPLIT(K:K, "" "")"),0.173637078434127)</f>
        <v>0.1736370784</v>
      </c>
      <c r="M568" s="4">
        <f>IFERROR(__xludf.DUMMYFUNCTION("""COMPUTED_VALUE"""),0.525209068653332)</f>
        <v>0.5252090687</v>
      </c>
      <c r="N568" s="15">
        <v>2136.0</v>
      </c>
      <c r="O568" s="4"/>
      <c r="P568" s="14" t="s">
        <v>2103</v>
      </c>
      <c r="Q568" s="17">
        <f>IFERROR(__xludf.DUMMYFUNCTION("SPLIT(P:P, "" "")"),0.148028733707856)</f>
        <v>0.1480287337</v>
      </c>
      <c r="R568" s="4">
        <f>IFERROR(__xludf.DUMMYFUNCTION("""COMPUTED_VALUE"""),0.408482100331729)</f>
        <v>0.4084821003</v>
      </c>
      <c r="S568" s="15">
        <v>3204.0</v>
      </c>
      <c r="T568" s="4"/>
      <c r="U568" s="4"/>
    </row>
    <row r="569">
      <c r="A569" s="14" t="s">
        <v>2104</v>
      </c>
      <c r="B569" s="4">
        <f>IFERROR(__xludf.DUMMYFUNCTION("SPLIT(A:A, "" "")"),0.16638523410189)</f>
        <v>0.1663852341</v>
      </c>
      <c r="C569" s="4">
        <f>IFERROR(__xludf.DUMMYFUNCTION("""COMPUTED_VALUE"""),0.720893573721325)</f>
        <v>0.7208935737</v>
      </c>
      <c r="D569" s="15">
        <v>1388.0</v>
      </c>
      <c r="E569" s="4"/>
      <c r="F569" s="14" t="s">
        <v>2105</v>
      </c>
      <c r="G569" s="17">
        <f>IFERROR(__xludf.DUMMYFUNCTION("SPLIT(F:F, "" "")"),0.127597947752842)</f>
        <v>0.1275979478</v>
      </c>
      <c r="H569" s="4">
        <f>IFERROR(__xludf.DUMMYFUNCTION("""COMPUTED_VALUE"""),0.614686767382354)</f>
        <v>0.6146867674</v>
      </c>
      <c r="I569" s="15">
        <v>2776.0</v>
      </c>
      <c r="J569" s="4"/>
      <c r="K569" s="14" t="s">
        <v>2106</v>
      </c>
      <c r="L569" s="17">
        <f>IFERROR(__xludf.DUMMYFUNCTION("SPLIT(K:K, "" "")"),0.170001813266884)</f>
        <v>0.1700018133</v>
      </c>
      <c r="M569" s="4">
        <f>IFERROR(__xludf.DUMMYFUNCTION("""COMPUTED_VALUE"""),0.519178501137268)</f>
        <v>0.5191785011</v>
      </c>
      <c r="N569" s="15">
        <v>2144.0</v>
      </c>
      <c r="O569" s="4"/>
      <c r="P569" s="14" t="s">
        <v>2107</v>
      </c>
      <c r="Q569" s="17">
        <f>IFERROR(__xludf.DUMMYFUNCTION("SPLIT(P:P, "" "")"),0.147804387060557)</f>
        <v>0.1478043871</v>
      </c>
      <c r="R569" s="4">
        <f>IFERROR(__xludf.DUMMYFUNCTION("""COMPUTED_VALUE"""),0.409162379849453)</f>
        <v>0.4091623798</v>
      </c>
      <c r="S569" s="15">
        <v>3216.0</v>
      </c>
      <c r="T569" s="4"/>
      <c r="U569" s="4"/>
    </row>
    <row r="570">
      <c r="A570" s="14" t="s">
        <v>2108</v>
      </c>
      <c r="B570" s="4">
        <f>IFERROR(__xludf.DUMMYFUNCTION("SPLIT(A:A, "" "")"),0.159686404542326)</f>
        <v>0.1596864045</v>
      </c>
      <c r="C570" s="4">
        <f>IFERROR(__xludf.DUMMYFUNCTION("""COMPUTED_VALUE"""),0.705149788276788)</f>
        <v>0.7051497883</v>
      </c>
      <c r="D570" s="15">
        <v>1392.0</v>
      </c>
      <c r="E570" s="4"/>
      <c r="F570" s="14" t="s">
        <v>2109</v>
      </c>
      <c r="G570" s="17">
        <f>IFERROR(__xludf.DUMMYFUNCTION("SPLIT(F:F, "" "")"),0.12839840157534)</f>
        <v>0.1283984016</v>
      </c>
      <c r="H570" s="4">
        <f>IFERROR(__xludf.DUMMYFUNCTION("""COMPUTED_VALUE"""),0.616402554113259)</f>
        <v>0.6164025541</v>
      </c>
      <c r="I570" s="15">
        <v>2784.0</v>
      </c>
      <c r="J570" s="4"/>
      <c r="K570" s="14" t="s">
        <v>2110</v>
      </c>
      <c r="L570" s="17">
        <f>IFERROR(__xludf.DUMMYFUNCTION("SPLIT(K:K, "" "")"),0.17471218201987)</f>
        <v>0.174712182</v>
      </c>
      <c r="M570" s="4">
        <f>IFERROR(__xludf.DUMMYFUNCTION("""COMPUTED_VALUE"""),0.528244734445647)</f>
        <v>0.5282447344</v>
      </c>
      <c r="N570" s="15">
        <v>2152.0</v>
      </c>
      <c r="O570" s="4"/>
      <c r="P570" s="14" t="s">
        <v>2111</v>
      </c>
      <c r="Q570" s="17">
        <f>IFERROR(__xludf.DUMMYFUNCTION("SPLIT(P:P, "" "")"),0.151798743117831)</f>
        <v>0.1517987431</v>
      </c>
      <c r="R570" s="4">
        <f>IFERROR(__xludf.DUMMYFUNCTION("""COMPUTED_VALUE"""),0.41782463280264)</f>
        <v>0.4178246328</v>
      </c>
      <c r="S570" s="15">
        <v>3228.0</v>
      </c>
      <c r="T570" s="4"/>
      <c r="U570" s="4"/>
    </row>
    <row r="571">
      <c r="A571" s="14" t="s">
        <v>2112</v>
      </c>
      <c r="B571" s="4">
        <f>IFERROR(__xludf.DUMMYFUNCTION("SPLIT(A:A, "" "")"),0.160029814535375)</f>
        <v>0.1600298145</v>
      </c>
      <c r="C571" s="4">
        <f>IFERROR(__xludf.DUMMYFUNCTION("""COMPUTED_VALUE"""),0.713106755889032)</f>
        <v>0.7131067559</v>
      </c>
      <c r="D571" s="15">
        <v>1396.0</v>
      </c>
      <c r="E571" s="4"/>
      <c r="F571" s="14" t="s">
        <v>2113</v>
      </c>
      <c r="G571" s="17">
        <f>IFERROR(__xludf.DUMMYFUNCTION("SPLIT(F:F, "" "")"),0.123990942179062)</f>
        <v>0.1239909422</v>
      </c>
      <c r="H571" s="4">
        <f>IFERROR(__xludf.DUMMYFUNCTION("""COMPUTED_VALUE"""),0.613360819596118)</f>
        <v>0.6133608196</v>
      </c>
      <c r="I571" s="15">
        <v>2792.0</v>
      </c>
      <c r="J571" s="4"/>
      <c r="K571" s="14" t="s">
        <v>2114</v>
      </c>
      <c r="L571" s="17">
        <f>IFERROR(__xludf.DUMMYFUNCTION("SPLIT(K:K, "" "")"),0.167127668911546)</f>
        <v>0.1671276689</v>
      </c>
      <c r="M571" s="4">
        <f>IFERROR(__xludf.DUMMYFUNCTION("""COMPUTED_VALUE"""),0.512720938858628)</f>
        <v>0.5127209389</v>
      </c>
      <c r="N571" s="15">
        <v>2160.0</v>
      </c>
      <c r="O571" s="4"/>
      <c r="P571" s="14" t="s">
        <v>2115</v>
      </c>
      <c r="Q571" s="17">
        <f>IFERROR(__xludf.DUMMYFUNCTION("SPLIT(P:P, "" "")"),0.150953475779996)</f>
        <v>0.1509534758</v>
      </c>
      <c r="R571" s="4">
        <f>IFERROR(__xludf.DUMMYFUNCTION("""COMPUTED_VALUE"""),0.405979545943943)</f>
        <v>0.4059795459</v>
      </c>
      <c r="S571" s="15">
        <v>3240.0</v>
      </c>
      <c r="T571" s="4"/>
      <c r="U571" s="4"/>
    </row>
    <row r="572">
      <c r="A572" s="14" t="s">
        <v>2116</v>
      </c>
      <c r="B572" s="4">
        <f>IFERROR(__xludf.DUMMYFUNCTION("SPLIT(A:A, "" "")"),0.162855538448024)</f>
        <v>0.1628555384</v>
      </c>
      <c r="C572" s="4">
        <f>IFERROR(__xludf.DUMMYFUNCTION("""COMPUTED_VALUE"""),0.719717326200141)</f>
        <v>0.7197173262</v>
      </c>
      <c r="D572" s="15">
        <v>1400.0</v>
      </c>
      <c r="E572" s="4"/>
      <c r="F572" s="14" t="s">
        <v>2117</v>
      </c>
      <c r="G572" s="17">
        <f>IFERROR(__xludf.DUMMYFUNCTION("SPLIT(F:F, "" "")"),0.121624035404593)</f>
        <v>0.1216240354</v>
      </c>
      <c r="H572" s="4">
        <f>IFERROR(__xludf.DUMMYFUNCTION("""COMPUTED_VALUE"""),0.613904846700004)</f>
        <v>0.6139048467</v>
      </c>
      <c r="I572" s="15">
        <v>2800.0</v>
      </c>
      <c r="J572" s="4"/>
      <c r="K572" s="14" t="s">
        <v>2118</v>
      </c>
      <c r="L572" s="17">
        <f>IFERROR(__xludf.DUMMYFUNCTION("SPLIT(K:K, "" "")"),0.170824161772452)</f>
        <v>0.1708241618</v>
      </c>
      <c r="M572" s="4">
        <f>IFERROR(__xludf.DUMMYFUNCTION("""COMPUTED_VALUE"""),0.515342538454674)</f>
        <v>0.5153425385</v>
      </c>
      <c r="N572" s="15">
        <v>2168.0</v>
      </c>
      <c r="O572" s="4"/>
      <c r="P572" s="14" t="s">
        <v>2119</v>
      </c>
      <c r="Q572" s="17">
        <f>IFERROR(__xludf.DUMMYFUNCTION("SPLIT(P:P, "" "")"),0.15234868694293)</f>
        <v>0.1523486869</v>
      </c>
      <c r="R572" s="4">
        <f>IFERROR(__xludf.DUMMYFUNCTION("""COMPUTED_VALUE"""),0.40972280253538)</f>
        <v>0.4097228025</v>
      </c>
      <c r="S572" s="15">
        <v>3252.0</v>
      </c>
      <c r="T572" s="4"/>
      <c r="U572" s="4"/>
    </row>
    <row r="573">
      <c r="A573" s="14" t="s">
        <v>2120</v>
      </c>
      <c r="B573" s="4">
        <f>IFERROR(__xludf.DUMMYFUNCTION("SPLIT(A:A, "" "")"),0.159872276859704)</f>
        <v>0.1598722769</v>
      </c>
      <c r="C573" s="4">
        <f>IFERROR(__xludf.DUMMYFUNCTION("""COMPUTED_VALUE"""),0.706822703097948)</f>
        <v>0.7068227031</v>
      </c>
      <c r="D573" s="15">
        <v>1404.0</v>
      </c>
      <c r="E573" s="4"/>
      <c r="F573" s="14" t="s">
        <v>2121</v>
      </c>
      <c r="G573" s="17">
        <f>IFERROR(__xludf.DUMMYFUNCTION("SPLIT(F:F, "" "")"),0.122018828857015)</f>
        <v>0.1220188289</v>
      </c>
      <c r="H573" s="4">
        <f>IFERROR(__xludf.DUMMYFUNCTION("""COMPUTED_VALUE"""),0.621913737790381)</f>
        <v>0.6219137378</v>
      </c>
      <c r="I573" s="15">
        <v>2808.0</v>
      </c>
      <c r="J573" s="4"/>
      <c r="K573" s="14" t="s">
        <v>2122</v>
      </c>
      <c r="L573" s="17">
        <f>IFERROR(__xludf.DUMMYFUNCTION("SPLIT(K:K, "" "")"),0.167265286344416)</f>
        <v>0.1672652863</v>
      </c>
      <c r="M573" s="4">
        <f>IFERROR(__xludf.DUMMYFUNCTION("""COMPUTED_VALUE"""),0.509626302832574)</f>
        <v>0.5096263028</v>
      </c>
      <c r="N573" s="15">
        <v>2176.0</v>
      </c>
      <c r="O573" s="4"/>
      <c r="P573" s="14" t="s">
        <v>2123</v>
      </c>
      <c r="Q573" s="17">
        <f>IFERROR(__xludf.DUMMYFUNCTION("SPLIT(P:P, "" "")"),0.144174166545806)</f>
        <v>0.1441741665</v>
      </c>
      <c r="R573" s="4">
        <f>IFERROR(__xludf.DUMMYFUNCTION("""COMPUTED_VALUE"""),0.40333586528665)</f>
        <v>0.4033358653</v>
      </c>
      <c r="S573" s="15">
        <v>3264.0</v>
      </c>
      <c r="T573" s="4"/>
      <c r="U573" s="4"/>
    </row>
    <row r="574">
      <c r="A574" s="14" t="s">
        <v>2124</v>
      </c>
      <c r="B574" s="4">
        <f>IFERROR(__xludf.DUMMYFUNCTION("SPLIT(A:A, "" "")"),0.159742300716822)</f>
        <v>0.1597423007</v>
      </c>
      <c r="C574" s="4">
        <f>IFERROR(__xludf.DUMMYFUNCTION("""COMPUTED_VALUE"""),0.712745987394026)</f>
        <v>0.7127459874</v>
      </c>
      <c r="D574" s="15">
        <v>1408.0</v>
      </c>
      <c r="E574" s="4"/>
      <c r="F574" s="14" t="s">
        <v>2125</v>
      </c>
      <c r="G574" s="17">
        <f>IFERROR(__xludf.DUMMYFUNCTION("SPLIT(F:F, "" "")"),0.12018691882639)</f>
        <v>0.1201869188</v>
      </c>
      <c r="H574" s="4">
        <f>IFERROR(__xludf.DUMMYFUNCTION("""COMPUTED_VALUE"""),0.616627461435687)</f>
        <v>0.6166274614</v>
      </c>
      <c r="I574" s="15">
        <v>2816.0</v>
      </c>
      <c r="J574" s="4"/>
      <c r="K574" s="14" t="s">
        <v>2126</v>
      </c>
      <c r="L574" s="17">
        <f>IFERROR(__xludf.DUMMYFUNCTION("SPLIT(K:K, "" "")"),0.164105540181924)</f>
        <v>0.1641055402</v>
      </c>
      <c r="M574" s="4">
        <f>IFERROR(__xludf.DUMMYFUNCTION("""COMPUTED_VALUE"""),0.517607615817387)</f>
        <v>0.5176076158</v>
      </c>
      <c r="N574" s="15">
        <v>2184.0</v>
      </c>
      <c r="O574" s="4"/>
      <c r="P574" s="14" t="s">
        <v>2127</v>
      </c>
      <c r="Q574" s="17">
        <f>IFERROR(__xludf.DUMMYFUNCTION("SPLIT(P:P, "" "")"),0.148231888301552)</f>
        <v>0.1482318883</v>
      </c>
      <c r="R574" s="4">
        <f>IFERROR(__xludf.DUMMYFUNCTION("""COMPUTED_VALUE"""),0.412478572091694)</f>
        <v>0.4124785721</v>
      </c>
      <c r="S574" s="15">
        <v>3276.0</v>
      </c>
      <c r="T574" s="4"/>
      <c r="U574" s="4"/>
    </row>
    <row r="575">
      <c r="A575" s="14" t="s">
        <v>2128</v>
      </c>
      <c r="B575" s="4">
        <f>IFERROR(__xludf.DUMMYFUNCTION("SPLIT(A:A, "" "")"),0.157217365578034)</f>
        <v>0.1572173656</v>
      </c>
      <c r="C575" s="4">
        <f>IFERROR(__xludf.DUMMYFUNCTION("""COMPUTED_VALUE"""),0.710779725886667)</f>
        <v>0.7107797259</v>
      </c>
      <c r="D575" s="15">
        <v>1412.0</v>
      </c>
      <c r="E575" s="4"/>
      <c r="F575" s="14" t="s">
        <v>2129</v>
      </c>
      <c r="G575" s="17">
        <f>IFERROR(__xludf.DUMMYFUNCTION("SPLIT(F:F, "" "")"),0.120296195973054)</f>
        <v>0.120296196</v>
      </c>
      <c r="H575" s="4">
        <f>IFERROR(__xludf.DUMMYFUNCTION("""COMPUTED_VALUE"""),0.611215949662453)</f>
        <v>0.6112159497</v>
      </c>
      <c r="I575" s="15">
        <v>2824.0</v>
      </c>
      <c r="J575" s="4"/>
      <c r="K575" s="14" t="s">
        <v>2130</v>
      </c>
      <c r="L575" s="17">
        <f>IFERROR(__xludf.DUMMYFUNCTION("SPLIT(K:K, "" "")"),0.166526012526196)</f>
        <v>0.1665260125</v>
      </c>
      <c r="M575" s="4">
        <f>IFERROR(__xludf.DUMMYFUNCTION("""COMPUTED_VALUE"""),0.510490443519097)</f>
        <v>0.5104904435</v>
      </c>
      <c r="N575" s="15">
        <v>2192.0</v>
      </c>
      <c r="O575" s="4"/>
      <c r="P575" s="14" t="s">
        <v>2131</v>
      </c>
      <c r="Q575" s="17">
        <f>IFERROR(__xludf.DUMMYFUNCTION("SPLIT(P:P, "" "")"),0.145569464597497)</f>
        <v>0.1455694646</v>
      </c>
      <c r="R575" s="4">
        <f>IFERROR(__xludf.DUMMYFUNCTION("""COMPUTED_VALUE"""),0.411685780640609)</f>
        <v>0.4116857806</v>
      </c>
      <c r="S575" s="15">
        <v>3288.0</v>
      </c>
      <c r="T575" s="4"/>
      <c r="U575" s="4"/>
    </row>
    <row r="576">
      <c r="A576" s="14" t="s">
        <v>2132</v>
      </c>
      <c r="B576" s="4">
        <f>IFERROR(__xludf.DUMMYFUNCTION("SPLIT(A:A, "" "")"),0.158126543806931)</f>
        <v>0.1581265438</v>
      </c>
      <c r="C576" s="4">
        <f>IFERROR(__xludf.DUMMYFUNCTION("""COMPUTED_VALUE"""),0.711440777590874)</f>
        <v>0.7114407776</v>
      </c>
      <c r="D576" s="15">
        <v>1416.0</v>
      </c>
      <c r="E576" s="4"/>
      <c r="F576" s="14" t="s">
        <v>2133</v>
      </c>
      <c r="G576" s="17">
        <f>IFERROR(__xludf.DUMMYFUNCTION("SPLIT(F:F, "" "")"),0.127130590374491)</f>
        <v>0.1271305904</v>
      </c>
      <c r="H576" s="4">
        <f>IFERROR(__xludf.DUMMYFUNCTION("""COMPUTED_VALUE"""),0.618804923167419)</f>
        <v>0.6188049232</v>
      </c>
      <c r="I576" s="15">
        <v>2832.0</v>
      </c>
      <c r="J576" s="4"/>
      <c r="K576" s="14" t="s">
        <v>2134</v>
      </c>
      <c r="L576" s="17">
        <f>IFERROR(__xludf.DUMMYFUNCTION("SPLIT(K:K, "" "")"),0.167606921141301)</f>
        <v>0.1676069211</v>
      </c>
      <c r="M576" s="4">
        <f>IFERROR(__xludf.DUMMYFUNCTION("""COMPUTED_VALUE"""),0.527651566994667)</f>
        <v>0.527651567</v>
      </c>
      <c r="N576" s="15">
        <v>2200.0</v>
      </c>
      <c r="O576" s="4"/>
      <c r="P576" s="14" t="s">
        <v>2135</v>
      </c>
      <c r="Q576" s="17">
        <f>IFERROR(__xludf.DUMMYFUNCTION("SPLIT(P:P, "" "")"),0.142166967189995)</f>
        <v>0.1421669672</v>
      </c>
      <c r="R576" s="4">
        <f>IFERROR(__xludf.DUMMYFUNCTION("""COMPUTED_VALUE"""),0.406037555325513)</f>
        <v>0.4060375553</v>
      </c>
      <c r="S576" s="15">
        <v>3300.0</v>
      </c>
      <c r="T576" s="4"/>
      <c r="U576" s="4"/>
    </row>
    <row r="577">
      <c r="A577" s="14" t="s">
        <v>2136</v>
      </c>
      <c r="B577" s="4">
        <f>IFERROR(__xludf.DUMMYFUNCTION("SPLIT(A:A, "" "")"),0.157156806395867)</f>
        <v>0.1571568064</v>
      </c>
      <c r="C577" s="4">
        <f>IFERROR(__xludf.DUMMYFUNCTION("""COMPUTED_VALUE"""),0.710189512122294)</f>
        <v>0.7101895121</v>
      </c>
      <c r="D577" s="15">
        <v>1420.0</v>
      </c>
      <c r="E577" s="4"/>
      <c r="F577" s="14" t="s">
        <v>2137</v>
      </c>
      <c r="G577" s="17">
        <f>IFERROR(__xludf.DUMMYFUNCTION("SPLIT(F:F, "" "")"),0.122706389649335)</f>
        <v>0.1227063896</v>
      </c>
      <c r="H577" s="4">
        <f>IFERROR(__xludf.DUMMYFUNCTION("""COMPUTED_VALUE"""),0.621984314525574)</f>
        <v>0.6219843145</v>
      </c>
      <c r="I577" s="15">
        <v>2840.0</v>
      </c>
      <c r="J577" s="4"/>
      <c r="K577" s="14" t="s">
        <v>2138</v>
      </c>
      <c r="L577" s="17">
        <f>IFERROR(__xludf.DUMMYFUNCTION("SPLIT(K:K, "" "")"),0.16614038212678)</f>
        <v>0.1661403821</v>
      </c>
      <c r="M577" s="4">
        <f>IFERROR(__xludf.DUMMYFUNCTION("""COMPUTED_VALUE"""),0.523006796411337)</f>
        <v>0.5230067964</v>
      </c>
      <c r="N577" s="15">
        <v>2208.0</v>
      </c>
      <c r="O577" s="4"/>
      <c r="P577" s="14" t="s">
        <v>2139</v>
      </c>
      <c r="Q577" s="17">
        <f>IFERROR(__xludf.DUMMYFUNCTION("SPLIT(P:P, "" "")"),0.146170026636864)</f>
        <v>0.1461700266</v>
      </c>
      <c r="R577" s="4">
        <f>IFERROR(__xludf.DUMMYFUNCTION("""COMPUTED_VALUE"""),0.408328603642948)</f>
        <v>0.4083286036</v>
      </c>
      <c r="S577" s="15">
        <v>3312.0</v>
      </c>
      <c r="T577" s="4"/>
      <c r="U577" s="4"/>
    </row>
    <row r="578">
      <c r="A578" s="14" t="s">
        <v>2140</v>
      </c>
      <c r="B578" s="4">
        <f>IFERROR(__xludf.DUMMYFUNCTION("SPLIT(A:A, "" "")"),0.160816204807754)</f>
        <v>0.1608162048</v>
      </c>
      <c r="C578" s="4">
        <f>IFERROR(__xludf.DUMMYFUNCTION("""COMPUTED_VALUE"""),0.718250962341004)</f>
        <v>0.7182509623</v>
      </c>
      <c r="D578" s="15">
        <v>1424.0</v>
      </c>
      <c r="E578" s="4"/>
      <c r="F578" s="14" t="s">
        <v>2141</v>
      </c>
      <c r="G578" s="17">
        <f>IFERROR(__xludf.DUMMYFUNCTION("SPLIT(F:F, "" "")"),0.119817381095149)</f>
        <v>0.1198173811</v>
      </c>
      <c r="H578" s="4">
        <f>IFERROR(__xludf.DUMMYFUNCTION("""COMPUTED_VALUE"""),0.614516173481368)</f>
        <v>0.6145161735</v>
      </c>
      <c r="I578" s="15">
        <v>2848.0</v>
      </c>
      <c r="J578" s="4"/>
      <c r="K578" s="14" t="s">
        <v>2142</v>
      </c>
      <c r="L578" s="17">
        <f>IFERROR(__xludf.DUMMYFUNCTION("SPLIT(K:K, "" "")"),0.171009551119726)</f>
        <v>0.1710095511</v>
      </c>
      <c r="M578" s="4">
        <f>IFERROR(__xludf.DUMMYFUNCTION("""COMPUTED_VALUE"""),0.516000688987339)</f>
        <v>0.516000689</v>
      </c>
      <c r="N578" s="15">
        <v>2216.0</v>
      </c>
      <c r="O578" s="4"/>
      <c r="P578" s="14" t="s">
        <v>2143</v>
      </c>
      <c r="Q578" s="17">
        <f>IFERROR(__xludf.DUMMYFUNCTION("SPLIT(P:P, "" "")"),0.144361017102722)</f>
        <v>0.1443610171</v>
      </c>
      <c r="R578" s="4">
        <f>IFERROR(__xludf.DUMMYFUNCTION("""COMPUTED_VALUE"""),0.40473162039498)</f>
        <v>0.4047316204</v>
      </c>
      <c r="S578" s="15">
        <v>3324.0</v>
      </c>
      <c r="T578" s="4"/>
      <c r="U578" s="4"/>
    </row>
    <row r="579">
      <c r="A579" s="14" t="s">
        <v>2144</v>
      </c>
      <c r="B579" s="4">
        <f>IFERROR(__xludf.DUMMYFUNCTION("SPLIT(A:A, "" "")"),0.159020104616602)</f>
        <v>0.1590201046</v>
      </c>
      <c r="C579" s="4">
        <f>IFERROR(__xludf.DUMMYFUNCTION("""COMPUTED_VALUE"""),0.715916758840869)</f>
        <v>0.7159167588</v>
      </c>
      <c r="D579" s="15">
        <v>1428.0</v>
      </c>
      <c r="E579" s="4"/>
      <c r="F579" s="14" t="s">
        <v>2145</v>
      </c>
      <c r="G579" s="17">
        <f>IFERROR(__xludf.DUMMYFUNCTION("SPLIT(F:F, "" "")"),0.122946945913465)</f>
        <v>0.1229469459</v>
      </c>
      <c r="H579" s="4">
        <f>IFERROR(__xludf.DUMMYFUNCTION("""COMPUTED_VALUE"""),0.624316144835329)</f>
        <v>0.6243161448</v>
      </c>
      <c r="I579" s="15">
        <v>2856.0</v>
      </c>
      <c r="J579" s="4"/>
      <c r="K579" s="14" t="s">
        <v>2146</v>
      </c>
      <c r="L579" s="17">
        <f>IFERROR(__xludf.DUMMYFUNCTION("SPLIT(K:K, "" "")"),0.163930996625042)</f>
        <v>0.1639309966</v>
      </c>
      <c r="M579" s="4">
        <f>IFERROR(__xludf.DUMMYFUNCTION("""COMPUTED_VALUE"""),0.513390360219424)</f>
        <v>0.5133903602</v>
      </c>
      <c r="N579" s="15">
        <v>2224.0</v>
      </c>
      <c r="O579" s="4"/>
      <c r="P579" s="14" t="s">
        <v>2147</v>
      </c>
      <c r="Q579" s="17">
        <f>IFERROR(__xludf.DUMMYFUNCTION("SPLIT(P:P, "" "")"),0.14505692342013)</f>
        <v>0.1450569234</v>
      </c>
      <c r="R579" s="4">
        <f>IFERROR(__xludf.DUMMYFUNCTION("""COMPUTED_VALUE"""),0.414594699683214)</f>
        <v>0.4145946997</v>
      </c>
      <c r="S579" s="15">
        <v>3336.0</v>
      </c>
      <c r="T579" s="4"/>
      <c r="U579" s="4"/>
    </row>
    <row r="580">
      <c r="A580" s="14" t="s">
        <v>2148</v>
      </c>
      <c r="B580" s="4">
        <f>IFERROR(__xludf.DUMMYFUNCTION("SPLIT(A:A, "" "")"),0.155338772751518)</f>
        <v>0.1553387728</v>
      </c>
      <c r="C580" s="4">
        <f>IFERROR(__xludf.DUMMYFUNCTION("""COMPUTED_VALUE"""),0.703667921798138)</f>
        <v>0.7036679218</v>
      </c>
      <c r="D580" s="15">
        <v>1432.0</v>
      </c>
      <c r="E580" s="4"/>
      <c r="F580" s="14" t="s">
        <v>2149</v>
      </c>
      <c r="G580" s="17">
        <f>IFERROR(__xludf.DUMMYFUNCTION("SPLIT(F:F, "" "")"),0.121405354241562)</f>
        <v>0.1214053542</v>
      </c>
      <c r="H580" s="4">
        <f>IFERROR(__xludf.DUMMYFUNCTION("""COMPUTED_VALUE"""),0.611577762262401)</f>
        <v>0.6115777623</v>
      </c>
      <c r="I580" s="15">
        <v>2864.0</v>
      </c>
      <c r="J580" s="4"/>
      <c r="K580" s="14" t="s">
        <v>2150</v>
      </c>
      <c r="L580" s="17">
        <f>IFERROR(__xludf.DUMMYFUNCTION("SPLIT(K:K, "" "")"),0.168382001732276)</f>
        <v>0.1683820017</v>
      </c>
      <c r="M580" s="4">
        <f>IFERROR(__xludf.DUMMYFUNCTION("""COMPUTED_VALUE"""),0.51181247238551)</f>
        <v>0.5118124724</v>
      </c>
      <c r="N580" s="15">
        <v>2232.0</v>
      </c>
      <c r="O580" s="4"/>
      <c r="P580" s="14" t="s">
        <v>2151</v>
      </c>
      <c r="Q580" s="17">
        <f>IFERROR(__xludf.DUMMYFUNCTION("SPLIT(P:P, "" "")"),0.144283877165234)</f>
        <v>0.1442838772</v>
      </c>
      <c r="R580" s="4">
        <f>IFERROR(__xludf.DUMMYFUNCTION("""COMPUTED_VALUE"""),0.4064400206409)</f>
        <v>0.4064400206</v>
      </c>
      <c r="S580" s="15">
        <v>3348.0</v>
      </c>
      <c r="T580" s="4"/>
      <c r="U580" s="4"/>
    </row>
    <row r="581">
      <c r="A581" s="14" t="s">
        <v>2152</v>
      </c>
      <c r="B581" s="4">
        <f>IFERROR(__xludf.DUMMYFUNCTION("SPLIT(A:A, "" "")"),0.157527815449222)</f>
        <v>0.1575278154</v>
      </c>
      <c r="C581" s="4">
        <f>IFERROR(__xludf.DUMMYFUNCTION("""COMPUTED_VALUE"""),0.714117275571799)</f>
        <v>0.7141172756</v>
      </c>
      <c r="D581" s="15">
        <v>1436.0</v>
      </c>
      <c r="E581" s="4"/>
      <c r="F581" s="14" t="s">
        <v>2153</v>
      </c>
      <c r="G581" s="17">
        <f>IFERROR(__xludf.DUMMYFUNCTION("SPLIT(F:F, "" "")"),0.122269251562108)</f>
        <v>0.1222692516</v>
      </c>
      <c r="H581" s="4">
        <f>IFERROR(__xludf.DUMMYFUNCTION("""COMPUTED_VALUE"""),0.610360404118092)</f>
        <v>0.6103604041</v>
      </c>
      <c r="I581" s="15">
        <v>2872.0</v>
      </c>
      <c r="J581" s="4"/>
      <c r="K581" s="14" t="s">
        <v>2154</v>
      </c>
      <c r="L581" s="17">
        <f>IFERROR(__xludf.DUMMYFUNCTION("SPLIT(K:K, "" "")"),0.167312930416278)</f>
        <v>0.1673129304</v>
      </c>
      <c r="M581" s="4">
        <f>IFERROR(__xludf.DUMMYFUNCTION("""COMPUTED_VALUE"""),0.512616356028456)</f>
        <v>0.512616356</v>
      </c>
      <c r="N581" s="15">
        <v>2240.0</v>
      </c>
      <c r="O581" s="4"/>
      <c r="P581" s="14" t="s">
        <v>2155</v>
      </c>
      <c r="Q581" s="17">
        <f>IFERROR(__xludf.DUMMYFUNCTION("SPLIT(P:P, "" "")"),0.145521782690552)</f>
        <v>0.1455217827</v>
      </c>
      <c r="R581" s="4">
        <f>IFERROR(__xludf.DUMMYFUNCTION("""COMPUTED_VALUE"""),0.411787964445948)</f>
        <v>0.4117879644</v>
      </c>
      <c r="S581" s="15">
        <v>3360.0</v>
      </c>
      <c r="T581" s="4"/>
      <c r="U581" s="4"/>
    </row>
    <row r="582">
      <c r="A582" s="14" t="s">
        <v>2156</v>
      </c>
      <c r="B582" s="4">
        <f>IFERROR(__xludf.DUMMYFUNCTION("SPLIT(A:A, "" "")"),0.155251823647959)</f>
        <v>0.1552518236</v>
      </c>
      <c r="C582" s="4">
        <f>IFERROR(__xludf.DUMMYFUNCTION("""COMPUTED_VALUE"""),0.712961635037539)</f>
        <v>0.712961635</v>
      </c>
      <c r="D582" s="15">
        <v>1440.0</v>
      </c>
      <c r="E582" s="4"/>
      <c r="F582" s="14" t="s">
        <v>2157</v>
      </c>
      <c r="G582" s="17">
        <f>IFERROR(__xludf.DUMMYFUNCTION("SPLIT(F:F, "" "")"),0.120294255503229)</f>
        <v>0.1202942555</v>
      </c>
      <c r="H582" s="4">
        <f>IFERROR(__xludf.DUMMYFUNCTION("""COMPUTED_VALUE"""),0.618925784446949)</f>
        <v>0.6189257844</v>
      </c>
      <c r="I582" s="15">
        <v>2880.0</v>
      </c>
      <c r="J582" s="4"/>
      <c r="K582" s="14" t="s">
        <v>2158</v>
      </c>
      <c r="L582" s="17">
        <f>IFERROR(__xludf.DUMMYFUNCTION("SPLIT(K:K, "" "")"),0.163179327058956)</f>
        <v>0.1631793271</v>
      </c>
      <c r="M582" s="4">
        <f>IFERROR(__xludf.DUMMYFUNCTION("""COMPUTED_VALUE"""),0.51499088071588)</f>
        <v>0.5149908807</v>
      </c>
      <c r="N582" s="15">
        <v>2248.0</v>
      </c>
      <c r="O582" s="4"/>
      <c r="P582" s="14" t="s">
        <v>2159</v>
      </c>
      <c r="Q582" s="17">
        <f>IFERROR(__xludf.DUMMYFUNCTION("SPLIT(P:P, "" "")"),0.148363140160014)</f>
        <v>0.1483631402</v>
      </c>
      <c r="R582" s="4">
        <f>IFERROR(__xludf.DUMMYFUNCTION("""COMPUTED_VALUE"""),0.417856523994877)</f>
        <v>0.417856524</v>
      </c>
      <c r="S582" s="15">
        <v>3372.0</v>
      </c>
      <c r="T582" s="4"/>
      <c r="U582" s="4"/>
    </row>
    <row r="583">
      <c r="A583" s="14" t="s">
        <v>2160</v>
      </c>
      <c r="B583" s="4">
        <f>IFERROR(__xludf.DUMMYFUNCTION("SPLIT(A:A, "" "")"),0.154271454137882)</f>
        <v>0.1542714541</v>
      </c>
      <c r="C583" s="4">
        <f>IFERROR(__xludf.DUMMYFUNCTION("""COMPUTED_VALUE"""),0.711019539671186)</f>
        <v>0.7110195397</v>
      </c>
      <c r="D583" s="15">
        <v>1444.0</v>
      </c>
      <c r="E583" s="4"/>
      <c r="F583" s="14" t="s">
        <v>2161</v>
      </c>
      <c r="G583" s="17">
        <f>IFERROR(__xludf.DUMMYFUNCTION("SPLIT(F:F, "" "")"),0.121648247791989)</f>
        <v>0.1216482478</v>
      </c>
      <c r="H583" s="4">
        <f>IFERROR(__xludf.DUMMYFUNCTION("""COMPUTED_VALUE"""),0.624866726060724)</f>
        <v>0.6248667261</v>
      </c>
      <c r="I583" s="15">
        <v>2888.0</v>
      </c>
      <c r="J583" s="4"/>
      <c r="K583" s="14" t="s">
        <v>2162</v>
      </c>
      <c r="L583" s="17">
        <f>IFERROR(__xludf.DUMMYFUNCTION("SPLIT(K:K, "" "")"),0.177110300828371)</f>
        <v>0.1771103008</v>
      </c>
      <c r="M583" s="4">
        <f>IFERROR(__xludf.DUMMYFUNCTION("""COMPUTED_VALUE"""),0.526914783440436)</f>
        <v>0.5269147834</v>
      </c>
      <c r="N583" s="15">
        <v>2256.0</v>
      </c>
      <c r="O583" s="4"/>
      <c r="P583" s="14" t="s">
        <v>2163</v>
      </c>
      <c r="Q583" s="17">
        <f>IFERROR(__xludf.DUMMYFUNCTION("SPLIT(P:P, "" "")"),0.149272840761237)</f>
        <v>0.1492728408</v>
      </c>
      <c r="R583" s="4">
        <f>IFERROR(__xludf.DUMMYFUNCTION("""COMPUTED_VALUE"""),0.41914687613507)</f>
        <v>0.4191468761</v>
      </c>
      <c r="S583" s="15">
        <v>3384.0</v>
      </c>
      <c r="T583" s="4"/>
      <c r="U583" s="4"/>
    </row>
    <row r="584">
      <c r="A584" s="14" t="s">
        <v>2164</v>
      </c>
      <c r="B584" s="4">
        <f>IFERROR(__xludf.DUMMYFUNCTION("SPLIT(A:A, "" "")"),0.15916779093922)</f>
        <v>0.1591677909</v>
      </c>
      <c r="C584" s="4">
        <f>IFERROR(__xludf.DUMMYFUNCTION("""COMPUTED_VALUE"""),0.718600648228931)</f>
        <v>0.7186006482</v>
      </c>
      <c r="D584" s="15">
        <v>1448.0</v>
      </c>
      <c r="E584" s="4"/>
      <c r="F584" s="14" t="s">
        <v>2165</v>
      </c>
      <c r="G584" s="17">
        <f>IFERROR(__xludf.DUMMYFUNCTION("SPLIT(F:F, "" "")"),0.120035589594867)</f>
        <v>0.1200355896</v>
      </c>
      <c r="H584" s="4">
        <f>IFERROR(__xludf.DUMMYFUNCTION("""COMPUTED_VALUE"""),0.622801917611497)</f>
        <v>0.6228019176</v>
      </c>
      <c r="I584" s="15">
        <v>2896.0</v>
      </c>
      <c r="J584" s="4"/>
      <c r="K584" s="14" t="s">
        <v>2166</v>
      </c>
      <c r="L584" s="17">
        <f>IFERROR(__xludf.DUMMYFUNCTION("SPLIT(K:K, "" "")"),0.16231742191227)</f>
        <v>0.1623174219</v>
      </c>
      <c r="M584" s="4">
        <f>IFERROR(__xludf.DUMMYFUNCTION("""COMPUTED_VALUE"""),0.516316326181904)</f>
        <v>0.5163163262</v>
      </c>
      <c r="N584" s="15">
        <v>2264.0</v>
      </c>
      <c r="O584" s="4"/>
      <c r="P584" s="14" t="s">
        <v>2167</v>
      </c>
      <c r="Q584" s="17">
        <f>IFERROR(__xludf.DUMMYFUNCTION("SPLIT(P:P, "" "")"),0.143377486475444)</f>
        <v>0.1433774865</v>
      </c>
      <c r="R584" s="4">
        <f>IFERROR(__xludf.DUMMYFUNCTION("""COMPUTED_VALUE"""),0.405971130812099)</f>
        <v>0.4059711308</v>
      </c>
      <c r="S584" s="15">
        <v>3396.0</v>
      </c>
      <c r="T584" s="4"/>
      <c r="U584" s="4"/>
    </row>
    <row r="585">
      <c r="A585" s="14" t="s">
        <v>2168</v>
      </c>
      <c r="B585" s="4">
        <f>IFERROR(__xludf.DUMMYFUNCTION("SPLIT(A:A, "" "")"),0.150365793611364)</f>
        <v>0.1503657936</v>
      </c>
      <c r="C585" s="4">
        <f>IFERROR(__xludf.DUMMYFUNCTION("""COMPUTED_VALUE"""),0.703465484553971)</f>
        <v>0.7034654846</v>
      </c>
      <c r="D585" s="15">
        <v>1452.0</v>
      </c>
      <c r="E585" s="4"/>
      <c r="F585" s="14" t="s">
        <v>2169</v>
      </c>
      <c r="G585" s="17">
        <f>IFERROR(__xludf.DUMMYFUNCTION("SPLIT(F:F, "" "")"),0.11894399806483)</f>
        <v>0.1189439981</v>
      </c>
      <c r="H585" s="4">
        <f>IFERROR(__xludf.DUMMYFUNCTION("""COMPUTED_VALUE"""),0.610645481788936)</f>
        <v>0.6106454818</v>
      </c>
      <c r="I585" s="15">
        <v>2904.0</v>
      </c>
      <c r="J585" s="4"/>
      <c r="K585" s="14" t="s">
        <v>2170</v>
      </c>
      <c r="L585" s="17">
        <f>IFERROR(__xludf.DUMMYFUNCTION("SPLIT(K:K, "" "")"),0.165708317459625)</f>
        <v>0.1657083175</v>
      </c>
      <c r="M585" s="4">
        <f>IFERROR(__xludf.DUMMYFUNCTION("""COMPUTED_VALUE"""),0.519195921003886)</f>
        <v>0.519195921</v>
      </c>
      <c r="N585" s="15">
        <v>2272.0</v>
      </c>
      <c r="O585" s="4"/>
      <c r="P585" s="14" t="s">
        <v>2171</v>
      </c>
      <c r="Q585" s="17">
        <f>IFERROR(__xludf.DUMMYFUNCTION("SPLIT(P:P, "" "")"),0.146738846923636)</f>
        <v>0.1467388469</v>
      </c>
      <c r="R585" s="4">
        <f>IFERROR(__xludf.DUMMYFUNCTION("""COMPUTED_VALUE"""),0.416698786596879)</f>
        <v>0.4166987866</v>
      </c>
      <c r="S585" s="15">
        <v>3408.0</v>
      </c>
      <c r="T585" s="4"/>
      <c r="U585" s="4"/>
    </row>
    <row r="586">
      <c r="A586" s="14" t="s">
        <v>2172</v>
      </c>
      <c r="B586" s="4">
        <f>IFERROR(__xludf.DUMMYFUNCTION("SPLIT(A:A, "" "")"),0.158103731989603)</f>
        <v>0.158103732</v>
      </c>
      <c r="C586" s="4">
        <f>IFERROR(__xludf.DUMMYFUNCTION("""COMPUTED_VALUE"""),0.707312490331858)</f>
        <v>0.7073124903</v>
      </c>
      <c r="D586" s="15">
        <v>1456.0</v>
      </c>
      <c r="E586" s="4"/>
      <c r="F586" s="14" t="s">
        <v>2173</v>
      </c>
      <c r="G586" s="17">
        <f>IFERROR(__xludf.DUMMYFUNCTION("SPLIT(F:F, "" "")"),0.119986288919821)</f>
        <v>0.1199862889</v>
      </c>
      <c r="H586" s="4">
        <f>IFERROR(__xludf.DUMMYFUNCTION("""COMPUTED_VALUE"""),0.615200203578785)</f>
        <v>0.6152002036</v>
      </c>
      <c r="I586" s="15">
        <v>2912.0</v>
      </c>
      <c r="J586" s="4"/>
      <c r="K586" s="14" t="s">
        <v>2174</v>
      </c>
      <c r="L586" s="17">
        <f>IFERROR(__xludf.DUMMYFUNCTION("SPLIT(K:K, "" "")"),0.1642998033875)</f>
        <v>0.1642998034</v>
      </c>
      <c r="M586" s="4">
        <f>IFERROR(__xludf.DUMMYFUNCTION("""COMPUTED_VALUE"""),0.509297805202172)</f>
        <v>0.5092978052</v>
      </c>
      <c r="N586" s="15">
        <v>2280.0</v>
      </c>
      <c r="O586" s="4"/>
      <c r="P586" s="14" t="s">
        <v>2175</v>
      </c>
      <c r="Q586" s="17">
        <f>IFERROR(__xludf.DUMMYFUNCTION("SPLIT(P:P, "" "")"),0.148590509489078)</f>
        <v>0.1485905095</v>
      </c>
      <c r="R586" s="4">
        <f>IFERROR(__xludf.DUMMYFUNCTION("""COMPUTED_VALUE"""),0.417814415228342)</f>
        <v>0.4178144152</v>
      </c>
      <c r="S586" s="15">
        <v>3420.0</v>
      </c>
      <c r="T586" s="4"/>
      <c r="U586" s="4"/>
    </row>
    <row r="587">
      <c r="A587" s="14" t="s">
        <v>2176</v>
      </c>
      <c r="B587" s="4">
        <f>IFERROR(__xludf.DUMMYFUNCTION("SPLIT(A:A, "" "")"),0.154766005795253)</f>
        <v>0.1547660058</v>
      </c>
      <c r="C587" s="4">
        <f>IFERROR(__xludf.DUMMYFUNCTION("""COMPUTED_VALUE"""),0.710120256589345)</f>
        <v>0.7101202566</v>
      </c>
      <c r="D587" s="15">
        <v>1460.0</v>
      </c>
      <c r="E587" s="4"/>
      <c r="F587" s="14" t="s">
        <v>2177</v>
      </c>
      <c r="G587" s="17">
        <f>IFERROR(__xludf.DUMMYFUNCTION("SPLIT(F:F, "" "")"),0.120309775427529)</f>
        <v>0.1203097754</v>
      </c>
      <c r="H587" s="4">
        <f>IFERROR(__xludf.DUMMYFUNCTION("""COMPUTED_VALUE"""),0.612039400266113)</f>
        <v>0.6120394003</v>
      </c>
      <c r="I587" s="15">
        <v>2920.0</v>
      </c>
      <c r="J587" s="4"/>
      <c r="K587" s="14" t="s">
        <v>2178</v>
      </c>
      <c r="L587" s="17">
        <f>IFERROR(__xludf.DUMMYFUNCTION("SPLIT(K:K, "" "")"),0.167544859694592)</f>
        <v>0.1675448597</v>
      </c>
      <c r="M587" s="4">
        <f>IFERROR(__xludf.DUMMYFUNCTION("""COMPUTED_VALUE"""),0.526484936299791)</f>
        <v>0.5264849363</v>
      </c>
      <c r="N587" s="15">
        <v>2288.0</v>
      </c>
      <c r="O587" s="4"/>
      <c r="P587" s="14" t="s">
        <v>2179</v>
      </c>
      <c r="Q587" s="17">
        <f>IFERROR(__xludf.DUMMYFUNCTION("SPLIT(P:P, "" "")"),0.143253629766947)</f>
        <v>0.1432536298</v>
      </c>
      <c r="R587" s="4">
        <f>IFERROR(__xludf.DUMMYFUNCTION("""COMPUTED_VALUE"""),0.414274985411943)</f>
        <v>0.4142749854</v>
      </c>
      <c r="S587" s="15">
        <v>3432.0</v>
      </c>
      <c r="T587" s="4"/>
      <c r="U587" s="4"/>
    </row>
    <row r="588">
      <c r="A588" s="14" t="s">
        <v>2180</v>
      </c>
      <c r="B588" s="4">
        <f>IFERROR(__xludf.DUMMYFUNCTION("SPLIT(A:A, "" "")"),0.154713038627699)</f>
        <v>0.1547130386</v>
      </c>
      <c r="C588" s="4">
        <f>IFERROR(__xludf.DUMMYFUNCTION("""COMPUTED_VALUE"""),0.709649364349189)</f>
        <v>0.7096493643</v>
      </c>
      <c r="D588" s="15">
        <v>1464.0</v>
      </c>
      <c r="E588" s="4"/>
      <c r="F588" s="14" t="s">
        <v>2181</v>
      </c>
      <c r="G588" s="17">
        <f>IFERROR(__xludf.DUMMYFUNCTION("SPLIT(F:F, "" "")"),0.122352167294571)</f>
        <v>0.1223521673</v>
      </c>
      <c r="H588" s="4">
        <f>IFERROR(__xludf.DUMMYFUNCTION("""COMPUTED_VALUE"""),0.620313431146023)</f>
        <v>0.6203134311</v>
      </c>
      <c r="I588" s="15">
        <v>2928.0</v>
      </c>
      <c r="J588" s="4"/>
      <c r="K588" s="14" t="s">
        <v>2182</v>
      </c>
      <c r="L588" s="17">
        <f>IFERROR(__xludf.DUMMYFUNCTION("SPLIT(K:K, "" "")"),0.164182512626653)</f>
        <v>0.1641825126</v>
      </c>
      <c r="M588" s="4">
        <f>IFERROR(__xludf.DUMMYFUNCTION("""COMPUTED_VALUE"""),0.516945523987841)</f>
        <v>0.516945524</v>
      </c>
      <c r="N588" s="15">
        <v>2296.0</v>
      </c>
      <c r="O588" s="4"/>
      <c r="P588" s="14" t="s">
        <v>2183</v>
      </c>
      <c r="Q588" s="17">
        <f>IFERROR(__xludf.DUMMYFUNCTION("SPLIT(P:P, "" "")"),0.141699422222725)</f>
        <v>0.1416994222</v>
      </c>
      <c r="R588" s="4">
        <f>IFERROR(__xludf.DUMMYFUNCTION("""COMPUTED_VALUE"""),0.399175336714026)</f>
        <v>0.3991753367</v>
      </c>
      <c r="S588" s="15">
        <v>3444.0</v>
      </c>
      <c r="T588" s="4"/>
      <c r="U588" s="4"/>
    </row>
    <row r="589">
      <c r="A589" s="14" t="s">
        <v>2184</v>
      </c>
      <c r="B589" s="4">
        <f>IFERROR(__xludf.DUMMYFUNCTION("SPLIT(A:A, "" "")"),0.158004479747121)</f>
        <v>0.1580044797</v>
      </c>
      <c r="C589" s="4">
        <f>IFERROR(__xludf.DUMMYFUNCTION("""COMPUTED_VALUE"""),0.714978701625276)</f>
        <v>0.7149787016</v>
      </c>
      <c r="D589" s="15">
        <v>1468.0</v>
      </c>
      <c r="E589" s="4"/>
      <c r="F589" s="14" t="s">
        <v>2185</v>
      </c>
      <c r="G589" s="17">
        <f>IFERROR(__xludf.DUMMYFUNCTION("SPLIT(F:F, "" "")"),0.118509530725718)</f>
        <v>0.1185095307</v>
      </c>
      <c r="H589" s="4">
        <f>IFERROR(__xludf.DUMMYFUNCTION("""COMPUTED_VALUE"""),0.607782260021789)</f>
        <v>0.60778226</v>
      </c>
      <c r="I589" s="15">
        <v>2936.0</v>
      </c>
      <c r="J589" s="4"/>
      <c r="K589" s="14" t="s">
        <v>2186</v>
      </c>
      <c r="L589" s="17">
        <f>IFERROR(__xludf.DUMMYFUNCTION("SPLIT(K:K, "" "")"),0.160816325449269)</f>
        <v>0.1608163254</v>
      </c>
      <c r="M589" s="4">
        <f>IFERROR(__xludf.DUMMYFUNCTION("""COMPUTED_VALUE"""),0.51278812624078)</f>
        <v>0.5127881262</v>
      </c>
      <c r="N589" s="15">
        <v>2304.0</v>
      </c>
      <c r="O589" s="4"/>
      <c r="P589" s="14" t="s">
        <v>2187</v>
      </c>
      <c r="Q589" s="17">
        <f>IFERROR(__xludf.DUMMYFUNCTION("SPLIT(P:P, "" "")"),0.140772411599928)</f>
        <v>0.1407724116</v>
      </c>
      <c r="R589" s="4">
        <f>IFERROR(__xludf.DUMMYFUNCTION("""COMPUTED_VALUE"""),0.399534147436362)</f>
        <v>0.3995341474</v>
      </c>
      <c r="S589" s="15">
        <v>3456.0</v>
      </c>
      <c r="T589" s="4"/>
      <c r="U589" s="4"/>
    </row>
    <row r="590">
      <c r="A590" s="14" t="s">
        <v>2188</v>
      </c>
      <c r="B590" s="4">
        <f>IFERROR(__xludf.DUMMYFUNCTION("SPLIT(A:A, "" "")"),0.155503491812398)</f>
        <v>0.1555034918</v>
      </c>
      <c r="C590" s="4">
        <f>IFERROR(__xludf.DUMMYFUNCTION("""COMPUTED_VALUE"""),0.707352235243222)</f>
        <v>0.7073522352</v>
      </c>
      <c r="D590" s="15">
        <v>1472.0</v>
      </c>
      <c r="E590" s="4"/>
      <c r="F590" s="14" t="s">
        <v>2189</v>
      </c>
      <c r="G590" s="17">
        <f>IFERROR(__xludf.DUMMYFUNCTION("SPLIT(F:F, "" "")"),0.117606552515889)</f>
        <v>0.1176065525</v>
      </c>
      <c r="H590" s="4">
        <f>IFERROR(__xludf.DUMMYFUNCTION("""COMPUTED_VALUE"""),0.617344368458953)</f>
        <v>0.6173443685</v>
      </c>
      <c r="I590" s="15">
        <v>2944.0</v>
      </c>
      <c r="J590" s="4"/>
      <c r="K590" s="14" t="s">
        <v>2190</v>
      </c>
      <c r="L590" s="17">
        <f>IFERROR(__xludf.DUMMYFUNCTION("SPLIT(K:K, "" "")"),0.161220135974848)</f>
        <v>0.161220136</v>
      </c>
      <c r="M590" s="4">
        <f>IFERROR(__xludf.DUMMYFUNCTION("""COMPUTED_VALUE"""),0.523107630087655)</f>
        <v>0.5231076301</v>
      </c>
      <c r="N590" s="15">
        <v>2312.0</v>
      </c>
      <c r="O590" s="4"/>
      <c r="P590" s="14" t="s">
        <v>2191</v>
      </c>
      <c r="Q590" s="17">
        <f>IFERROR(__xludf.DUMMYFUNCTION("SPLIT(P:P, "" "")"),0.139499434948832)</f>
        <v>0.1394994349</v>
      </c>
      <c r="R590" s="4">
        <f>IFERROR(__xludf.DUMMYFUNCTION("""COMPUTED_VALUE"""),0.4083041204162)</f>
        <v>0.4083041204</v>
      </c>
      <c r="S590" s="15">
        <v>3468.0</v>
      </c>
      <c r="T590" s="4"/>
      <c r="U590" s="4"/>
    </row>
    <row r="591">
      <c r="A591" s="14" t="s">
        <v>2192</v>
      </c>
      <c r="B591" s="4">
        <f>IFERROR(__xludf.DUMMYFUNCTION("SPLIT(A:A, "" "")"),0.155542881805048)</f>
        <v>0.1555428818</v>
      </c>
      <c r="C591" s="4">
        <f>IFERROR(__xludf.DUMMYFUNCTION("""COMPUTED_VALUE"""),0.704185164753818)</f>
        <v>0.7041851648</v>
      </c>
      <c r="D591" s="15">
        <v>1476.0</v>
      </c>
      <c r="E591" s="4"/>
      <c r="F591" s="14" t="s">
        <v>2193</v>
      </c>
      <c r="G591" s="17">
        <f>IFERROR(__xludf.DUMMYFUNCTION("SPLIT(F:F, "" "")"),0.118226859086119)</f>
        <v>0.1182268591</v>
      </c>
      <c r="H591" s="4">
        <f>IFERROR(__xludf.DUMMYFUNCTION("""COMPUTED_VALUE"""),0.615642114631931)</f>
        <v>0.6156421146</v>
      </c>
      <c r="I591" s="15">
        <v>2952.0</v>
      </c>
      <c r="J591" s="4"/>
      <c r="K591" s="14" t="s">
        <v>2194</v>
      </c>
      <c r="L591" s="17">
        <f>IFERROR(__xludf.DUMMYFUNCTION("SPLIT(K:K, "" "")"),0.162222921530329)</f>
        <v>0.1622229215</v>
      </c>
      <c r="M591" s="4">
        <f>IFERROR(__xludf.DUMMYFUNCTION("""COMPUTED_VALUE"""),0.511536505249957)</f>
        <v>0.5115365052</v>
      </c>
      <c r="N591" s="15">
        <v>2320.0</v>
      </c>
      <c r="O591" s="4"/>
      <c r="P591" s="14" t="s">
        <v>2195</v>
      </c>
      <c r="Q591" s="17">
        <f>IFERROR(__xludf.DUMMYFUNCTION("SPLIT(P:P, "" "")"),0.141644873919352)</f>
        <v>0.1416448739</v>
      </c>
      <c r="R591" s="4">
        <f>IFERROR(__xludf.DUMMYFUNCTION("""COMPUTED_VALUE"""),0.406015731035039)</f>
        <v>0.406015731</v>
      </c>
      <c r="S591" s="15">
        <v>3480.0</v>
      </c>
      <c r="T591" s="4"/>
      <c r="U591" s="4"/>
    </row>
    <row r="592">
      <c r="A592" s="14" t="s">
        <v>2196</v>
      </c>
      <c r="B592" s="4">
        <f>IFERROR(__xludf.DUMMYFUNCTION("SPLIT(A:A, "" "")"),0.153662342014478)</f>
        <v>0.153662342</v>
      </c>
      <c r="C592" s="4">
        <f>IFERROR(__xludf.DUMMYFUNCTION("""COMPUTED_VALUE"""),0.703799120353953)</f>
        <v>0.7037991204</v>
      </c>
      <c r="D592" s="15">
        <v>1480.0</v>
      </c>
      <c r="E592" s="4"/>
      <c r="F592" s="14" t="s">
        <v>2197</v>
      </c>
      <c r="G592" s="17">
        <f>IFERROR(__xludf.DUMMYFUNCTION("SPLIT(F:F, "" "")"),0.118780188809162)</f>
        <v>0.1187801888</v>
      </c>
      <c r="H592" s="4">
        <f>IFERROR(__xludf.DUMMYFUNCTION("""COMPUTED_VALUE"""),0.615860358400624)</f>
        <v>0.6158603584</v>
      </c>
      <c r="I592" s="15">
        <v>2960.0</v>
      </c>
      <c r="J592" s="4"/>
      <c r="K592" s="14" t="s">
        <v>2198</v>
      </c>
      <c r="L592" s="17">
        <f>IFERROR(__xludf.DUMMYFUNCTION("SPLIT(K:K, "" "")"),0.160001048022616)</f>
        <v>0.160001048</v>
      </c>
      <c r="M592" s="4">
        <f>IFERROR(__xludf.DUMMYFUNCTION("""COMPUTED_VALUE"""),0.50878149283357)</f>
        <v>0.5087814928</v>
      </c>
      <c r="N592" s="15">
        <v>2328.0</v>
      </c>
      <c r="O592" s="4"/>
      <c r="P592" s="14" t="s">
        <v>2199</v>
      </c>
      <c r="Q592" s="17">
        <f>IFERROR(__xludf.DUMMYFUNCTION("SPLIT(P:P, "" "")"),0.139779817829511)</f>
        <v>0.1397798178</v>
      </c>
      <c r="R592" s="4">
        <f>IFERROR(__xludf.DUMMYFUNCTION("""COMPUTED_VALUE"""),0.404250940645619)</f>
        <v>0.4042509406</v>
      </c>
      <c r="S592" s="15">
        <v>3492.0</v>
      </c>
      <c r="T592" s="4"/>
      <c r="U592" s="4"/>
    </row>
    <row r="593">
      <c r="A593" s="14" t="s">
        <v>2200</v>
      </c>
      <c r="B593" s="4">
        <f>IFERROR(__xludf.DUMMYFUNCTION("SPLIT(A:A, "" "")"),0.159750433588209)</f>
        <v>0.1597504336</v>
      </c>
      <c r="C593" s="4">
        <f>IFERROR(__xludf.DUMMYFUNCTION("""COMPUTED_VALUE"""),0.731192048277537)</f>
        <v>0.7311920483</v>
      </c>
      <c r="D593" s="15">
        <v>1484.0</v>
      </c>
      <c r="E593" s="4"/>
      <c r="F593" s="14" t="s">
        <v>2201</v>
      </c>
      <c r="G593" s="17">
        <f>IFERROR(__xludf.DUMMYFUNCTION("SPLIT(F:F, "" "")"),0.117094210493037)</f>
        <v>0.1170942105</v>
      </c>
      <c r="H593" s="4">
        <f>IFERROR(__xludf.DUMMYFUNCTION("""COMPUTED_VALUE"""),0.61569682009173)</f>
        <v>0.6156968201</v>
      </c>
      <c r="I593" s="15">
        <v>2968.0</v>
      </c>
      <c r="J593" s="4"/>
      <c r="K593" s="14" t="s">
        <v>2202</v>
      </c>
      <c r="L593" s="17">
        <f>IFERROR(__xludf.DUMMYFUNCTION("SPLIT(K:K, "" "")"),0.158842294385989)</f>
        <v>0.1588422944</v>
      </c>
      <c r="M593" s="4">
        <f>IFERROR(__xludf.DUMMYFUNCTION("""COMPUTED_VALUE"""),0.506081855748146)</f>
        <v>0.5060818557</v>
      </c>
      <c r="N593" s="15">
        <v>2336.0</v>
      </c>
      <c r="O593" s="4"/>
      <c r="P593" s="14" t="s">
        <v>2203</v>
      </c>
      <c r="Q593" s="17">
        <f>IFERROR(__xludf.DUMMYFUNCTION("SPLIT(P:P, "" "")"),0.140508411996397)</f>
        <v>0.140508412</v>
      </c>
      <c r="R593" s="4">
        <f>IFERROR(__xludf.DUMMYFUNCTION("""COMPUTED_VALUE"""),0.402457159022079)</f>
        <v>0.402457159</v>
      </c>
      <c r="S593" s="15">
        <v>3504.0</v>
      </c>
      <c r="T593" s="4"/>
      <c r="U593" s="4"/>
    </row>
    <row r="594">
      <c r="A594" s="14" t="s">
        <v>2204</v>
      </c>
      <c r="B594" s="4">
        <f>IFERROR(__xludf.DUMMYFUNCTION("SPLIT(A:A, "" "")"),0.152853512321583)</f>
        <v>0.1528535123</v>
      </c>
      <c r="C594" s="4">
        <f>IFERROR(__xludf.DUMMYFUNCTION("""COMPUTED_VALUE"""),0.717308880580277)</f>
        <v>0.7173088806</v>
      </c>
      <c r="D594" s="15">
        <v>1488.0</v>
      </c>
      <c r="E594" s="4"/>
      <c r="F594" s="14" t="s">
        <v>2205</v>
      </c>
      <c r="G594" s="17">
        <f>IFERROR(__xludf.DUMMYFUNCTION("SPLIT(F:F, "" "")"),0.118142058586553)</f>
        <v>0.1181420586</v>
      </c>
      <c r="H594" s="4">
        <f>IFERROR(__xludf.DUMMYFUNCTION("""COMPUTED_VALUE"""),0.616500575325064)</f>
        <v>0.6165005753</v>
      </c>
      <c r="I594" s="15">
        <v>2976.0</v>
      </c>
      <c r="J594" s="4"/>
      <c r="K594" s="14" t="s">
        <v>2206</v>
      </c>
      <c r="L594" s="17">
        <f>IFERROR(__xludf.DUMMYFUNCTION("SPLIT(K:K, "" "")"),0.165745716963436)</f>
        <v>0.165745717</v>
      </c>
      <c r="M594" s="4">
        <f>IFERROR(__xludf.DUMMYFUNCTION("""COMPUTED_VALUE"""),0.52877061522711)</f>
        <v>0.5287706152</v>
      </c>
      <c r="N594" s="15">
        <v>2344.0</v>
      </c>
      <c r="O594" s="4"/>
      <c r="P594" s="14" t="s">
        <v>2207</v>
      </c>
      <c r="Q594" s="17">
        <f>IFERROR(__xludf.DUMMYFUNCTION("SPLIT(P:P, "" "")"),0.141810313238116)</f>
        <v>0.1418103132</v>
      </c>
      <c r="R594" s="4">
        <f>IFERROR(__xludf.DUMMYFUNCTION("""COMPUTED_VALUE"""),0.400396195662974)</f>
        <v>0.4003961957</v>
      </c>
      <c r="S594" s="15">
        <v>3516.0</v>
      </c>
      <c r="T594" s="4"/>
      <c r="U594" s="4"/>
    </row>
    <row r="595">
      <c r="A595" s="14" t="s">
        <v>2208</v>
      </c>
      <c r="B595" s="4">
        <f>IFERROR(__xludf.DUMMYFUNCTION("SPLIT(A:A, "" "")"),0.151466876303941)</f>
        <v>0.1514668763</v>
      </c>
      <c r="C595" s="4">
        <f>IFERROR(__xludf.DUMMYFUNCTION("""COMPUTED_VALUE"""),0.708934249283615)</f>
        <v>0.7089342493</v>
      </c>
      <c r="D595" s="15">
        <v>1492.0</v>
      </c>
      <c r="E595" s="4"/>
      <c r="F595" s="14" t="s">
        <v>2209</v>
      </c>
      <c r="G595" s="17">
        <f>IFERROR(__xludf.DUMMYFUNCTION("SPLIT(F:F, "" "")"),0.114713570502419)</f>
        <v>0.1147135705</v>
      </c>
      <c r="H595" s="4">
        <f>IFERROR(__xludf.DUMMYFUNCTION("""COMPUTED_VALUE"""),0.613115647427886)</f>
        <v>0.6131156474</v>
      </c>
      <c r="I595" s="15">
        <v>2984.0</v>
      </c>
      <c r="J595" s="4"/>
      <c r="K595" s="14" t="s">
        <v>2210</v>
      </c>
      <c r="L595" s="17">
        <f>IFERROR(__xludf.DUMMYFUNCTION("SPLIT(K:K, "" "")"),0.162174293613697)</f>
        <v>0.1621742936</v>
      </c>
      <c r="M595" s="4">
        <f>IFERROR(__xludf.DUMMYFUNCTION("""COMPUTED_VALUE"""),0.518359834667439)</f>
        <v>0.5183598347</v>
      </c>
      <c r="N595" s="15">
        <v>2352.0</v>
      </c>
      <c r="O595" s="4"/>
      <c r="P595" s="14" t="s">
        <v>2211</v>
      </c>
      <c r="Q595" s="17">
        <f>IFERROR(__xludf.DUMMYFUNCTION("SPLIT(P:P, "" "")"),0.140012563519559)</f>
        <v>0.1400125635</v>
      </c>
      <c r="R595" s="4">
        <f>IFERROR(__xludf.DUMMYFUNCTION("""COMPUTED_VALUE"""),0.403014673944584)</f>
        <v>0.4030146739</v>
      </c>
      <c r="S595" s="15">
        <v>3528.0</v>
      </c>
      <c r="T595" s="4"/>
      <c r="U595" s="4"/>
    </row>
    <row r="596">
      <c r="A596" s="14" t="s">
        <v>2212</v>
      </c>
      <c r="B596" s="4">
        <f>IFERROR(__xludf.DUMMYFUNCTION("SPLIT(A:A, "" "")"),0.155251907140678)</f>
        <v>0.1552519071</v>
      </c>
      <c r="C596" s="4">
        <f>IFERROR(__xludf.DUMMYFUNCTION("""COMPUTED_VALUE"""),0.720346826314077)</f>
        <v>0.7203468263</v>
      </c>
      <c r="D596" s="15">
        <v>1496.0</v>
      </c>
      <c r="E596" s="4"/>
      <c r="F596" s="14" t="s">
        <v>2213</v>
      </c>
      <c r="G596" s="17">
        <f>IFERROR(__xludf.DUMMYFUNCTION("SPLIT(F:F, "" "")"),0.117348090739443)</f>
        <v>0.1173480907</v>
      </c>
      <c r="H596" s="4">
        <f>IFERROR(__xludf.DUMMYFUNCTION("""COMPUTED_VALUE"""),0.623114471210966)</f>
        <v>0.6231144712</v>
      </c>
      <c r="I596" s="15">
        <v>2992.0</v>
      </c>
      <c r="J596" s="4"/>
      <c r="K596" s="14" t="s">
        <v>2214</v>
      </c>
      <c r="L596" s="17">
        <f>IFERROR(__xludf.DUMMYFUNCTION("SPLIT(K:K, "" "")"),0.16285768710665)</f>
        <v>0.1628576871</v>
      </c>
      <c r="M596" s="4">
        <f>IFERROR(__xludf.DUMMYFUNCTION("""COMPUTED_VALUE"""),0.521841717563362)</f>
        <v>0.5218417176</v>
      </c>
      <c r="N596" s="15">
        <v>2360.0</v>
      </c>
      <c r="O596" s="4"/>
      <c r="P596" s="14" t="s">
        <v>2215</v>
      </c>
      <c r="Q596" s="17">
        <f>IFERROR(__xludf.DUMMYFUNCTION("SPLIT(P:P, "" "")"),0.141316191878315)</f>
        <v>0.1413161919</v>
      </c>
      <c r="R596" s="4">
        <f>IFERROR(__xludf.DUMMYFUNCTION("""COMPUTED_VALUE"""),0.40894872588018)</f>
        <v>0.4089487259</v>
      </c>
      <c r="S596" s="15">
        <v>3540.0</v>
      </c>
      <c r="T596" s="4"/>
      <c r="U596" s="4"/>
    </row>
    <row r="597">
      <c r="A597" s="14" t="s">
        <v>2216</v>
      </c>
      <c r="B597" s="4">
        <f>IFERROR(__xludf.DUMMYFUNCTION("SPLIT(A:A, "" "")"),0.153981729765511)</f>
        <v>0.1539817298</v>
      </c>
      <c r="C597" s="4">
        <f>IFERROR(__xludf.DUMMYFUNCTION("""COMPUTED_VALUE"""),0.726432662968262)</f>
        <v>0.726432663</v>
      </c>
      <c r="D597" s="15">
        <v>1500.0</v>
      </c>
      <c r="E597" s="4"/>
      <c r="F597" s="14" t="s">
        <v>2217</v>
      </c>
      <c r="G597" s="17">
        <f>IFERROR(__xludf.DUMMYFUNCTION("SPLIT(F:F, "" "")"),0.115601338313579)</f>
        <v>0.1156013383</v>
      </c>
      <c r="H597" s="4">
        <f>IFERROR(__xludf.DUMMYFUNCTION("""COMPUTED_VALUE"""),0.614453293011132)</f>
        <v>0.614453293</v>
      </c>
      <c r="I597" s="15">
        <v>3000.0</v>
      </c>
      <c r="J597" s="4"/>
      <c r="K597" s="14" t="s">
        <v>2218</v>
      </c>
      <c r="L597" s="17">
        <f>IFERROR(__xludf.DUMMYFUNCTION("SPLIT(K:K, "" "")"),0.163258435197938)</f>
        <v>0.1632584352</v>
      </c>
      <c r="M597" s="4">
        <f>IFERROR(__xludf.DUMMYFUNCTION("""COMPUTED_VALUE"""),0.514911245664897)</f>
        <v>0.5149112457</v>
      </c>
      <c r="N597" s="15">
        <v>2368.0</v>
      </c>
      <c r="O597" s="4"/>
      <c r="P597" s="14" t="s">
        <v>2219</v>
      </c>
      <c r="Q597" s="17">
        <f>IFERROR(__xludf.DUMMYFUNCTION("SPLIT(P:P, "" "")"),0.142815699194818)</f>
        <v>0.1428156992</v>
      </c>
      <c r="R597" s="4">
        <f>IFERROR(__xludf.DUMMYFUNCTION("""COMPUTED_VALUE"""),0.410209424713116)</f>
        <v>0.4102094247</v>
      </c>
      <c r="S597" s="15">
        <v>3552.0</v>
      </c>
      <c r="T597" s="4"/>
      <c r="U597" s="4"/>
    </row>
    <row r="598">
      <c r="A598" s="14" t="s">
        <v>2220</v>
      </c>
      <c r="B598" s="4">
        <f>IFERROR(__xludf.DUMMYFUNCTION("SPLIT(A:A, "" "")"),0.155003531884494)</f>
        <v>0.1550035319</v>
      </c>
      <c r="C598" s="4">
        <f>IFERROR(__xludf.DUMMYFUNCTION("""COMPUTED_VALUE"""),0.712957008109087)</f>
        <v>0.7129570081</v>
      </c>
      <c r="D598" s="15">
        <v>1504.0</v>
      </c>
      <c r="E598" s="4"/>
      <c r="F598" s="14" t="s">
        <v>2221</v>
      </c>
      <c r="G598" s="17">
        <f>IFERROR(__xludf.DUMMYFUNCTION("SPLIT(F:F, "" "")"),0.118997012330985)</f>
        <v>0.1189970123</v>
      </c>
      <c r="H598" s="4">
        <f>IFERROR(__xludf.DUMMYFUNCTION("""COMPUTED_VALUE"""),0.628464860400012)</f>
        <v>0.6284648604</v>
      </c>
      <c r="I598" s="15">
        <v>3008.0</v>
      </c>
      <c r="J598" s="4"/>
      <c r="K598" s="14" t="s">
        <v>2222</v>
      </c>
      <c r="L598" s="17">
        <f>IFERROR(__xludf.DUMMYFUNCTION("SPLIT(K:K, "" "")"),0.159105782288609)</f>
        <v>0.1591057823</v>
      </c>
      <c r="M598" s="4">
        <f>IFERROR(__xludf.DUMMYFUNCTION("""COMPUTED_VALUE"""),0.50949255824954)</f>
        <v>0.5094925582</v>
      </c>
      <c r="N598" s="15">
        <v>2376.0</v>
      </c>
      <c r="O598" s="4"/>
      <c r="P598" s="14" t="s">
        <v>2223</v>
      </c>
      <c r="Q598" s="17">
        <f>IFERROR(__xludf.DUMMYFUNCTION("SPLIT(P:P, "" "")"),0.141691343523512)</f>
        <v>0.1416913435</v>
      </c>
      <c r="R598" s="4">
        <f>IFERROR(__xludf.DUMMYFUNCTION("""COMPUTED_VALUE"""),0.401749723861848)</f>
        <v>0.4017497239</v>
      </c>
      <c r="S598" s="15">
        <v>3564.0</v>
      </c>
      <c r="T598" s="4"/>
      <c r="U598" s="4"/>
    </row>
    <row r="599">
      <c r="A599" s="14" t="s">
        <v>2224</v>
      </c>
      <c r="B599" s="4">
        <f>IFERROR(__xludf.DUMMYFUNCTION("SPLIT(A:A, "" "")"),0.151933151729449)</f>
        <v>0.1519331517</v>
      </c>
      <c r="C599" s="4">
        <f>IFERROR(__xludf.DUMMYFUNCTION("""COMPUTED_VALUE"""),0.713868707750678)</f>
        <v>0.7138687078</v>
      </c>
      <c r="D599" s="15">
        <v>1508.0</v>
      </c>
      <c r="E599" s="4"/>
      <c r="F599" s="14" t="s">
        <v>2225</v>
      </c>
      <c r="G599" s="17">
        <f>IFERROR(__xludf.DUMMYFUNCTION("SPLIT(F:F, "" "")"),0.118659669496343)</f>
        <v>0.1186596695</v>
      </c>
      <c r="H599" s="4">
        <f>IFERROR(__xludf.DUMMYFUNCTION("""COMPUTED_VALUE"""),0.622532084181557)</f>
        <v>0.6225320842</v>
      </c>
      <c r="I599" s="15">
        <v>3016.0</v>
      </c>
      <c r="J599" s="4"/>
      <c r="K599" s="14" t="s">
        <v>2226</v>
      </c>
      <c r="L599" s="17">
        <f>IFERROR(__xludf.DUMMYFUNCTION("SPLIT(K:K, "" "")"),0.160125062606109)</f>
        <v>0.1601250626</v>
      </c>
      <c r="M599" s="4">
        <f>IFERROR(__xludf.DUMMYFUNCTION("""COMPUTED_VALUE"""),0.512301571358375)</f>
        <v>0.5123015714</v>
      </c>
      <c r="N599" s="15">
        <v>2384.0</v>
      </c>
      <c r="O599" s="4"/>
      <c r="P599" s="14" t="s">
        <v>2227</v>
      </c>
      <c r="Q599" s="17">
        <f>IFERROR(__xludf.DUMMYFUNCTION("SPLIT(P:P, "" "")"),0.144644644137857)</f>
        <v>0.1446446441</v>
      </c>
      <c r="R599" s="4">
        <f>IFERROR(__xludf.DUMMYFUNCTION("""COMPUTED_VALUE"""),0.403109916026406)</f>
        <v>0.403109916</v>
      </c>
      <c r="S599" s="15">
        <v>3576.0</v>
      </c>
      <c r="T599" s="4"/>
      <c r="U599" s="4"/>
    </row>
    <row r="600">
      <c r="A600" s="14" t="s">
        <v>2228</v>
      </c>
      <c r="B600" s="4">
        <f>IFERROR(__xludf.DUMMYFUNCTION("SPLIT(A:A, "" "")"),0.152625337323674)</f>
        <v>0.1526253373</v>
      </c>
      <c r="C600" s="4">
        <f>IFERROR(__xludf.DUMMYFUNCTION("""COMPUTED_VALUE"""),0.712773994994452)</f>
        <v>0.712773995</v>
      </c>
      <c r="D600" s="15">
        <v>1512.0</v>
      </c>
      <c r="E600" s="4"/>
      <c r="F600" s="14" t="s">
        <v>2229</v>
      </c>
      <c r="G600" s="17">
        <f>IFERROR(__xludf.DUMMYFUNCTION("SPLIT(F:F, "" "")"),0.116798665904144)</f>
        <v>0.1167986659</v>
      </c>
      <c r="H600" s="4">
        <f>IFERROR(__xludf.DUMMYFUNCTION("""COMPUTED_VALUE"""),0.609666387396102)</f>
        <v>0.6096663874</v>
      </c>
      <c r="I600" s="15">
        <v>3024.0</v>
      </c>
      <c r="J600" s="4"/>
      <c r="K600" s="14" t="s">
        <v>2230</v>
      </c>
      <c r="L600" s="17">
        <f>IFERROR(__xludf.DUMMYFUNCTION("SPLIT(K:K, "" "")"),0.155943936797555)</f>
        <v>0.1559439368</v>
      </c>
      <c r="M600" s="4">
        <f>IFERROR(__xludf.DUMMYFUNCTION("""COMPUTED_VALUE"""),0.508599605039463)</f>
        <v>0.508599605</v>
      </c>
      <c r="N600" s="15">
        <v>2392.0</v>
      </c>
      <c r="O600" s="4"/>
      <c r="P600" s="14" t="s">
        <v>2231</v>
      </c>
      <c r="Q600" s="17">
        <f>IFERROR(__xludf.DUMMYFUNCTION("SPLIT(P:P, "" "")"),0.140415390838789)</f>
        <v>0.1404153908</v>
      </c>
      <c r="R600" s="4">
        <f>IFERROR(__xludf.DUMMYFUNCTION("""COMPUTED_VALUE"""),0.402299047321758)</f>
        <v>0.4022990473</v>
      </c>
      <c r="S600" s="15">
        <v>3588.0</v>
      </c>
      <c r="T600" s="4"/>
      <c r="U600" s="4"/>
    </row>
    <row r="601">
      <c r="A601" s="14" t="s">
        <v>2232</v>
      </c>
      <c r="B601" s="4">
        <f>IFERROR(__xludf.DUMMYFUNCTION("SPLIT(A:A, "" "")"),0.154078564897828)</f>
        <v>0.1540785649</v>
      </c>
      <c r="C601" s="4">
        <f>IFERROR(__xludf.DUMMYFUNCTION("""COMPUTED_VALUE"""),0.718536640999224)</f>
        <v>0.718536641</v>
      </c>
      <c r="D601" s="15">
        <v>1516.0</v>
      </c>
      <c r="E601" s="4"/>
      <c r="F601" s="14" t="s">
        <v>2233</v>
      </c>
      <c r="G601" s="17">
        <f>IFERROR(__xludf.DUMMYFUNCTION("SPLIT(F:F, "" "")"),0.120387718900702)</f>
        <v>0.1203877189</v>
      </c>
      <c r="H601" s="4">
        <f>IFERROR(__xludf.DUMMYFUNCTION("""COMPUTED_VALUE"""),0.629080754596686)</f>
        <v>0.6290807546</v>
      </c>
      <c r="I601" s="15">
        <v>3032.0</v>
      </c>
      <c r="J601" s="4"/>
      <c r="K601" s="14" t="s">
        <v>2234</v>
      </c>
      <c r="L601" s="17">
        <f>IFERROR(__xludf.DUMMYFUNCTION("SPLIT(K:K, "" "")"),0.15754620659872)</f>
        <v>0.1575462066</v>
      </c>
      <c r="M601" s="4">
        <f>IFERROR(__xludf.DUMMYFUNCTION("""COMPUTED_VALUE"""),0.514817536035355)</f>
        <v>0.514817536</v>
      </c>
      <c r="N601" s="15">
        <v>2400.0</v>
      </c>
      <c r="O601" s="4"/>
      <c r="P601" s="14" t="s">
        <v>2235</v>
      </c>
      <c r="Q601" s="17">
        <f>IFERROR(__xludf.DUMMYFUNCTION("SPLIT(P:P, "" "")"),0.138086238869427)</f>
        <v>0.1380862389</v>
      </c>
      <c r="R601" s="4">
        <f>IFERROR(__xludf.DUMMYFUNCTION("""COMPUTED_VALUE"""),0.399728475831832)</f>
        <v>0.3997284758</v>
      </c>
      <c r="S601" s="15">
        <v>3600.0</v>
      </c>
      <c r="T601" s="4"/>
      <c r="U601" s="4"/>
    </row>
    <row r="602">
      <c r="A602" s="14" t="s">
        <v>2236</v>
      </c>
      <c r="B602" s="4">
        <f>IFERROR(__xludf.DUMMYFUNCTION("SPLIT(A:A, "" "")"),0.149125703209293)</f>
        <v>0.1491257032</v>
      </c>
      <c r="C602" s="4">
        <f>IFERROR(__xludf.DUMMYFUNCTION("""COMPUTED_VALUE"""),0.713792205930572)</f>
        <v>0.7137922059</v>
      </c>
      <c r="D602" s="15">
        <v>1520.0</v>
      </c>
      <c r="E602" s="4"/>
      <c r="F602" s="14" t="s">
        <v>2237</v>
      </c>
      <c r="G602" s="17">
        <f>IFERROR(__xludf.DUMMYFUNCTION("SPLIT(F:F, "" "")"),0.117098970224319)</f>
        <v>0.1170989702</v>
      </c>
      <c r="H602" s="4">
        <f>IFERROR(__xludf.DUMMYFUNCTION("""COMPUTED_VALUE"""),0.611377282359474)</f>
        <v>0.6113772824</v>
      </c>
      <c r="I602" s="15">
        <v>3040.0</v>
      </c>
      <c r="J602" s="4"/>
      <c r="K602" s="14" t="s">
        <v>2238</v>
      </c>
      <c r="L602" s="17">
        <f>IFERROR(__xludf.DUMMYFUNCTION("SPLIT(K:K, "" "")"),0.158783647741825)</f>
        <v>0.1587836477</v>
      </c>
      <c r="M602" s="4">
        <f>IFERROR(__xludf.DUMMYFUNCTION("""COMPUTED_VALUE"""),0.509201528732864)</f>
        <v>0.5092015287</v>
      </c>
      <c r="N602" s="15">
        <v>2408.0</v>
      </c>
      <c r="O602" s="4"/>
      <c r="P602" s="14" t="s">
        <v>2239</v>
      </c>
      <c r="Q602" s="17">
        <f>IFERROR(__xludf.DUMMYFUNCTION("SPLIT(P:P, "" "")"),0.136667878162321)</f>
        <v>0.1366678782</v>
      </c>
      <c r="R602" s="4">
        <f>IFERROR(__xludf.DUMMYFUNCTION("""COMPUTED_VALUE"""),0.400793192528752)</f>
        <v>0.4007931925</v>
      </c>
      <c r="S602" s="15">
        <v>3612.0</v>
      </c>
      <c r="T602" s="4"/>
      <c r="U602" s="4"/>
    </row>
    <row r="603">
      <c r="A603" s="14" t="s">
        <v>2240</v>
      </c>
      <c r="B603" s="4">
        <f>IFERROR(__xludf.DUMMYFUNCTION("SPLIT(A:A, "" "")"),0.155645659018324)</f>
        <v>0.155645659</v>
      </c>
      <c r="C603" s="4">
        <f>IFERROR(__xludf.DUMMYFUNCTION("""COMPUTED_VALUE"""),0.716088832829914)</f>
        <v>0.7160888328</v>
      </c>
      <c r="D603" s="15">
        <v>1524.0</v>
      </c>
      <c r="E603" s="4"/>
      <c r="F603" s="14" t="s">
        <v>2241</v>
      </c>
      <c r="G603" s="17">
        <f>IFERROR(__xludf.DUMMYFUNCTION("SPLIT(F:F, "" "")"),0.114445257124377)</f>
        <v>0.1144452571</v>
      </c>
      <c r="H603" s="4">
        <f>IFERROR(__xludf.DUMMYFUNCTION("""COMPUTED_VALUE"""),0.619115577221002)</f>
        <v>0.6191155772</v>
      </c>
      <c r="I603" s="15">
        <v>3048.0</v>
      </c>
      <c r="J603" s="4"/>
      <c r="K603" s="14" t="s">
        <v>2242</v>
      </c>
      <c r="L603" s="17">
        <f>IFERROR(__xludf.DUMMYFUNCTION("SPLIT(K:K, "" "")"),0.157064707904101)</f>
        <v>0.1570647079</v>
      </c>
      <c r="M603" s="4">
        <f>IFERROR(__xludf.DUMMYFUNCTION("""COMPUTED_VALUE"""),0.505344380762604)</f>
        <v>0.5053443808</v>
      </c>
      <c r="N603" s="15">
        <v>2416.0</v>
      </c>
      <c r="O603" s="4"/>
      <c r="P603" s="14" t="s">
        <v>2243</v>
      </c>
      <c r="Q603" s="17">
        <f>IFERROR(__xludf.DUMMYFUNCTION("SPLIT(P:P, "" "")"),0.138999011184414)</f>
        <v>0.1389990112</v>
      </c>
      <c r="R603" s="4">
        <f>IFERROR(__xludf.DUMMYFUNCTION("""COMPUTED_VALUE"""),0.397680742075599)</f>
        <v>0.3976807421</v>
      </c>
      <c r="S603" s="15">
        <v>3624.0</v>
      </c>
      <c r="T603" s="4"/>
      <c r="U603" s="4"/>
    </row>
    <row r="604">
      <c r="A604" s="14" t="s">
        <v>2244</v>
      </c>
      <c r="B604" s="4">
        <f>IFERROR(__xludf.DUMMYFUNCTION("SPLIT(A:A, "" "")"),0.152297860549527)</f>
        <v>0.1522978605</v>
      </c>
      <c r="C604" s="4">
        <f>IFERROR(__xludf.DUMMYFUNCTION("""COMPUTED_VALUE"""),0.710716478033361)</f>
        <v>0.710716478</v>
      </c>
      <c r="D604" s="15">
        <v>1528.0</v>
      </c>
      <c r="E604" s="4"/>
      <c r="F604" s="14" t="s">
        <v>2245</v>
      </c>
      <c r="G604" s="17">
        <f>IFERROR(__xludf.DUMMYFUNCTION("SPLIT(F:F, "" "")"),0.120487080133136)</f>
        <v>0.1204870801</v>
      </c>
      <c r="H604" s="4">
        <f>IFERROR(__xludf.DUMMYFUNCTION("""COMPUTED_VALUE"""),0.631048640545983)</f>
        <v>0.6310486405</v>
      </c>
      <c r="I604" s="15">
        <v>3056.0</v>
      </c>
      <c r="J604" s="4"/>
      <c r="K604" s="14" t="s">
        <v>2246</v>
      </c>
      <c r="L604" s="17">
        <f>IFERROR(__xludf.DUMMYFUNCTION("SPLIT(K:K, "" "")"),0.157546097743877)</f>
        <v>0.1575460977</v>
      </c>
      <c r="M604" s="4">
        <f>IFERROR(__xludf.DUMMYFUNCTION("""COMPUTED_VALUE"""),0.515017699162352)</f>
        <v>0.5150176992</v>
      </c>
      <c r="N604" s="15">
        <v>2424.0</v>
      </c>
      <c r="O604" s="4"/>
      <c r="P604" s="14" t="s">
        <v>2247</v>
      </c>
      <c r="Q604" s="17">
        <f>IFERROR(__xludf.DUMMYFUNCTION("SPLIT(P:P, "" "")"),0.138688367463827)</f>
        <v>0.1386883675</v>
      </c>
      <c r="R604" s="4">
        <f>IFERROR(__xludf.DUMMYFUNCTION("""COMPUTED_VALUE"""),0.399263055035101)</f>
        <v>0.399263055</v>
      </c>
      <c r="S604" s="15">
        <v>3636.0</v>
      </c>
      <c r="T604" s="4"/>
      <c r="U604" s="4"/>
    </row>
    <row r="605">
      <c r="A605" s="14" t="s">
        <v>2248</v>
      </c>
      <c r="B605" s="4">
        <f>IFERROR(__xludf.DUMMYFUNCTION("SPLIT(A:A, "" "")"),0.150677869202488)</f>
        <v>0.1506778692</v>
      </c>
      <c r="C605" s="4">
        <f>IFERROR(__xludf.DUMMYFUNCTION("""COMPUTED_VALUE"""),0.711456437746282)</f>
        <v>0.7114564377</v>
      </c>
      <c r="D605" s="15">
        <v>1532.0</v>
      </c>
      <c r="E605" s="4"/>
      <c r="F605" s="14" t="s">
        <v>2249</v>
      </c>
      <c r="G605" s="17">
        <f>IFERROR(__xludf.DUMMYFUNCTION("SPLIT(F:F, "" "")"),0.116080313620714)</f>
        <v>0.1160803136</v>
      </c>
      <c r="H605" s="4">
        <f>IFERROR(__xludf.DUMMYFUNCTION("""COMPUTED_VALUE"""),0.619387139856029)</f>
        <v>0.6193871399</v>
      </c>
      <c r="I605" s="15">
        <v>3064.0</v>
      </c>
      <c r="J605" s="4"/>
      <c r="K605" s="14" t="s">
        <v>2250</v>
      </c>
      <c r="L605" s="17">
        <f>IFERROR(__xludf.DUMMYFUNCTION("SPLIT(K:K, "" "")"),0.157430509688261)</f>
        <v>0.1574305097</v>
      </c>
      <c r="M605" s="4">
        <f>IFERROR(__xludf.DUMMYFUNCTION("""COMPUTED_VALUE"""),0.506931328550727)</f>
        <v>0.5069313286</v>
      </c>
      <c r="N605" s="15">
        <v>2432.0</v>
      </c>
      <c r="O605" s="4"/>
      <c r="P605" s="14" t="s">
        <v>2251</v>
      </c>
      <c r="Q605" s="17">
        <f>IFERROR(__xludf.DUMMYFUNCTION("SPLIT(P:P, "" "")"),0.135270184181903)</f>
        <v>0.1352701842</v>
      </c>
      <c r="R605" s="4">
        <f>IFERROR(__xludf.DUMMYFUNCTION("""COMPUTED_VALUE"""),0.393843588478253)</f>
        <v>0.3938435885</v>
      </c>
      <c r="S605" s="15">
        <v>3648.0</v>
      </c>
      <c r="T605" s="4"/>
      <c r="U605" s="4"/>
    </row>
    <row r="606">
      <c r="A606" s="14" t="s">
        <v>2252</v>
      </c>
      <c r="B606" s="4">
        <f>IFERROR(__xludf.DUMMYFUNCTION("SPLIT(A:A, "" "")"),0.15091079875921)</f>
        <v>0.1509107988</v>
      </c>
      <c r="C606" s="4">
        <f>IFERROR(__xludf.DUMMYFUNCTION("""COMPUTED_VALUE"""),0.702729825303543)</f>
        <v>0.7027298253</v>
      </c>
      <c r="D606" s="15">
        <v>1536.0</v>
      </c>
      <c r="E606" s="4"/>
      <c r="F606" s="14" t="s">
        <v>2253</v>
      </c>
      <c r="G606" s="17">
        <f>IFERROR(__xludf.DUMMYFUNCTION("SPLIT(F:F, "" "")"),0.116629881045953)</f>
        <v>0.116629881</v>
      </c>
      <c r="H606" s="4">
        <f>IFERROR(__xludf.DUMMYFUNCTION("""COMPUTED_VALUE"""),0.615592150152559)</f>
        <v>0.6155921502</v>
      </c>
      <c r="I606" s="15">
        <v>3072.0</v>
      </c>
      <c r="J606" s="4"/>
      <c r="K606" s="14" t="s">
        <v>2254</v>
      </c>
      <c r="L606" s="17">
        <f>IFERROR(__xludf.DUMMYFUNCTION("SPLIT(K:K, "" "")"),0.154202276929131)</f>
        <v>0.1542022769</v>
      </c>
      <c r="M606" s="4">
        <f>IFERROR(__xludf.DUMMYFUNCTION("""COMPUTED_VALUE"""),0.510985151916947)</f>
        <v>0.5109851519</v>
      </c>
      <c r="N606" s="15">
        <v>2440.0</v>
      </c>
      <c r="O606" s="4"/>
      <c r="P606" s="14" t="s">
        <v>2255</v>
      </c>
      <c r="Q606" s="17">
        <f>IFERROR(__xludf.DUMMYFUNCTION("SPLIT(P:P, "" "")"),0.135939518531009)</f>
        <v>0.1359395185</v>
      </c>
      <c r="R606" s="4">
        <f>IFERROR(__xludf.DUMMYFUNCTION("""COMPUTED_VALUE"""),0.394377186800984)</f>
        <v>0.3943771868</v>
      </c>
      <c r="S606" s="15">
        <v>3660.0</v>
      </c>
      <c r="T606" s="4"/>
      <c r="U606" s="4"/>
    </row>
    <row r="607">
      <c r="A607" s="14" t="s">
        <v>2256</v>
      </c>
      <c r="B607" s="4">
        <f>IFERROR(__xludf.DUMMYFUNCTION("SPLIT(A:A, "" "")"),0.148687816500422)</f>
        <v>0.1486878165</v>
      </c>
      <c r="C607" s="4">
        <f>IFERROR(__xludf.DUMMYFUNCTION("""COMPUTED_VALUE"""),0.71154583429394)</f>
        <v>0.7115458343</v>
      </c>
      <c r="D607" s="15">
        <v>1540.0</v>
      </c>
      <c r="E607" s="4"/>
      <c r="F607" s="14" t="s">
        <v>2257</v>
      </c>
      <c r="G607" s="17">
        <f>IFERROR(__xludf.DUMMYFUNCTION("SPLIT(F:F, "" "")"),0.116687676574148)</f>
        <v>0.1166876766</v>
      </c>
      <c r="H607" s="4">
        <f>IFERROR(__xludf.DUMMYFUNCTION("""COMPUTED_VALUE"""),0.623499388579035)</f>
        <v>0.6234993886</v>
      </c>
      <c r="I607" s="15">
        <v>3080.0</v>
      </c>
      <c r="J607" s="4"/>
      <c r="K607" s="14" t="s">
        <v>2258</v>
      </c>
      <c r="L607" s="17">
        <f>IFERROR(__xludf.DUMMYFUNCTION("SPLIT(K:K, "" "")"),0.153476347269288)</f>
        <v>0.1534763473</v>
      </c>
      <c r="M607" s="4">
        <f>IFERROR(__xludf.DUMMYFUNCTION("""COMPUTED_VALUE"""),0.507774052875036)</f>
        <v>0.5077740529</v>
      </c>
      <c r="N607" s="15">
        <v>2448.0</v>
      </c>
      <c r="O607" s="4"/>
      <c r="P607" s="14" t="s">
        <v>2259</v>
      </c>
      <c r="Q607" s="17">
        <f>IFERROR(__xludf.DUMMYFUNCTION("SPLIT(P:P, "" "")"),0.137556993828913)</f>
        <v>0.1375569938</v>
      </c>
      <c r="R607" s="4">
        <f>IFERROR(__xludf.DUMMYFUNCTION("""COMPUTED_VALUE"""),0.399429854047639)</f>
        <v>0.399429854</v>
      </c>
      <c r="S607" s="15">
        <v>3672.0</v>
      </c>
      <c r="T607" s="4"/>
      <c r="U607" s="4"/>
    </row>
    <row r="608">
      <c r="A608" s="14" t="s">
        <v>2260</v>
      </c>
      <c r="B608" s="4">
        <f>IFERROR(__xludf.DUMMYFUNCTION("SPLIT(A:A, "" "")"),0.152786633432304)</f>
        <v>0.1527866334</v>
      </c>
      <c r="C608" s="4">
        <f>IFERROR(__xludf.DUMMYFUNCTION("""COMPUTED_VALUE"""),0.713753555706498)</f>
        <v>0.7137535557</v>
      </c>
      <c r="D608" s="15">
        <v>1544.0</v>
      </c>
      <c r="E608" s="4"/>
      <c r="F608" s="14" t="s">
        <v>2261</v>
      </c>
      <c r="G608" s="17">
        <f>IFERROR(__xludf.DUMMYFUNCTION("SPLIT(F:F, "" "")"),0.120598831909044)</f>
        <v>0.1205988319</v>
      </c>
      <c r="H608" s="4">
        <f>IFERROR(__xludf.DUMMYFUNCTION("""COMPUTED_VALUE"""),0.627589525760194)</f>
        <v>0.6275895258</v>
      </c>
      <c r="I608" s="15">
        <v>3088.0</v>
      </c>
      <c r="J608" s="4"/>
      <c r="K608" s="14" t="s">
        <v>2262</v>
      </c>
      <c r="L608" s="17">
        <f>IFERROR(__xludf.DUMMYFUNCTION("SPLIT(K:K, "" "")"),0.154123803260024)</f>
        <v>0.1541238033</v>
      </c>
      <c r="M608" s="4">
        <f>IFERROR(__xludf.DUMMYFUNCTION("""COMPUTED_VALUE"""),0.520996803647016)</f>
        <v>0.5209968036</v>
      </c>
      <c r="N608" s="15">
        <v>2456.0</v>
      </c>
      <c r="O608" s="4"/>
      <c r="P608" s="14" t="s">
        <v>2263</v>
      </c>
      <c r="Q608" s="17">
        <f>IFERROR(__xludf.DUMMYFUNCTION("SPLIT(P:P, "" "")"),0.139265439178702)</f>
        <v>0.1392654392</v>
      </c>
      <c r="R608" s="4">
        <f>IFERROR(__xludf.DUMMYFUNCTION("""COMPUTED_VALUE"""),0.396031654843066)</f>
        <v>0.3960316548</v>
      </c>
      <c r="S608" s="15">
        <v>3684.0</v>
      </c>
      <c r="T608" s="4"/>
      <c r="U608" s="4"/>
    </row>
    <row r="609">
      <c r="A609" s="14" t="s">
        <v>2264</v>
      </c>
      <c r="B609" s="4">
        <f>IFERROR(__xludf.DUMMYFUNCTION("SPLIT(A:A, "" "")"),0.153091875164815)</f>
        <v>0.1530918752</v>
      </c>
      <c r="C609" s="4">
        <f>IFERROR(__xludf.DUMMYFUNCTION("""COMPUTED_VALUE"""),0.713812654892365)</f>
        <v>0.7138126549</v>
      </c>
      <c r="D609" s="15">
        <v>1548.0</v>
      </c>
      <c r="E609" s="4"/>
      <c r="F609" s="14" t="s">
        <v>2265</v>
      </c>
      <c r="G609" s="17">
        <f>IFERROR(__xludf.DUMMYFUNCTION("SPLIT(F:F, "" "")"),0.115653485256788)</f>
        <v>0.1156534853</v>
      </c>
      <c r="H609" s="4">
        <f>IFERROR(__xludf.DUMMYFUNCTION("""COMPUTED_VALUE"""),0.619455265344001)</f>
        <v>0.6194552653</v>
      </c>
      <c r="I609" s="15">
        <v>3096.0</v>
      </c>
      <c r="J609" s="4"/>
      <c r="K609" s="14" t="s">
        <v>2266</v>
      </c>
      <c r="L609" s="17">
        <f>IFERROR(__xludf.DUMMYFUNCTION("SPLIT(K:K, "" "")"),0.153421229045071)</f>
        <v>0.153421229</v>
      </c>
      <c r="M609" s="4">
        <f>IFERROR(__xludf.DUMMYFUNCTION("""COMPUTED_VALUE"""),0.507494174414546)</f>
        <v>0.5074941744</v>
      </c>
      <c r="N609" s="15">
        <v>2464.0</v>
      </c>
      <c r="O609" s="4"/>
      <c r="P609" s="14" t="s">
        <v>2267</v>
      </c>
      <c r="Q609" s="17">
        <f>IFERROR(__xludf.DUMMYFUNCTION("SPLIT(P:P, "" "")"),0.140729882508463)</f>
        <v>0.1407298825</v>
      </c>
      <c r="R609" s="4">
        <f>IFERROR(__xludf.DUMMYFUNCTION("""COMPUTED_VALUE"""),0.407277363320327)</f>
        <v>0.4072773633</v>
      </c>
      <c r="S609" s="15">
        <v>3696.0</v>
      </c>
      <c r="T609" s="4"/>
      <c r="U609" s="4"/>
    </row>
    <row r="610">
      <c r="A610" s="14" t="s">
        <v>2268</v>
      </c>
      <c r="B610" s="4">
        <f>IFERROR(__xludf.DUMMYFUNCTION("SPLIT(A:A, "" "")"),0.153781199594629)</f>
        <v>0.1537811996</v>
      </c>
      <c r="C610" s="4">
        <f>IFERROR(__xludf.DUMMYFUNCTION("""COMPUTED_VALUE"""),0.721009993638928)</f>
        <v>0.7210099936</v>
      </c>
      <c r="D610" s="15">
        <v>1552.0</v>
      </c>
      <c r="E610" s="4"/>
      <c r="F610" s="14" t="s">
        <v>2269</v>
      </c>
      <c r="G610" s="17">
        <f>IFERROR(__xludf.DUMMYFUNCTION("SPLIT(F:F, "" "")"),0.114874241297919)</f>
        <v>0.1148742413</v>
      </c>
      <c r="H610" s="4">
        <f>IFERROR(__xludf.DUMMYFUNCTION("""COMPUTED_VALUE"""),0.619269922641163)</f>
        <v>0.6192699226</v>
      </c>
      <c r="I610" s="15">
        <v>3104.0</v>
      </c>
      <c r="J610" s="4"/>
      <c r="K610" s="14" t="s">
        <v>2270</v>
      </c>
      <c r="L610" s="17">
        <f>IFERROR(__xludf.DUMMYFUNCTION("SPLIT(K:K, "" "")"),0.156965485083023)</f>
        <v>0.1569654851</v>
      </c>
      <c r="M610" s="4">
        <f>IFERROR(__xludf.DUMMYFUNCTION("""COMPUTED_VALUE"""),0.519694295252595)</f>
        <v>0.5196942953</v>
      </c>
      <c r="N610" s="15">
        <v>2472.0</v>
      </c>
      <c r="O610" s="4"/>
      <c r="P610" s="14" t="s">
        <v>2271</v>
      </c>
      <c r="Q610" s="17">
        <f>IFERROR(__xludf.DUMMYFUNCTION("SPLIT(P:P, "" "")"),0.134712835241265)</f>
        <v>0.1347128352</v>
      </c>
      <c r="R610" s="4">
        <f>IFERROR(__xludf.DUMMYFUNCTION("""COMPUTED_VALUE"""),0.396838853989629)</f>
        <v>0.396838854</v>
      </c>
      <c r="S610" s="15">
        <v>3708.0</v>
      </c>
      <c r="T610" s="4"/>
      <c r="U610" s="4"/>
    </row>
    <row r="611">
      <c r="A611" s="14" t="s">
        <v>2272</v>
      </c>
      <c r="B611" s="4">
        <f>IFERROR(__xludf.DUMMYFUNCTION("SPLIT(A:A, "" "")"),0.147474575340796)</f>
        <v>0.1474745753</v>
      </c>
      <c r="C611" s="4">
        <f>IFERROR(__xludf.DUMMYFUNCTION("""COMPUTED_VALUE"""),0.712836847675513)</f>
        <v>0.7128368477</v>
      </c>
      <c r="D611" s="15">
        <v>1556.0</v>
      </c>
      <c r="E611" s="4"/>
      <c r="F611" s="14" t="s">
        <v>2273</v>
      </c>
      <c r="G611" s="17">
        <f>IFERROR(__xludf.DUMMYFUNCTION("SPLIT(F:F, "" "")"),0.112580485452708)</f>
        <v>0.1125804855</v>
      </c>
      <c r="H611" s="4">
        <f>IFERROR(__xludf.DUMMYFUNCTION("""COMPUTED_VALUE"""),0.615112922874428)</f>
        <v>0.6151129229</v>
      </c>
      <c r="I611" s="15">
        <v>3112.0</v>
      </c>
      <c r="J611" s="4"/>
      <c r="K611" s="14" t="s">
        <v>2274</v>
      </c>
      <c r="L611" s="17">
        <f>IFERROR(__xludf.DUMMYFUNCTION("SPLIT(K:K, "" "")"),0.158577281699532)</f>
        <v>0.1585772817</v>
      </c>
      <c r="M611" s="4">
        <f>IFERROR(__xludf.DUMMYFUNCTION("""COMPUTED_VALUE"""),0.506093627488203)</f>
        <v>0.5060936275</v>
      </c>
      <c r="N611" s="15">
        <v>2480.0</v>
      </c>
      <c r="O611" s="4"/>
      <c r="P611" s="14" t="s">
        <v>2275</v>
      </c>
      <c r="Q611" s="17">
        <f>IFERROR(__xludf.DUMMYFUNCTION("SPLIT(P:P, "" "")"),0.135232338460103)</f>
        <v>0.1352323385</v>
      </c>
      <c r="R611" s="4">
        <f>IFERROR(__xludf.DUMMYFUNCTION("""COMPUTED_VALUE"""),0.401197301166001)</f>
        <v>0.4011973012</v>
      </c>
      <c r="S611" s="15">
        <v>3720.0</v>
      </c>
      <c r="T611" s="4"/>
      <c r="U611" s="4"/>
    </row>
    <row r="612">
      <c r="A612" s="14" t="s">
        <v>2276</v>
      </c>
      <c r="B612" s="4">
        <f>IFERROR(__xludf.DUMMYFUNCTION("SPLIT(A:A, "" "")"),0.15050375118868)</f>
        <v>0.1505037512</v>
      </c>
      <c r="C612" s="4">
        <f>IFERROR(__xludf.DUMMYFUNCTION("""COMPUTED_VALUE"""),0.709219214496538)</f>
        <v>0.7092192145</v>
      </c>
      <c r="D612" s="15">
        <v>1560.0</v>
      </c>
      <c r="E612" s="4"/>
      <c r="F612" s="14" t="s">
        <v>2277</v>
      </c>
      <c r="G612" s="17">
        <f>IFERROR(__xludf.DUMMYFUNCTION("SPLIT(F:F, "" "")"),0.116193017367025)</f>
        <v>0.1161930174</v>
      </c>
      <c r="H612" s="4">
        <f>IFERROR(__xludf.DUMMYFUNCTION("""COMPUTED_VALUE"""),0.625154183912857)</f>
        <v>0.6251541839</v>
      </c>
      <c r="I612" s="15">
        <v>3120.0</v>
      </c>
      <c r="J612" s="4"/>
      <c r="K612" s="14" t="s">
        <v>2278</v>
      </c>
      <c r="L612" s="17">
        <f>IFERROR(__xludf.DUMMYFUNCTION("SPLIT(K:K, "" "")"),0.153402937678037)</f>
        <v>0.1534029377</v>
      </c>
      <c r="M612" s="4">
        <f>IFERROR(__xludf.DUMMYFUNCTION("""COMPUTED_VALUE"""),0.50693425781129)</f>
        <v>0.5069342578</v>
      </c>
      <c r="N612" s="15">
        <v>2488.0</v>
      </c>
      <c r="O612" s="4"/>
      <c r="P612" s="14" t="s">
        <v>2279</v>
      </c>
      <c r="Q612" s="17">
        <f>IFERROR(__xludf.DUMMYFUNCTION("SPLIT(P:P, "" "")"),0.134863911032634)</f>
        <v>0.134863911</v>
      </c>
      <c r="R612" s="4">
        <f>IFERROR(__xludf.DUMMYFUNCTION("""COMPUTED_VALUE"""),0.401080950775117)</f>
        <v>0.4010809508</v>
      </c>
      <c r="S612" s="15">
        <v>3732.0</v>
      </c>
      <c r="T612" s="4"/>
      <c r="U612" s="4"/>
    </row>
    <row r="613">
      <c r="A613" s="14" t="s">
        <v>2280</v>
      </c>
      <c r="B613" s="4">
        <f>IFERROR(__xludf.DUMMYFUNCTION("SPLIT(A:A, "" "")"),0.147266846140245)</f>
        <v>0.1472668461</v>
      </c>
      <c r="C613" s="4">
        <f>IFERROR(__xludf.DUMMYFUNCTION("""COMPUTED_VALUE"""),0.704322902255806)</f>
        <v>0.7043229023</v>
      </c>
      <c r="D613" s="15">
        <v>1564.0</v>
      </c>
      <c r="E613" s="4"/>
      <c r="F613" s="14" t="s">
        <v>2281</v>
      </c>
      <c r="G613" s="17">
        <f>IFERROR(__xludf.DUMMYFUNCTION("SPLIT(F:F, "" "")"),0.115232622435081)</f>
        <v>0.1152326224</v>
      </c>
      <c r="H613" s="4">
        <f>IFERROR(__xludf.DUMMYFUNCTION("""COMPUTED_VALUE"""),0.63029833341305)</f>
        <v>0.6302983334</v>
      </c>
      <c r="I613" s="15">
        <v>3128.0</v>
      </c>
      <c r="J613" s="4"/>
      <c r="K613" s="14" t="s">
        <v>2282</v>
      </c>
      <c r="L613" s="17">
        <f>IFERROR(__xludf.DUMMYFUNCTION("SPLIT(K:K, "" "")"),0.157505633732226)</f>
        <v>0.1575056337</v>
      </c>
      <c r="M613" s="4">
        <f>IFERROR(__xludf.DUMMYFUNCTION("""COMPUTED_VALUE"""),0.525484303001697)</f>
        <v>0.525484303</v>
      </c>
      <c r="N613" s="15">
        <v>2496.0</v>
      </c>
      <c r="O613" s="4"/>
      <c r="P613" s="14" t="s">
        <v>2283</v>
      </c>
      <c r="Q613" s="17">
        <f>IFERROR(__xludf.DUMMYFUNCTION("SPLIT(P:P, "" "")"),0.136935729597044)</f>
        <v>0.1369357296</v>
      </c>
      <c r="R613" s="4">
        <f>IFERROR(__xludf.DUMMYFUNCTION("""COMPUTED_VALUE"""),0.394347196129085)</f>
        <v>0.3943471961</v>
      </c>
      <c r="S613" s="15">
        <v>3744.0</v>
      </c>
      <c r="T613" s="4"/>
      <c r="U613" s="4"/>
    </row>
    <row r="614">
      <c r="A614" s="14" t="s">
        <v>2284</v>
      </c>
      <c r="B614" s="4">
        <f>IFERROR(__xludf.DUMMYFUNCTION("SPLIT(A:A, "" "")"),0.146309532420842)</f>
        <v>0.1463095324</v>
      </c>
      <c r="C614" s="4">
        <f>IFERROR(__xludf.DUMMYFUNCTION("""COMPUTED_VALUE"""),0.713701651180031)</f>
        <v>0.7137016512</v>
      </c>
      <c r="D614" s="15">
        <v>1568.0</v>
      </c>
      <c r="E614" s="4"/>
      <c r="F614" s="14" t="s">
        <v>2285</v>
      </c>
      <c r="G614" s="17">
        <f>IFERROR(__xludf.DUMMYFUNCTION("SPLIT(F:F, "" "")"),0.119772528580669)</f>
        <v>0.1197725286</v>
      </c>
      <c r="H614" s="4">
        <f>IFERROR(__xludf.DUMMYFUNCTION("""COMPUTED_VALUE"""),0.633252324308298)</f>
        <v>0.6332523243</v>
      </c>
      <c r="I614" s="15">
        <v>3136.0</v>
      </c>
      <c r="J614" s="4"/>
      <c r="K614" s="14" t="s">
        <v>2286</v>
      </c>
      <c r="L614" s="17">
        <f>IFERROR(__xludf.DUMMYFUNCTION("SPLIT(K:K, "" "")"),0.159218127452335)</f>
        <v>0.1592181275</v>
      </c>
      <c r="M614" s="4">
        <f>IFERROR(__xludf.DUMMYFUNCTION("""COMPUTED_VALUE"""),0.50603695805534)</f>
        <v>0.5060369581</v>
      </c>
      <c r="N614" s="15">
        <v>2504.0</v>
      </c>
      <c r="O614" s="4"/>
      <c r="P614" s="14" t="s">
        <v>2287</v>
      </c>
      <c r="Q614" s="17">
        <f>IFERROR(__xludf.DUMMYFUNCTION("SPLIT(P:P, "" "")"),0.138145096652224)</f>
        <v>0.1381450967</v>
      </c>
      <c r="R614" s="4">
        <f>IFERROR(__xludf.DUMMYFUNCTION("""COMPUTED_VALUE"""),0.405987760566572)</f>
        <v>0.4059877606</v>
      </c>
      <c r="S614" s="15">
        <v>3756.0</v>
      </c>
      <c r="T614" s="4"/>
      <c r="U614" s="4"/>
    </row>
    <row r="615">
      <c r="A615" s="14" t="s">
        <v>2288</v>
      </c>
      <c r="B615" s="4">
        <f>IFERROR(__xludf.DUMMYFUNCTION("SPLIT(A:A, "" "")"),0.147498483994758)</f>
        <v>0.147498484</v>
      </c>
      <c r="C615" s="4">
        <f>IFERROR(__xludf.DUMMYFUNCTION("""COMPUTED_VALUE"""),0.713602242339478)</f>
        <v>0.7136022423</v>
      </c>
      <c r="D615" s="15">
        <v>1572.0</v>
      </c>
      <c r="E615" s="4"/>
      <c r="F615" s="14" t="s">
        <v>2289</v>
      </c>
      <c r="G615" s="17">
        <f>IFERROR(__xludf.DUMMYFUNCTION("SPLIT(F:F, "" "")"),0.115046712914107)</f>
        <v>0.1150467129</v>
      </c>
      <c r="H615" s="4">
        <f>IFERROR(__xludf.DUMMYFUNCTION("""COMPUTED_VALUE"""),0.619490133017227)</f>
        <v>0.619490133</v>
      </c>
      <c r="I615" s="15">
        <v>3144.0</v>
      </c>
      <c r="J615" s="4"/>
      <c r="K615" s="14" t="s">
        <v>2290</v>
      </c>
      <c r="L615" s="17">
        <f>IFERROR(__xludf.DUMMYFUNCTION("SPLIT(K:K, "" "")"),0.158240312086986)</f>
        <v>0.1582403121</v>
      </c>
      <c r="M615" s="4">
        <f>IFERROR(__xludf.DUMMYFUNCTION("""COMPUTED_VALUE"""),0.515411850539715)</f>
        <v>0.5154118505</v>
      </c>
      <c r="N615" s="15">
        <v>2512.0</v>
      </c>
      <c r="O615" s="4"/>
      <c r="P615" s="14" t="s">
        <v>2291</v>
      </c>
      <c r="Q615" s="17">
        <f>IFERROR(__xludf.DUMMYFUNCTION("SPLIT(P:P, "" "")"),0.138369052117474)</f>
        <v>0.1383690521</v>
      </c>
      <c r="R615" s="4">
        <f>IFERROR(__xludf.DUMMYFUNCTION("""COMPUTED_VALUE"""),0.405187525396946)</f>
        <v>0.4051875254</v>
      </c>
      <c r="S615" s="15">
        <v>3768.0</v>
      </c>
      <c r="T615" s="4"/>
      <c r="U615" s="4"/>
    </row>
    <row r="616">
      <c r="A616" s="14" t="s">
        <v>2292</v>
      </c>
      <c r="B616" s="4">
        <f>IFERROR(__xludf.DUMMYFUNCTION("SPLIT(A:A, "" "")"),0.147020358320089)</f>
        <v>0.1470203583</v>
      </c>
      <c r="C616" s="4">
        <f>IFERROR(__xludf.DUMMYFUNCTION("""COMPUTED_VALUE"""),0.707594856181384)</f>
        <v>0.7075948562</v>
      </c>
      <c r="D616" s="15">
        <v>1576.0</v>
      </c>
      <c r="E616" s="4"/>
      <c r="F616" s="14" t="s">
        <v>2293</v>
      </c>
      <c r="G616" s="17">
        <f>IFERROR(__xludf.DUMMYFUNCTION("SPLIT(F:F, "" "")"),0.117681008348799)</f>
        <v>0.1176810083</v>
      </c>
      <c r="H616" s="4">
        <f>IFERROR(__xludf.DUMMYFUNCTION("""COMPUTED_VALUE"""),0.615817760360813)</f>
        <v>0.6158177604</v>
      </c>
      <c r="I616" s="15">
        <v>3152.0</v>
      </c>
      <c r="J616" s="4"/>
      <c r="K616" s="14" t="s">
        <v>2294</v>
      </c>
      <c r="L616" s="17">
        <f>IFERROR(__xludf.DUMMYFUNCTION("SPLIT(K:K, "" "")"),0.149300447195042)</f>
        <v>0.1493004472</v>
      </c>
      <c r="M616" s="4">
        <f>IFERROR(__xludf.DUMMYFUNCTION("""COMPUTED_VALUE"""),0.505595934572713)</f>
        <v>0.5055959346</v>
      </c>
      <c r="N616" s="15">
        <v>2520.0</v>
      </c>
      <c r="O616" s="4"/>
      <c r="P616" s="14" t="s">
        <v>2295</v>
      </c>
      <c r="Q616" s="17">
        <f>IFERROR(__xludf.DUMMYFUNCTION("SPLIT(P:P, "" "")"),0.139869936925492)</f>
        <v>0.1398699369</v>
      </c>
      <c r="R616" s="4">
        <f>IFERROR(__xludf.DUMMYFUNCTION("""COMPUTED_VALUE"""),0.405004565673664)</f>
        <v>0.4050045657</v>
      </c>
      <c r="S616" s="15">
        <v>3780.0</v>
      </c>
      <c r="T616" s="4"/>
      <c r="U616" s="4"/>
    </row>
    <row r="617">
      <c r="A617" s="14" t="s">
        <v>2296</v>
      </c>
      <c r="B617" s="4">
        <f>IFERROR(__xludf.DUMMYFUNCTION("SPLIT(A:A, "" "")"),0.147195279507661)</f>
        <v>0.1471952795</v>
      </c>
      <c r="C617" s="4">
        <f>IFERROR(__xludf.DUMMYFUNCTION("""COMPUTED_VALUE"""),0.706477531999636)</f>
        <v>0.706477532</v>
      </c>
      <c r="D617" s="15">
        <v>1580.0</v>
      </c>
      <c r="E617" s="4"/>
      <c r="F617" s="14" t="s">
        <v>2297</v>
      </c>
      <c r="G617" s="17">
        <f>IFERROR(__xludf.DUMMYFUNCTION("SPLIT(F:F, "" "")"),0.124044374375258)</f>
        <v>0.1240443744</v>
      </c>
      <c r="H617" s="4">
        <f>IFERROR(__xludf.DUMMYFUNCTION("""COMPUTED_VALUE"""),0.625035215790483)</f>
        <v>0.6250352158</v>
      </c>
      <c r="I617" s="15">
        <v>3160.0</v>
      </c>
      <c r="J617" s="4"/>
      <c r="K617" s="14" t="s">
        <v>2298</v>
      </c>
      <c r="L617" s="17">
        <f>IFERROR(__xludf.DUMMYFUNCTION("SPLIT(K:K, "" "")"),0.154279689721176)</f>
        <v>0.1542796897</v>
      </c>
      <c r="M617" s="4">
        <f>IFERROR(__xludf.DUMMYFUNCTION("""COMPUTED_VALUE"""),0.517978840457711)</f>
        <v>0.5179788405</v>
      </c>
      <c r="N617" s="15">
        <v>2528.0</v>
      </c>
      <c r="O617" s="4"/>
      <c r="P617" s="14" t="s">
        <v>2299</v>
      </c>
      <c r="Q617" s="17">
        <f>IFERROR(__xludf.DUMMYFUNCTION("SPLIT(P:P, "" "")"),0.134578030975278)</f>
        <v>0.134578031</v>
      </c>
      <c r="R617" s="4">
        <f>IFERROR(__xludf.DUMMYFUNCTION("""COMPUTED_VALUE"""),0.4023230006727)</f>
        <v>0.4023230007</v>
      </c>
      <c r="S617" s="15">
        <v>3792.0</v>
      </c>
      <c r="T617" s="4"/>
      <c r="U617" s="4"/>
    </row>
    <row r="618">
      <c r="A618" s="14" t="s">
        <v>2300</v>
      </c>
      <c r="B618" s="4">
        <f>IFERROR(__xludf.DUMMYFUNCTION("SPLIT(A:A, "" "")"),0.147600036051312)</f>
        <v>0.1476000361</v>
      </c>
      <c r="C618" s="4">
        <f>IFERROR(__xludf.DUMMYFUNCTION("""COMPUTED_VALUE"""),0.707610011762441)</f>
        <v>0.7076100118</v>
      </c>
      <c r="D618" s="15">
        <v>1584.0</v>
      </c>
      <c r="E618" s="4"/>
      <c r="F618" s="14" t="s">
        <v>2301</v>
      </c>
      <c r="G618" s="17">
        <f>IFERROR(__xludf.DUMMYFUNCTION("SPLIT(F:F, "" "")"),0.111918642447351)</f>
        <v>0.1119186424</v>
      </c>
      <c r="H618" s="4">
        <f>IFERROR(__xludf.DUMMYFUNCTION("""COMPUTED_VALUE"""),0.621119552775752)</f>
        <v>0.6211195528</v>
      </c>
      <c r="I618" s="15">
        <v>3168.0</v>
      </c>
      <c r="J618" s="4"/>
      <c r="K618" s="14" t="s">
        <v>2302</v>
      </c>
      <c r="L618" s="17">
        <f>IFERROR(__xludf.DUMMYFUNCTION("SPLIT(K:K, "" "")"),0.153719599641083)</f>
        <v>0.1537195996</v>
      </c>
      <c r="M618" s="4">
        <f>IFERROR(__xludf.DUMMYFUNCTION("""COMPUTED_VALUE"""),0.518869904196482)</f>
        <v>0.5188699042</v>
      </c>
      <c r="N618" s="15">
        <v>2536.0</v>
      </c>
      <c r="O618" s="4"/>
      <c r="P618" s="14" t="s">
        <v>2303</v>
      </c>
      <c r="Q618" s="17">
        <f>IFERROR(__xludf.DUMMYFUNCTION("SPLIT(P:P, "" "")"),0.133894607123887)</f>
        <v>0.1338946071</v>
      </c>
      <c r="R618" s="4">
        <f>IFERROR(__xludf.DUMMYFUNCTION("""COMPUTED_VALUE"""),0.401255244007395)</f>
        <v>0.401255244</v>
      </c>
      <c r="S618" s="15">
        <v>3804.0</v>
      </c>
      <c r="T618" s="4"/>
      <c r="U618" s="4"/>
    </row>
    <row r="619">
      <c r="A619" s="14" t="s">
        <v>2304</v>
      </c>
      <c r="B619" s="4">
        <f>IFERROR(__xludf.DUMMYFUNCTION("SPLIT(A:A, "" "")"),0.144571160217882)</f>
        <v>0.1445711602</v>
      </c>
      <c r="C619" s="4">
        <f>IFERROR(__xludf.DUMMYFUNCTION("""COMPUTED_VALUE"""),0.712124626219475)</f>
        <v>0.7121246262</v>
      </c>
      <c r="D619" s="15">
        <v>1588.0</v>
      </c>
      <c r="E619" s="4"/>
      <c r="F619" s="14" t="s">
        <v>2305</v>
      </c>
      <c r="G619" s="17">
        <f>IFERROR(__xludf.DUMMYFUNCTION("SPLIT(F:F, "" "")"),0.110727920730211)</f>
        <v>0.1107279207</v>
      </c>
      <c r="H619" s="4">
        <f>IFERROR(__xludf.DUMMYFUNCTION("""COMPUTED_VALUE"""),0.615163710295559)</f>
        <v>0.6151637103</v>
      </c>
      <c r="I619" s="15">
        <v>3176.0</v>
      </c>
      <c r="J619" s="4"/>
      <c r="K619" s="14" t="s">
        <v>2306</v>
      </c>
      <c r="L619" s="17">
        <f>IFERROR(__xludf.DUMMYFUNCTION("SPLIT(K:K, "" "")"),0.15649854194229)</f>
        <v>0.1564985419</v>
      </c>
      <c r="M619" s="4">
        <f>IFERROR(__xludf.DUMMYFUNCTION("""COMPUTED_VALUE"""),0.518723982280647)</f>
        <v>0.5187239823</v>
      </c>
      <c r="N619" s="15">
        <v>2544.0</v>
      </c>
      <c r="O619" s="4"/>
      <c r="P619" s="14" t="s">
        <v>2307</v>
      </c>
      <c r="Q619" s="17">
        <f>IFERROR(__xludf.DUMMYFUNCTION("SPLIT(P:P, "" "")"),0.133790848527644)</f>
        <v>0.1337908485</v>
      </c>
      <c r="R619" s="4">
        <f>IFERROR(__xludf.DUMMYFUNCTION("""COMPUTED_VALUE"""),0.397151175635434)</f>
        <v>0.3971511756</v>
      </c>
      <c r="S619" s="15">
        <v>3816.0</v>
      </c>
      <c r="T619" s="4"/>
      <c r="U619" s="4"/>
    </row>
    <row r="620">
      <c r="A620" s="14" t="s">
        <v>2308</v>
      </c>
      <c r="B620" s="4">
        <f>IFERROR(__xludf.DUMMYFUNCTION("SPLIT(A:A, "" "")"),0.150617536462202)</f>
        <v>0.1506175365</v>
      </c>
      <c r="C620" s="4">
        <f>IFERROR(__xludf.DUMMYFUNCTION("""COMPUTED_VALUE"""),0.710485042526917)</f>
        <v>0.7104850425</v>
      </c>
      <c r="D620" s="15">
        <v>1592.0</v>
      </c>
      <c r="E620" s="4"/>
      <c r="F620" s="14" t="s">
        <v>2309</v>
      </c>
      <c r="G620" s="17">
        <f>IFERROR(__xludf.DUMMYFUNCTION("SPLIT(F:F, "" "")"),0.117189427616403)</f>
        <v>0.1171894276</v>
      </c>
      <c r="H620" s="4">
        <f>IFERROR(__xludf.DUMMYFUNCTION("""COMPUTED_VALUE"""),0.622994219189942)</f>
        <v>0.6229942192</v>
      </c>
      <c r="I620" s="15">
        <v>3184.0</v>
      </c>
      <c r="J620" s="4"/>
      <c r="K620" s="14" t="s">
        <v>2310</v>
      </c>
      <c r="L620" s="17">
        <f>IFERROR(__xludf.DUMMYFUNCTION("SPLIT(K:K, "" "")"),0.153287945956355)</f>
        <v>0.153287946</v>
      </c>
      <c r="M620" s="4">
        <f>IFERROR(__xludf.DUMMYFUNCTION("""COMPUTED_VALUE"""),0.51977667876806)</f>
        <v>0.5197766788</v>
      </c>
      <c r="N620" s="15">
        <v>2552.0</v>
      </c>
      <c r="O620" s="4"/>
      <c r="P620" s="14" t="s">
        <v>2311</v>
      </c>
      <c r="Q620" s="17">
        <f>IFERROR(__xludf.DUMMYFUNCTION("SPLIT(P:P, "" "")"),0.131299174424904)</f>
        <v>0.1312991744</v>
      </c>
      <c r="R620" s="4">
        <f>IFERROR(__xludf.DUMMYFUNCTION("""COMPUTED_VALUE"""),0.39881405879844)</f>
        <v>0.3988140588</v>
      </c>
      <c r="S620" s="15">
        <v>3828.0</v>
      </c>
      <c r="T620" s="4"/>
      <c r="U620" s="4"/>
    </row>
    <row r="621">
      <c r="A621" s="14" t="s">
        <v>2312</v>
      </c>
      <c r="B621" s="4">
        <f>IFERROR(__xludf.DUMMYFUNCTION("SPLIT(A:A, "" "")"),0.147245242538877)</f>
        <v>0.1472452425</v>
      </c>
      <c r="C621" s="4">
        <f>IFERROR(__xludf.DUMMYFUNCTION("""COMPUTED_VALUE"""),0.704413590765911)</f>
        <v>0.7044135908</v>
      </c>
      <c r="D621" s="15">
        <v>1596.0</v>
      </c>
      <c r="E621" s="4"/>
      <c r="F621" s="14" t="s">
        <v>2313</v>
      </c>
      <c r="G621" s="17">
        <f>IFERROR(__xludf.DUMMYFUNCTION("SPLIT(F:F, "" "")"),0.113043672432184)</f>
        <v>0.1130436724</v>
      </c>
      <c r="H621" s="4">
        <f>IFERROR(__xludf.DUMMYFUNCTION("""COMPUTED_VALUE"""),0.614779998755012)</f>
        <v>0.6147799988</v>
      </c>
      <c r="I621" s="15">
        <v>3192.0</v>
      </c>
      <c r="J621" s="4"/>
      <c r="K621" s="14" t="s">
        <v>2314</v>
      </c>
      <c r="L621" s="17">
        <f>IFERROR(__xludf.DUMMYFUNCTION("SPLIT(K:K, "" "")"),0.148286882825197)</f>
        <v>0.1482868828</v>
      </c>
      <c r="M621" s="4">
        <f>IFERROR(__xludf.DUMMYFUNCTION("""COMPUTED_VALUE"""),0.508709610569461)</f>
        <v>0.5087096106</v>
      </c>
      <c r="N621" s="15">
        <v>2560.0</v>
      </c>
      <c r="O621" s="4"/>
      <c r="P621" s="14" t="s">
        <v>2315</v>
      </c>
      <c r="Q621" s="17">
        <f>IFERROR(__xludf.DUMMYFUNCTION("SPLIT(P:P, "" "")"),0.140457155890833)</f>
        <v>0.1404571559</v>
      </c>
      <c r="R621" s="4">
        <f>IFERROR(__xludf.DUMMYFUNCTION("""COMPUTED_VALUE"""),0.406763678237473)</f>
        <v>0.4067636782</v>
      </c>
      <c r="S621" s="15">
        <v>3840.0</v>
      </c>
      <c r="T621" s="4"/>
      <c r="U621" s="4"/>
    </row>
    <row r="622">
      <c r="A622" s="14" t="s">
        <v>2316</v>
      </c>
      <c r="B622" s="4">
        <f>IFERROR(__xludf.DUMMYFUNCTION("SPLIT(A:A, "" "")"),0.144149497125403)</f>
        <v>0.1441494971</v>
      </c>
      <c r="C622" s="4">
        <f>IFERROR(__xludf.DUMMYFUNCTION("""COMPUTED_VALUE"""),0.710505901060474)</f>
        <v>0.7105059011</v>
      </c>
      <c r="D622" s="15">
        <v>1600.0</v>
      </c>
      <c r="E622" s="4"/>
      <c r="F622" s="14" t="s">
        <v>2317</v>
      </c>
      <c r="G622" s="17">
        <f>IFERROR(__xludf.DUMMYFUNCTION("SPLIT(F:F, "" "")"),0.110767826038882)</f>
        <v>0.110767826</v>
      </c>
      <c r="H622" s="4">
        <f>IFERROR(__xludf.DUMMYFUNCTION("""COMPUTED_VALUE"""),0.611597229986072)</f>
        <v>0.61159723</v>
      </c>
      <c r="I622" s="15">
        <v>3200.0</v>
      </c>
      <c r="J622" s="4"/>
      <c r="K622" s="14" t="s">
        <v>2318</v>
      </c>
      <c r="L622" s="17">
        <f>IFERROR(__xludf.DUMMYFUNCTION("SPLIT(K:K, "" "")"),0.151706784594232)</f>
        <v>0.1517067846</v>
      </c>
      <c r="M622" s="4">
        <f>IFERROR(__xludf.DUMMYFUNCTION("""COMPUTED_VALUE"""),0.508601223847887)</f>
        <v>0.5086012238</v>
      </c>
      <c r="N622" s="15">
        <v>2568.0</v>
      </c>
      <c r="O622" s="4"/>
      <c r="P622" s="14" t="s">
        <v>2319</v>
      </c>
      <c r="Q622" s="17">
        <f>IFERROR(__xludf.DUMMYFUNCTION("SPLIT(P:P, "" "")"),0.133717886293286)</f>
        <v>0.1337178863</v>
      </c>
      <c r="R622" s="4">
        <f>IFERROR(__xludf.DUMMYFUNCTION("""COMPUTED_VALUE"""),0.399081987588322)</f>
        <v>0.3990819876</v>
      </c>
      <c r="S622" s="15">
        <v>3852.0</v>
      </c>
      <c r="T622" s="4"/>
      <c r="U622" s="4"/>
    </row>
    <row r="623">
      <c r="A623" s="14" t="s">
        <v>2320</v>
      </c>
      <c r="B623" s="4">
        <f>IFERROR(__xludf.DUMMYFUNCTION("SPLIT(A:A, "" "")"),0.147186068775183)</f>
        <v>0.1471860688</v>
      </c>
      <c r="C623" s="4">
        <f>IFERROR(__xludf.DUMMYFUNCTION("""COMPUTED_VALUE"""),0.716543475309131)</f>
        <v>0.7165434753</v>
      </c>
      <c r="D623" s="15">
        <v>1604.0</v>
      </c>
      <c r="E623" s="4"/>
      <c r="F623" s="14" t="s">
        <v>2321</v>
      </c>
      <c r="G623" s="17">
        <f>IFERROR(__xludf.DUMMYFUNCTION("SPLIT(F:F, "" "")"),0.110152751466695)</f>
        <v>0.1101527515</v>
      </c>
      <c r="H623" s="4">
        <f>IFERROR(__xludf.DUMMYFUNCTION("""COMPUTED_VALUE"""),0.623765879381413)</f>
        <v>0.6237658794</v>
      </c>
      <c r="I623" s="15">
        <v>3208.0</v>
      </c>
      <c r="J623" s="4"/>
      <c r="K623" s="14" t="s">
        <v>2322</v>
      </c>
      <c r="L623" s="17">
        <f>IFERROR(__xludf.DUMMYFUNCTION("SPLIT(K:K, "" "")"),0.154578951089776)</f>
        <v>0.1545789511</v>
      </c>
      <c r="M623" s="4">
        <f>IFERROR(__xludf.DUMMYFUNCTION("""COMPUTED_VALUE"""),0.52895367213416)</f>
        <v>0.5289536721</v>
      </c>
      <c r="N623" s="15">
        <v>2576.0</v>
      </c>
      <c r="O623" s="4"/>
      <c r="P623" s="14" t="s">
        <v>2323</v>
      </c>
      <c r="Q623" s="17">
        <f>IFERROR(__xludf.DUMMYFUNCTION("SPLIT(P:P, "" "")"),0.131076490679052)</f>
        <v>0.1310764907</v>
      </c>
      <c r="R623" s="4">
        <f>IFERROR(__xludf.DUMMYFUNCTION("""COMPUTED_VALUE"""),0.394899895012488)</f>
        <v>0.394899895</v>
      </c>
      <c r="S623" s="15">
        <v>3864.0</v>
      </c>
      <c r="T623" s="4"/>
      <c r="U623" s="4"/>
    </row>
    <row r="624">
      <c r="A624" s="14" t="s">
        <v>2324</v>
      </c>
      <c r="B624" s="4">
        <f>IFERROR(__xludf.DUMMYFUNCTION("SPLIT(A:A, "" "")"),0.143099609161199)</f>
        <v>0.1430996092</v>
      </c>
      <c r="C624" s="4">
        <f>IFERROR(__xludf.DUMMYFUNCTION("""COMPUTED_VALUE"""),0.707220283361677)</f>
        <v>0.7072202834</v>
      </c>
      <c r="D624" s="15">
        <v>1608.0</v>
      </c>
      <c r="E624" s="4"/>
      <c r="F624" s="14" t="s">
        <v>2325</v>
      </c>
      <c r="G624" s="17">
        <f>IFERROR(__xludf.DUMMYFUNCTION("SPLIT(F:F, "" "")"),0.112913727831066)</f>
        <v>0.1129137278</v>
      </c>
      <c r="H624" s="4">
        <f>IFERROR(__xludf.DUMMYFUNCTION("""COMPUTED_VALUE"""),0.625704017398326)</f>
        <v>0.6257040174</v>
      </c>
      <c r="I624" s="15">
        <v>3216.0</v>
      </c>
      <c r="J624" s="4"/>
      <c r="K624" s="14" t="s">
        <v>2326</v>
      </c>
      <c r="L624" s="17">
        <f>IFERROR(__xludf.DUMMYFUNCTION("SPLIT(K:K, "" "")"),0.147955817103884)</f>
        <v>0.1479558171</v>
      </c>
      <c r="M624" s="4">
        <f>IFERROR(__xludf.DUMMYFUNCTION("""COMPUTED_VALUE"""),0.505263256280725)</f>
        <v>0.5052632563</v>
      </c>
      <c r="N624" s="15">
        <v>2584.0</v>
      </c>
      <c r="O624" s="4"/>
      <c r="P624" s="14" t="s">
        <v>2327</v>
      </c>
      <c r="Q624" s="17">
        <f>IFERROR(__xludf.DUMMYFUNCTION("SPLIT(P:P, "" "")"),0.136072939661394)</f>
        <v>0.1360729397</v>
      </c>
      <c r="R624" s="4">
        <f>IFERROR(__xludf.DUMMYFUNCTION("""COMPUTED_VALUE"""),0.404334124133591)</f>
        <v>0.4043341241</v>
      </c>
      <c r="S624" s="15">
        <v>3876.0</v>
      </c>
      <c r="T624" s="4"/>
      <c r="U624" s="4"/>
    </row>
    <row r="625">
      <c r="A625" s="14" t="s">
        <v>2328</v>
      </c>
      <c r="B625" s="4">
        <f>IFERROR(__xludf.DUMMYFUNCTION("SPLIT(A:A, "" "")"),0.14899976854272)</f>
        <v>0.1489997685</v>
      </c>
      <c r="C625" s="4">
        <f>IFERROR(__xludf.DUMMYFUNCTION("""COMPUTED_VALUE"""),0.711502348514366)</f>
        <v>0.7115023485</v>
      </c>
      <c r="D625" s="15">
        <v>1612.0</v>
      </c>
      <c r="E625" s="4"/>
      <c r="F625" s="14" t="s">
        <v>2329</v>
      </c>
      <c r="G625" s="17">
        <f>IFERROR(__xludf.DUMMYFUNCTION("SPLIT(F:F, "" "")"),0.111232006091221)</f>
        <v>0.1112320061</v>
      </c>
      <c r="H625" s="4">
        <f>IFERROR(__xludf.DUMMYFUNCTION("""COMPUTED_VALUE"""),0.622322099572244)</f>
        <v>0.6223220996</v>
      </c>
      <c r="I625" s="15">
        <v>3224.0</v>
      </c>
      <c r="J625" s="4"/>
      <c r="K625" s="14" t="s">
        <v>2330</v>
      </c>
      <c r="L625" s="17">
        <f>IFERROR(__xludf.DUMMYFUNCTION("SPLIT(K:K, "" "")"),0.150255062655486)</f>
        <v>0.1502550627</v>
      </c>
      <c r="M625" s="4">
        <f>IFERROR(__xludf.DUMMYFUNCTION("""COMPUTED_VALUE"""),0.513122727210268)</f>
        <v>0.5131227272</v>
      </c>
      <c r="N625" s="15">
        <v>2592.0</v>
      </c>
      <c r="O625" s="4"/>
      <c r="P625" s="14" t="s">
        <v>2331</v>
      </c>
      <c r="Q625" s="17">
        <f>IFERROR(__xludf.DUMMYFUNCTION("SPLIT(P:P, "" "")"),0.130423798903558)</f>
        <v>0.1304237989</v>
      </c>
      <c r="R625" s="4">
        <f>IFERROR(__xludf.DUMMYFUNCTION("""COMPUTED_VALUE"""),0.395160533035682)</f>
        <v>0.395160533</v>
      </c>
      <c r="S625" s="15">
        <v>3888.0</v>
      </c>
      <c r="T625" s="4"/>
      <c r="U625" s="4"/>
    </row>
    <row r="626">
      <c r="A626" s="14" t="s">
        <v>2332</v>
      </c>
      <c r="B626" s="4">
        <f>IFERROR(__xludf.DUMMYFUNCTION("SPLIT(A:A, "" "")"),0.153011259012463)</f>
        <v>0.153011259</v>
      </c>
      <c r="C626" s="4">
        <f>IFERROR(__xludf.DUMMYFUNCTION("""COMPUTED_VALUE"""),0.713951412273486)</f>
        <v>0.7139514123</v>
      </c>
      <c r="D626" s="15">
        <v>1616.0</v>
      </c>
      <c r="E626" s="4"/>
      <c r="F626" s="14" t="s">
        <v>2333</v>
      </c>
      <c r="G626" s="17">
        <f>IFERROR(__xludf.DUMMYFUNCTION("SPLIT(F:F, "" "")"),0.110388987059156)</f>
        <v>0.1103889871</v>
      </c>
      <c r="H626" s="4">
        <f>IFERROR(__xludf.DUMMYFUNCTION("""COMPUTED_VALUE"""),0.620718263089936)</f>
        <v>0.6207182631</v>
      </c>
      <c r="I626" s="15">
        <v>3232.0</v>
      </c>
      <c r="J626" s="4"/>
      <c r="K626" s="14" t="s">
        <v>2334</v>
      </c>
      <c r="L626" s="17">
        <f>IFERROR(__xludf.DUMMYFUNCTION("SPLIT(K:K, "" "")"),0.155690687788973)</f>
        <v>0.1556906878</v>
      </c>
      <c r="M626" s="4">
        <f>IFERROR(__xludf.DUMMYFUNCTION("""COMPUTED_VALUE"""),0.518249223385349)</f>
        <v>0.5182492234</v>
      </c>
      <c r="N626" s="15">
        <v>2600.0</v>
      </c>
      <c r="O626" s="4"/>
      <c r="P626" s="14" t="s">
        <v>2335</v>
      </c>
      <c r="Q626" s="17">
        <f>IFERROR(__xludf.DUMMYFUNCTION("SPLIT(P:P, "" "")"),0.131412670770537)</f>
        <v>0.1314126708</v>
      </c>
      <c r="R626" s="4">
        <f>IFERROR(__xludf.DUMMYFUNCTION("""COMPUTED_VALUE"""),0.393901637660498)</f>
        <v>0.3939016377</v>
      </c>
      <c r="S626" s="15">
        <v>3900.0</v>
      </c>
      <c r="T626" s="4"/>
      <c r="U626" s="4"/>
    </row>
    <row r="627">
      <c r="A627" s="14" t="s">
        <v>2336</v>
      </c>
      <c r="B627" s="4">
        <f>IFERROR(__xludf.DUMMYFUNCTION("SPLIT(A:A, "" "")"),0.142873542391198)</f>
        <v>0.1428735424</v>
      </c>
      <c r="C627" s="4">
        <f>IFERROR(__xludf.DUMMYFUNCTION("""COMPUTED_VALUE"""),0.70494286878225)</f>
        <v>0.7049428688</v>
      </c>
      <c r="D627" s="15">
        <v>1620.0</v>
      </c>
      <c r="E627" s="4"/>
      <c r="F627" s="14" t="s">
        <v>2337</v>
      </c>
      <c r="G627" s="17">
        <f>IFERROR(__xludf.DUMMYFUNCTION("SPLIT(F:F, "" "")"),0.117555021835292)</f>
        <v>0.1175550218</v>
      </c>
      <c r="H627" s="4">
        <f>IFERROR(__xludf.DUMMYFUNCTION("""COMPUTED_VALUE"""),0.629434242154)</f>
        <v>0.6294342422</v>
      </c>
      <c r="I627" s="15">
        <v>3240.0</v>
      </c>
      <c r="J627" s="4"/>
      <c r="K627" s="14" t="s">
        <v>2338</v>
      </c>
      <c r="L627" s="17">
        <f>IFERROR(__xludf.DUMMYFUNCTION("SPLIT(K:K, "" "")"),0.149761326242027)</f>
        <v>0.1497613262</v>
      </c>
      <c r="M627" s="4">
        <f>IFERROR(__xludf.DUMMYFUNCTION("""COMPUTED_VALUE"""),0.509783405152933)</f>
        <v>0.5097834052</v>
      </c>
      <c r="N627" s="15">
        <v>2608.0</v>
      </c>
      <c r="O627" s="4"/>
      <c r="P627" s="14" t="s">
        <v>2339</v>
      </c>
      <c r="Q627" s="17">
        <f>IFERROR(__xludf.DUMMYFUNCTION("SPLIT(P:P, "" "")"),0.147504844136596)</f>
        <v>0.1475048441</v>
      </c>
      <c r="R627" s="4">
        <f>IFERROR(__xludf.DUMMYFUNCTION("""COMPUTED_VALUE"""),0.412886927461735)</f>
        <v>0.4128869275</v>
      </c>
      <c r="S627" s="15">
        <v>3912.0</v>
      </c>
      <c r="T627" s="4"/>
      <c r="U627" s="4"/>
    </row>
    <row r="628">
      <c r="A628" s="14" t="s">
        <v>2340</v>
      </c>
      <c r="B628" s="4">
        <f>IFERROR(__xludf.DUMMYFUNCTION("SPLIT(A:A, "" "")"),0.148247449300532)</f>
        <v>0.1482474493</v>
      </c>
      <c r="C628" s="4">
        <f>IFERROR(__xludf.DUMMYFUNCTION("""COMPUTED_VALUE"""),0.730498756999003)</f>
        <v>0.730498757</v>
      </c>
      <c r="D628" s="15">
        <v>1624.0</v>
      </c>
      <c r="E628" s="4"/>
      <c r="F628" s="14" t="s">
        <v>2341</v>
      </c>
      <c r="G628" s="17">
        <f>IFERROR(__xludf.DUMMYFUNCTION("SPLIT(F:F, "" "")"),0.111717126499089)</f>
        <v>0.1117171265</v>
      </c>
      <c r="H628" s="4">
        <f>IFERROR(__xludf.DUMMYFUNCTION("""COMPUTED_VALUE"""),0.616624320885179)</f>
        <v>0.6166243209</v>
      </c>
      <c r="I628" s="15">
        <v>3248.0</v>
      </c>
      <c r="J628" s="4"/>
      <c r="K628" s="14" t="s">
        <v>2342</v>
      </c>
      <c r="L628" s="17">
        <f>IFERROR(__xludf.DUMMYFUNCTION("SPLIT(K:K, "" "")"),0.149184797551459)</f>
        <v>0.1491847976</v>
      </c>
      <c r="M628" s="4">
        <f>IFERROR(__xludf.DUMMYFUNCTION("""COMPUTED_VALUE"""),0.513572842965499)</f>
        <v>0.513572843</v>
      </c>
      <c r="N628" s="15">
        <v>2616.0</v>
      </c>
      <c r="O628" s="4"/>
      <c r="P628" s="14" t="s">
        <v>2343</v>
      </c>
      <c r="Q628" s="17">
        <f>IFERROR(__xludf.DUMMYFUNCTION("SPLIT(P:P, "" "")"),0.131456827486065)</f>
        <v>0.1314568275</v>
      </c>
      <c r="R628" s="4">
        <f>IFERROR(__xludf.DUMMYFUNCTION("""COMPUTED_VALUE"""),0.391482757947364)</f>
        <v>0.3914827579</v>
      </c>
      <c r="S628" s="15">
        <v>3924.0</v>
      </c>
      <c r="T628" s="4"/>
      <c r="U628" s="4"/>
    </row>
    <row r="629">
      <c r="A629" s="14" t="s">
        <v>2344</v>
      </c>
      <c r="B629" s="4">
        <f>IFERROR(__xludf.DUMMYFUNCTION("SPLIT(A:A, "" "")"),0.146257234801083)</f>
        <v>0.1462572348</v>
      </c>
      <c r="C629" s="4">
        <f>IFERROR(__xludf.DUMMYFUNCTION("""COMPUTED_VALUE"""),0.71509009294594)</f>
        <v>0.7150900929</v>
      </c>
      <c r="D629" s="15">
        <v>1628.0</v>
      </c>
      <c r="E629" s="4"/>
      <c r="F629" s="14" t="s">
        <v>2345</v>
      </c>
      <c r="G629" s="17">
        <f>IFERROR(__xludf.DUMMYFUNCTION("SPLIT(F:F, "" "")"),0.114431819736753)</f>
        <v>0.1144318197</v>
      </c>
      <c r="H629" s="4">
        <f>IFERROR(__xludf.DUMMYFUNCTION("""COMPUTED_VALUE"""),0.630651243369578)</f>
        <v>0.6306512434</v>
      </c>
      <c r="I629" s="15">
        <v>3256.0</v>
      </c>
      <c r="J629" s="4"/>
      <c r="K629" s="14" t="s">
        <v>2346</v>
      </c>
      <c r="L629" s="17">
        <f>IFERROR(__xludf.DUMMYFUNCTION("SPLIT(K:K, "" "")"),0.14976643842151)</f>
        <v>0.1497664384</v>
      </c>
      <c r="M629" s="4">
        <f>IFERROR(__xludf.DUMMYFUNCTION("""COMPUTED_VALUE"""),0.51316214850441)</f>
        <v>0.5131621485</v>
      </c>
      <c r="N629" s="15">
        <v>2624.0</v>
      </c>
      <c r="O629" s="4"/>
      <c r="P629" s="14" t="s">
        <v>2347</v>
      </c>
      <c r="Q629" s="17">
        <f>IFERROR(__xludf.DUMMYFUNCTION("SPLIT(P:P, "" "")"),0.133262334988128)</f>
        <v>0.133262335</v>
      </c>
      <c r="R629" s="4">
        <f>IFERROR(__xludf.DUMMYFUNCTION("""COMPUTED_VALUE"""),0.397213897169506)</f>
        <v>0.3972138972</v>
      </c>
      <c r="S629" s="15">
        <v>3936.0</v>
      </c>
      <c r="T629" s="4"/>
      <c r="U629" s="4"/>
    </row>
    <row r="630">
      <c r="A630" s="14" t="s">
        <v>2348</v>
      </c>
      <c r="B630" s="4">
        <f>IFERROR(__xludf.DUMMYFUNCTION("SPLIT(A:A, "" "")"),0.142581439407069)</f>
        <v>0.1425814394</v>
      </c>
      <c r="C630" s="4">
        <f>IFERROR(__xludf.DUMMYFUNCTION("""COMPUTED_VALUE"""),0.714659704996686)</f>
        <v>0.714659705</v>
      </c>
      <c r="D630" s="15">
        <v>1632.0</v>
      </c>
      <c r="E630" s="4"/>
      <c r="F630" s="14" t="s">
        <v>2349</v>
      </c>
      <c r="G630" s="17">
        <f>IFERROR(__xludf.DUMMYFUNCTION("SPLIT(F:F, "" "")"),0.110779984621545)</f>
        <v>0.1107799846</v>
      </c>
      <c r="H630" s="4">
        <f>IFERROR(__xludf.DUMMYFUNCTION("""COMPUTED_VALUE"""),0.616409767945085)</f>
        <v>0.6164097679</v>
      </c>
      <c r="I630" s="15">
        <v>3264.0</v>
      </c>
      <c r="J630" s="4"/>
      <c r="K630" s="14" t="s">
        <v>2350</v>
      </c>
      <c r="L630" s="17">
        <f>IFERROR(__xludf.DUMMYFUNCTION("SPLIT(K:K, "" "")"),0.148229939822728)</f>
        <v>0.1482299398</v>
      </c>
      <c r="M630" s="4">
        <f>IFERROR(__xludf.DUMMYFUNCTION("""COMPUTED_VALUE"""),0.509218223892736)</f>
        <v>0.5092182239</v>
      </c>
      <c r="N630" s="15">
        <v>2632.0</v>
      </c>
      <c r="O630" s="4"/>
      <c r="P630" s="14" t="s">
        <v>2351</v>
      </c>
      <c r="Q630" s="17">
        <f>IFERROR(__xludf.DUMMYFUNCTION("SPLIT(P:P, "" "")"),0.130283607450296)</f>
        <v>0.1302836075</v>
      </c>
      <c r="R630" s="4">
        <f>IFERROR(__xludf.DUMMYFUNCTION("""COMPUTED_VALUE"""),0.398462382493572)</f>
        <v>0.3984623825</v>
      </c>
      <c r="S630" s="15">
        <v>3948.0</v>
      </c>
      <c r="T630" s="4"/>
      <c r="U630" s="4"/>
    </row>
    <row r="631">
      <c r="A631" s="14" t="s">
        <v>2352</v>
      </c>
      <c r="B631" s="4">
        <f>IFERROR(__xludf.DUMMYFUNCTION("SPLIT(A:A, "" "")"),0.144477774602341)</f>
        <v>0.1444777746</v>
      </c>
      <c r="C631" s="4">
        <f>IFERROR(__xludf.DUMMYFUNCTION("""COMPUTED_VALUE"""),0.708941371145948)</f>
        <v>0.7089413711</v>
      </c>
      <c r="D631" s="15">
        <v>1636.0</v>
      </c>
      <c r="E631" s="4"/>
      <c r="F631" s="14" t="s">
        <v>2353</v>
      </c>
      <c r="G631" s="17">
        <f>IFERROR(__xludf.DUMMYFUNCTION("SPLIT(F:F, "" "")"),0.109370350602004)</f>
        <v>0.1093703506</v>
      </c>
      <c r="H631" s="4">
        <f>IFERROR(__xludf.DUMMYFUNCTION("""COMPUTED_VALUE"""),0.611858636517983)</f>
        <v>0.6118586365</v>
      </c>
      <c r="I631" s="15">
        <v>3272.0</v>
      </c>
      <c r="J631" s="4"/>
      <c r="K631" s="14" t="s">
        <v>2354</v>
      </c>
      <c r="L631" s="17">
        <f>IFERROR(__xludf.DUMMYFUNCTION("SPLIT(K:K, "" "")"),0.147237114527223)</f>
        <v>0.1472371145</v>
      </c>
      <c r="M631" s="4">
        <f>IFERROR(__xludf.DUMMYFUNCTION("""COMPUTED_VALUE"""),0.512531218304778)</f>
        <v>0.5125312183</v>
      </c>
      <c r="N631" s="15">
        <v>2640.0</v>
      </c>
      <c r="O631" s="4"/>
      <c r="P631" s="14" t="s">
        <v>2355</v>
      </c>
      <c r="Q631" s="17">
        <f>IFERROR(__xludf.DUMMYFUNCTION("SPLIT(P:P, "" "")"),0.127896085272355)</f>
        <v>0.1278960853</v>
      </c>
      <c r="R631" s="4">
        <f>IFERROR(__xludf.DUMMYFUNCTION("""COMPUTED_VALUE"""),0.395224505746463)</f>
        <v>0.3952245057</v>
      </c>
      <c r="S631" s="15">
        <v>3960.0</v>
      </c>
      <c r="T631" s="4"/>
      <c r="U631" s="4"/>
    </row>
    <row r="632">
      <c r="A632" s="14" t="s">
        <v>2356</v>
      </c>
      <c r="B632" s="4">
        <f>IFERROR(__xludf.DUMMYFUNCTION("SPLIT(A:A, "" "")"),0.142446752480956)</f>
        <v>0.1424467525</v>
      </c>
      <c r="C632" s="4">
        <f>IFERROR(__xludf.DUMMYFUNCTION("""COMPUTED_VALUE"""),0.71027734338846)</f>
        <v>0.7102773434</v>
      </c>
      <c r="D632" s="15">
        <v>1640.0</v>
      </c>
      <c r="E632" s="4"/>
      <c r="F632" s="14" t="s">
        <v>2357</v>
      </c>
      <c r="G632" s="17">
        <f>IFERROR(__xludf.DUMMYFUNCTION("SPLIT(F:F, "" "")"),0.107932063404985)</f>
        <v>0.1079320634</v>
      </c>
      <c r="H632" s="4">
        <f>IFERROR(__xludf.DUMMYFUNCTION("""COMPUTED_VALUE"""),0.618736680614833)</f>
        <v>0.6187366806</v>
      </c>
      <c r="I632" s="15">
        <v>3280.0</v>
      </c>
      <c r="J632" s="4"/>
      <c r="K632" s="14" t="s">
        <v>2358</v>
      </c>
      <c r="L632" s="17">
        <f>IFERROR(__xludf.DUMMYFUNCTION("SPLIT(K:K, "" "")"),0.148211833617361)</f>
        <v>0.1482118336</v>
      </c>
      <c r="M632" s="4">
        <f>IFERROR(__xludf.DUMMYFUNCTION("""COMPUTED_VALUE"""),0.511193434596183)</f>
        <v>0.5111934346</v>
      </c>
      <c r="N632" s="15">
        <v>2648.0</v>
      </c>
      <c r="O632" s="4"/>
      <c r="P632" s="14" t="s">
        <v>2359</v>
      </c>
      <c r="Q632" s="17">
        <f>IFERROR(__xludf.DUMMYFUNCTION("SPLIT(P:P, "" "")"),0.13557743517811)</f>
        <v>0.1355774352</v>
      </c>
      <c r="R632" s="4">
        <f>IFERROR(__xludf.DUMMYFUNCTION("""COMPUTED_VALUE"""),0.405177518117963)</f>
        <v>0.4051775181</v>
      </c>
      <c r="S632" s="15">
        <v>3972.0</v>
      </c>
      <c r="T632" s="4"/>
      <c r="U632" s="4"/>
    </row>
    <row r="633">
      <c r="A633" s="14" t="s">
        <v>2360</v>
      </c>
      <c r="B633" s="4">
        <f>IFERROR(__xludf.DUMMYFUNCTION("SPLIT(A:A, "" "")"),0.148413558270566)</f>
        <v>0.1484135583</v>
      </c>
      <c r="C633" s="4">
        <f>IFERROR(__xludf.DUMMYFUNCTION("""COMPUTED_VALUE"""),0.716155218692073)</f>
        <v>0.7161552187</v>
      </c>
      <c r="D633" s="15">
        <v>1644.0</v>
      </c>
      <c r="E633" s="4"/>
      <c r="F633" s="14" t="s">
        <v>2361</v>
      </c>
      <c r="G633" s="17">
        <f>IFERROR(__xludf.DUMMYFUNCTION("SPLIT(F:F, "" "")"),0.108253693955066)</f>
        <v>0.108253694</v>
      </c>
      <c r="H633" s="4">
        <f>IFERROR(__xludf.DUMMYFUNCTION("""COMPUTED_VALUE"""),0.623944211209748)</f>
        <v>0.6239442112</v>
      </c>
      <c r="I633" s="15">
        <v>3288.0</v>
      </c>
      <c r="J633" s="4"/>
      <c r="K633" s="14" t="s">
        <v>2362</v>
      </c>
      <c r="L633" s="17">
        <f>IFERROR(__xludf.DUMMYFUNCTION("SPLIT(K:K, "" "")"),0.15094806904915)</f>
        <v>0.150948069</v>
      </c>
      <c r="M633" s="4">
        <f>IFERROR(__xludf.DUMMYFUNCTION("""COMPUTED_VALUE"""),0.525457284318952)</f>
        <v>0.5254572843</v>
      </c>
      <c r="N633" s="15">
        <v>2656.0</v>
      </c>
      <c r="O633" s="4"/>
      <c r="P633" s="14" t="s">
        <v>2363</v>
      </c>
      <c r="Q633" s="17">
        <f>IFERROR(__xludf.DUMMYFUNCTION("SPLIT(P:P, "" "")"),0.129364220283541)</f>
        <v>0.1293642203</v>
      </c>
      <c r="R633" s="4">
        <f>IFERROR(__xludf.DUMMYFUNCTION("""COMPUTED_VALUE"""),0.394072863322757)</f>
        <v>0.3940728633</v>
      </c>
      <c r="S633" s="15">
        <v>3984.0</v>
      </c>
      <c r="T633" s="4"/>
      <c r="U633" s="4"/>
    </row>
    <row r="634">
      <c r="A634" s="14" t="s">
        <v>2364</v>
      </c>
      <c r="B634" s="4">
        <f>IFERROR(__xludf.DUMMYFUNCTION("SPLIT(A:A, "" "")"),0.143611437694635)</f>
        <v>0.1436114377</v>
      </c>
      <c r="C634" s="4">
        <f>IFERROR(__xludf.DUMMYFUNCTION("""COMPUTED_VALUE"""),0.712851183228134)</f>
        <v>0.7128511832</v>
      </c>
      <c r="D634" s="15">
        <v>1648.0</v>
      </c>
      <c r="E634" s="4"/>
      <c r="F634" s="14" t="s">
        <v>2365</v>
      </c>
      <c r="G634" s="17">
        <f>IFERROR(__xludf.DUMMYFUNCTION("SPLIT(F:F, "" "")"),0.112211720815052)</f>
        <v>0.1122117208</v>
      </c>
      <c r="H634" s="4">
        <f>IFERROR(__xludf.DUMMYFUNCTION("""COMPUTED_VALUE"""),0.628407264114259)</f>
        <v>0.6284072641</v>
      </c>
      <c r="I634" s="15">
        <v>3296.0</v>
      </c>
      <c r="J634" s="4"/>
      <c r="K634" s="14" t="s">
        <v>2366</v>
      </c>
      <c r="L634" s="17">
        <f>IFERROR(__xludf.DUMMYFUNCTION("SPLIT(K:K, "" "")"),0.153235998143949)</f>
        <v>0.1532359981</v>
      </c>
      <c r="M634" s="4">
        <f>IFERROR(__xludf.DUMMYFUNCTION("""COMPUTED_VALUE"""),0.520589675402807)</f>
        <v>0.5205896754</v>
      </c>
      <c r="N634" s="15">
        <v>2664.0</v>
      </c>
      <c r="O634" s="4"/>
      <c r="P634" s="14" t="s">
        <v>2367</v>
      </c>
      <c r="Q634" s="17">
        <f>IFERROR(__xludf.DUMMYFUNCTION("SPLIT(P:P, "" "")"),0.130648532877263)</f>
        <v>0.1306485329</v>
      </c>
      <c r="R634" s="4">
        <f>IFERROR(__xludf.DUMMYFUNCTION("""COMPUTED_VALUE"""),0.390610800119595)</f>
        <v>0.3906108001</v>
      </c>
      <c r="S634" s="15">
        <v>3996.0</v>
      </c>
      <c r="T634" s="4"/>
      <c r="U634" s="4"/>
    </row>
    <row r="635">
      <c r="A635" s="14" t="s">
        <v>2368</v>
      </c>
      <c r="B635" s="4">
        <f>IFERROR(__xludf.DUMMYFUNCTION("SPLIT(A:A, "" "")"),0.147310620111081)</f>
        <v>0.1473106201</v>
      </c>
      <c r="C635" s="4">
        <f>IFERROR(__xludf.DUMMYFUNCTION("""COMPUTED_VALUE"""),0.705400078749433)</f>
        <v>0.7054000787</v>
      </c>
      <c r="D635" s="15">
        <v>1652.0</v>
      </c>
      <c r="E635" s="4"/>
      <c r="F635" s="14" t="s">
        <v>2369</v>
      </c>
      <c r="G635" s="17">
        <f>IFERROR(__xludf.DUMMYFUNCTION("SPLIT(F:F, "" "")"),0.109926489291305)</f>
        <v>0.1099264893</v>
      </c>
      <c r="H635" s="4">
        <f>IFERROR(__xludf.DUMMYFUNCTION("""COMPUTED_VALUE"""),0.621810002275876)</f>
        <v>0.6218100023</v>
      </c>
      <c r="I635" s="15">
        <v>3304.0</v>
      </c>
      <c r="J635" s="4"/>
      <c r="K635" s="14" t="s">
        <v>2370</v>
      </c>
      <c r="L635" s="17">
        <f>IFERROR(__xludf.DUMMYFUNCTION("SPLIT(K:K, "" "")"),0.146889553047122)</f>
        <v>0.146889553</v>
      </c>
      <c r="M635" s="4">
        <f>IFERROR(__xludf.DUMMYFUNCTION("""COMPUTED_VALUE"""),0.510887296555903)</f>
        <v>0.5108872966</v>
      </c>
      <c r="N635" s="15">
        <v>2672.0</v>
      </c>
      <c r="O635" s="4"/>
      <c r="P635" s="14" t="s">
        <v>2371</v>
      </c>
      <c r="Q635" s="17">
        <f>IFERROR(__xludf.DUMMYFUNCTION("SPLIT(P:P, "" "")"),0.129499502742843)</f>
        <v>0.1294995027</v>
      </c>
      <c r="R635" s="4">
        <f>IFERROR(__xludf.DUMMYFUNCTION("""COMPUTED_VALUE"""),0.396868281339707)</f>
        <v>0.3968682813</v>
      </c>
      <c r="S635" s="15">
        <v>4008.0</v>
      </c>
      <c r="T635" s="4"/>
      <c r="U635" s="4"/>
    </row>
    <row r="636">
      <c r="A636" s="14" t="s">
        <v>2372</v>
      </c>
      <c r="B636" s="4">
        <f>IFERROR(__xludf.DUMMYFUNCTION("SPLIT(A:A, "" "")"),0.145524424194355)</f>
        <v>0.1455244242</v>
      </c>
      <c r="C636" s="4">
        <f>IFERROR(__xludf.DUMMYFUNCTION("""COMPUTED_VALUE"""),0.712490250087236)</f>
        <v>0.7124902501</v>
      </c>
      <c r="D636" s="15">
        <v>1656.0</v>
      </c>
      <c r="E636" s="4"/>
      <c r="F636" s="14" t="s">
        <v>2373</v>
      </c>
      <c r="G636" s="17">
        <f>IFERROR(__xludf.DUMMYFUNCTION("SPLIT(F:F, "" "")"),0.111801697400097)</f>
        <v>0.1118016974</v>
      </c>
      <c r="H636" s="4">
        <f>IFERROR(__xludf.DUMMYFUNCTION("""COMPUTED_VALUE"""),0.616077115588067)</f>
        <v>0.6160771156</v>
      </c>
      <c r="I636" s="15">
        <v>3312.0</v>
      </c>
      <c r="J636" s="4"/>
      <c r="K636" s="14" t="s">
        <v>2374</v>
      </c>
      <c r="L636" s="17">
        <f>IFERROR(__xludf.DUMMYFUNCTION("SPLIT(K:K, "" "")"),0.146069234031822)</f>
        <v>0.146069234</v>
      </c>
      <c r="M636" s="4">
        <f>IFERROR(__xludf.DUMMYFUNCTION("""COMPUTED_VALUE"""),0.512199023437792)</f>
        <v>0.5121990234</v>
      </c>
      <c r="N636" s="15">
        <v>2680.0</v>
      </c>
      <c r="O636" s="4"/>
      <c r="P636" s="14" t="s">
        <v>2375</v>
      </c>
      <c r="Q636" s="17">
        <f>IFERROR(__xludf.DUMMYFUNCTION("SPLIT(P:P, "" "")"),0.127636996935203)</f>
        <v>0.1276369969</v>
      </c>
      <c r="R636" s="4">
        <f>IFERROR(__xludf.DUMMYFUNCTION("""COMPUTED_VALUE"""),0.394547297571556)</f>
        <v>0.3945472976</v>
      </c>
      <c r="S636" s="15">
        <v>4020.0</v>
      </c>
      <c r="T636" s="4"/>
      <c r="U636" s="4"/>
    </row>
    <row r="637">
      <c r="A637" s="14" t="s">
        <v>2376</v>
      </c>
      <c r="B637" s="4">
        <f>IFERROR(__xludf.DUMMYFUNCTION("SPLIT(A:A, "" "")"),0.144247425877113)</f>
        <v>0.1442474259</v>
      </c>
      <c r="C637" s="4">
        <f>IFERROR(__xludf.DUMMYFUNCTION("""COMPUTED_VALUE"""),0.709731158212902)</f>
        <v>0.7097311582</v>
      </c>
      <c r="D637" s="15">
        <v>1660.0</v>
      </c>
      <c r="E637" s="4"/>
      <c r="F637" s="14" t="s">
        <v>2377</v>
      </c>
      <c r="G637" s="17">
        <f>IFERROR(__xludf.DUMMYFUNCTION("SPLIT(F:F, "" "")"),0.11174801064307)</f>
        <v>0.1117480106</v>
      </c>
      <c r="H637" s="4">
        <f>IFERROR(__xludf.DUMMYFUNCTION("""COMPUTED_VALUE"""),0.632181297996085)</f>
        <v>0.632181298</v>
      </c>
      <c r="I637" s="15">
        <v>3320.0</v>
      </c>
      <c r="J637" s="4"/>
      <c r="K637" s="14" t="s">
        <v>2378</v>
      </c>
      <c r="L637" s="17">
        <f>IFERROR(__xludf.DUMMYFUNCTION("SPLIT(K:K, "" "")"),0.147525522511821)</f>
        <v>0.1475255225</v>
      </c>
      <c r="M637" s="4">
        <f>IFERROR(__xludf.DUMMYFUNCTION("""COMPUTED_VALUE"""),0.509434326344941)</f>
        <v>0.5094343263</v>
      </c>
      <c r="N637" s="15">
        <v>2688.0</v>
      </c>
      <c r="O637" s="4"/>
      <c r="P637" s="14" t="s">
        <v>2379</v>
      </c>
      <c r="Q637" s="17">
        <f>IFERROR(__xludf.DUMMYFUNCTION("SPLIT(P:P, "" "")"),0.127854786668418)</f>
        <v>0.1278547867</v>
      </c>
      <c r="R637" s="4">
        <f>IFERROR(__xludf.DUMMYFUNCTION("""COMPUTED_VALUE"""),0.396062173231952)</f>
        <v>0.3960621732</v>
      </c>
      <c r="S637" s="15">
        <v>4032.0</v>
      </c>
      <c r="T637" s="4"/>
      <c r="U637" s="4"/>
    </row>
    <row r="638">
      <c r="A638" s="14" t="s">
        <v>2380</v>
      </c>
      <c r="B638" s="4">
        <f>IFERROR(__xludf.DUMMYFUNCTION("SPLIT(A:A, "" "")"),0.148046754316248)</f>
        <v>0.1480467543</v>
      </c>
      <c r="C638" s="4">
        <f>IFERROR(__xludf.DUMMYFUNCTION("""COMPUTED_VALUE"""),0.711838682095023)</f>
        <v>0.7118386821</v>
      </c>
      <c r="D638" s="15">
        <v>1664.0</v>
      </c>
      <c r="E638" s="4"/>
      <c r="F638" s="14" t="s">
        <v>2381</v>
      </c>
      <c r="G638" s="17">
        <f>IFERROR(__xludf.DUMMYFUNCTION("SPLIT(F:F, "" "")"),0.108612564251826)</f>
        <v>0.1086125643</v>
      </c>
      <c r="H638" s="4">
        <f>IFERROR(__xludf.DUMMYFUNCTION("""COMPUTED_VALUE"""),0.614245294578169)</f>
        <v>0.6142452946</v>
      </c>
      <c r="I638" s="15">
        <v>3328.0</v>
      </c>
      <c r="J638" s="4"/>
      <c r="K638" s="14" t="s">
        <v>2382</v>
      </c>
      <c r="L638" s="17">
        <f>IFERROR(__xludf.DUMMYFUNCTION("SPLIT(K:K, "" "")"),0.146113909878376)</f>
        <v>0.1461139099</v>
      </c>
      <c r="M638" s="4">
        <f>IFERROR(__xludf.DUMMYFUNCTION("""COMPUTED_VALUE"""),0.503274126958953)</f>
        <v>0.503274127</v>
      </c>
      <c r="N638" s="15">
        <v>2696.0</v>
      </c>
      <c r="O638" s="4"/>
      <c r="P638" s="14" t="s">
        <v>2383</v>
      </c>
      <c r="Q638" s="17">
        <f>IFERROR(__xludf.DUMMYFUNCTION("SPLIT(P:P, "" "")"),0.12831874809347)</f>
        <v>0.1283187481</v>
      </c>
      <c r="R638" s="4">
        <f>IFERROR(__xludf.DUMMYFUNCTION("""COMPUTED_VALUE"""),0.397199853147247)</f>
        <v>0.3971998531</v>
      </c>
      <c r="S638" s="15">
        <v>4044.0</v>
      </c>
      <c r="T638" s="4"/>
      <c r="U638" s="4"/>
    </row>
    <row r="639">
      <c r="A639" s="14" t="s">
        <v>2384</v>
      </c>
      <c r="B639" s="4">
        <f>IFERROR(__xludf.DUMMYFUNCTION("SPLIT(A:A, "" "")"),0.141350984472884)</f>
        <v>0.1413509845</v>
      </c>
      <c r="C639" s="4">
        <f>IFERROR(__xludf.DUMMYFUNCTION("""COMPUTED_VALUE"""),0.709908253086508)</f>
        <v>0.7099082531</v>
      </c>
      <c r="D639" s="15">
        <v>1668.0</v>
      </c>
      <c r="E639" s="4"/>
      <c r="F639" s="14" t="s">
        <v>2385</v>
      </c>
      <c r="G639" s="17">
        <f>IFERROR(__xludf.DUMMYFUNCTION("SPLIT(F:F, "" "")"),0.109089967036858)</f>
        <v>0.109089967</v>
      </c>
      <c r="H639" s="4">
        <f>IFERROR(__xludf.DUMMYFUNCTION("""COMPUTED_VALUE"""),0.619712825886261)</f>
        <v>0.6197128259</v>
      </c>
      <c r="I639" s="15">
        <v>3336.0</v>
      </c>
      <c r="J639" s="4"/>
      <c r="K639" s="14" t="s">
        <v>2386</v>
      </c>
      <c r="L639" s="17">
        <f>IFERROR(__xludf.DUMMYFUNCTION("SPLIT(K:K, "" "")"),0.146535414141387)</f>
        <v>0.1465354141</v>
      </c>
      <c r="M639" s="4">
        <f>IFERROR(__xludf.DUMMYFUNCTION("""COMPUTED_VALUE"""),0.505466669514424)</f>
        <v>0.5054666695</v>
      </c>
      <c r="N639" s="15">
        <v>2704.0</v>
      </c>
      <c r="O639" s="4"/>
      <c r="P639" s="14" t="s">
        <v>2387</v>
      </c>
      <c r="Q639" s="17">
        <f>IFERROR(__xludf.DUMMYFUNCTION("SPLIT(P:P, "" "")"),0.128540199279023)</f>
        <v>0.1285401993</v>
      </c>
      <c r="R639" s="4">
        <f>IFERROR(__xludf.DUMMYFUNCTION("""COMPUTED_VALUE"""),0.391383569441497)</f>
        <v>0.3913835694</v>
      </c>
      <c r="S639" s="15">
        <v>4056.0</v>
      </c>
      <c r="T639" s="4"/>
      <c r="U639" s="4"/>
    </row>
    <row r="640">
      <c r="A640" s="14" t="s">
        <v>2388</v>
      </c>
      <c r="B640" s="4">
        <f>IFERROR(__xludf.DUMMYFUNCTION("SPLIT(A:A, "" "")"),0.143710737963464)</f>
        <v>0.143710738</v>
      </c>
      <c r="C640" s="4">
        <f>IFERROR(__xludf.DUMMYFUNCTION("""COMPUTED_VALUE"""),0.694655684425259)</f>
        <v>0.6946556844</v>
      </c>
      <c r="D640" s="15">
        <v>1672.0</v>
      </c>
      <c r="E640" s="4"/>
      <c r="F640" s="14" t="s">
        <v>2389</v>
      </c>
      <c r="G640" s="17">
        <f>IFERROR(__xludf.DUMMYFUNCTION("SPLIT(F:F, "" "")"),0.108919475530014)</f>
        <v>0.1089194755</v>
      </c>
      <c r="H640" s="4">
        <f>IFERROR(__xludf.DUMMYFUNCTION("""COMPUTED_VALUE"""),0.624345104366759)</f>
        <v>0.6243451044</v>
      </c>
      <c r="I640" s="15">
        <v>3344.0</v>
      </c>
      <c r="J640" s="4"/>
      <c r="K640" s="14" t="s">
        <v>2390</v>
      </c>
      <c r="L640" s="17">
        <f>IFERROR(__xludf.DUMMYFUNCTION("SPLIT(K:K, "" "")"),0.14426317827519)</f>
        <v>0.1442631783</v>
      </c>
      <c r="M640" s="4">
        <f>IFERROR(__xludf.DUMMYFUNCTION("""COMPUTED_VALUE"""),0.5047724558709)</f>
        <v>0.5047724559</v>
      </c>
      <c r="N640" s="15">
        <v>2712.0</v>
      </c>
      <c r="O640" s="4"/>
      <c r="P640" s="14" t="s">
        <v>2391</v>
      </c>
      <c r="Q640" s="17">
        <f>IFERROR(__xludf.DUMMYFUNCTION("SPLIT(P:P, "" "")"),0.128064512535809)</f>
        <v>0.1280645125</v>
      </c>
      <c r="R640" s="4">
        <f>IFERROR(__xludf.DUMMYFUNCTION("""COMPUTED_VALUE"""),0.396000982158736)</f>
        <v>0.3960009822</v>
      </c>
      <c r="S640" s="15">
        <v>4068.0</v>
      </c>
      <c r="T640" s="4"/>
      <c r="U640" s="4"/>
    </row>
    <row r="641">
      <c r="A641" s="14" t="s">
        <v>2392</v>
      </c>
      <c r="B641" s="4">
        <f>IFERROR(__xludf.DUMMYFUNCTION("SPLIT(A:A, "" "")"),0.141482353534227)</f>
        <v>0.1414823535</v>
      </c>
      <c r="C641" s="4">
        <f>IFERROR(__xludf.DUMMYFUNCTION("""COMPUTED_VALUE"""),0.70589564685064)</f>
        <v>0.7058956469</v>
      </c>
      <c r="D641" s="15">
        <v>1676.0</v>
      </c>
      <c r="E641" s="4"/>
      <c r="F641" s="14" t="s">
        <v>2393</v>
      </c>
      <c r="G641" s="17">
        <f>IFERROR(__xludf.DUMMYFUNCTION("SPLIT(F:F, "" "")"),0.11135660364049)</f>
        <v>0.1113566036</v>
      </c>
      <c r="H641" s="4">
        <f>IFERROR(__xludf.DUMMYFUNCTION("""COMPUTED_VALUE"""),0.628334388355516)</f>
        <v>0.6283343884</v>
      </c>
      <c r="I641" s="15">
        <v>3352.0</v>
      </c>
      <c r="J641" s="4"/>
      <c r="K641" s="14" t="s">
        <v>2394</v>
      </c>
      <c r="L641" s="17">
        <f>IFERROR(__xludf.DUMMYFUNCTION("SPLIT(K:K, "" "")"),0.148164560657681)</f>
        <v>0.1481645607</v>
      </c>
      <c r="M641" s="4">
        <f>IFERROR(__xludf.DUMMYFUNCTION("""COMPUTED_VALUE"""),0.507487706048319)</f>
        <v>0.507487706</v>
      </c>
      <c r="N641" s="15">
        <v>2720.0</v>
      </c>
      <c r="O641" s="4"/>
      <c r="P641" s="14" t="s">
        <v>2395</v>
      </c>
      <c r="Q641" s="17">
        <f>IFERROR(__xludf.DUMMYFUNCTION("SPLIT(P:P, "" "")"),0.131268398800217)</f>
        <v>0.1312683988</v>
      </c>
      <c r="R641" s="4">
        <f>IFERROR(__xludf.DUMMYFUNCTION("""COMPUTED_VALUE"""),0.403240064609364)</f>
        <v>0.4032400646</v>
      </c>
      <c r="S641" s="15">
        <v>4080.0</v>
      </c>
      <c r="T641" s="4"/>
      <c r="U641" s="4"/>
    </row>
    <row r="642">
      <c r="A642" s="14" t="s">
        <v>2396</v>
      </c>
      <c r="B642" s="4">
        <f>IFERROR(__xludf.DUMMYFUNCTION("SPLIT(A:A, "" "")"),0.145966989738391)</f>
        <v>0.1459669897</v>
      </c>
      <c r="C642" s="4">
        <f>IFERROR(__xludf.DUMMYFUNCTION("""COMPUTED_VALUE"""),0.709723795972912)</f>
        <v>0.709723796</v>
      </c>
      <c r="D642" s="15">
        <v>1680.0</v>
      </c>
      <c r="E642" s="4"/>
      <c r="F642" s="14" t="s">
        <v>2397</v>
      </c>
      <c r="G642" s="17">
        <f>IFERROR(__xludf.DUMMYFUNCTION("SPLIT(F:F, "" "")"),0.108831982538402)</f>
        <v>0.1088319825</v>
      </c>
      <c r="H642" s="4">
        <f>IFERROR(__xludf.DUMMYFUNCTION("""COMPUTED_VALUE"""),0.622876989632435)</f>
        <v>0.6228769896</v>
      </c>
      <c r="I642" s="15">
        <v>3360.0</v>
      </c>
      <c r="J642" s="4"/>
      <c r="K642" s="14" t="s">
        <v>2398</v>
      </c>
      <c r="L642" s="17">
        <f>IFERROR(__xludf.DUMMYFUNCTION("SPLIT(K:K, "" "")"),0.143840379852615)</f>
        <v>0.1438403799</v>
      </c>
      <c r="M642" s="4">
        <f>IFERROR(__xludf.DUMMYFUNCTION("""COMPUTED_VALUE"""),0.506523966664012)</f>
        <v>0.5065239667</v>
      </c>
      <c r="N642" s="15">
        <v>2728.0</v>
      </c>
      <c r="O642" s="4"/>
      <c r="P642" s="14" t="s">
        <v>2399</v>
      </c>
      <c r="Q642" s="17">
        <f>IFERROR(__xludf.DUMMYFUNCTION("SPLIT(P:P, "" "")"),0.127859022507568)</f>
        <v>0.1278590225</v>
      </c>
      <c r="R642" s="4">
        <f>IFERROR(__xludf.DUMMYFUNCTION("""COMPUTED_VALUE"""),0.399419200556839)</f>
        <v>0.3994192006</v>
      </c>
      <c r="S642" s="15">
        <v>4092.0</v>
      </c>
      <c r="T642" s="4"/>
      <c r="U642" s="4"/>
    </row>
    <row r="643">
      <c r="A643" s="14" t="s">
        <v>2400</v>
      </c>
      <c r="B643" s="4">
        <f>IFERROR(__xludf.DUMMYFUNCTION("SPLIT(A:A, "" "")"),0.139919246547926)</f>
        <v>0.1399192465</v>
      </c>
      <c r="C643" s="4">
        <f>IFERROR(__xludf.DUMMYFUNCTION("""COMPUTED_VALUE"""),0.709975119458293)</f>
        <v>0.7099751195</v>
      </c>
      <c r="D643" s="15">
        <v>1684.0</v>
      </c>
      <c r="E643" s="4"/>
      <c r="F643" s="14" t="s">
        <v>2401</v>
      </c>
      <c r="G643" s="17">
        <f>IFERROR(__xludf.DUMMYFUNCTION("SPLIT(F:F, "" "")"),0.111146071721158)</f>
        <v>0.1111460717</v>
      </c>
      <c r="H643" s="4">
        <f>IFERROR(__xludf.DUMMYFUNCTION("""COMPUTED_VALUE"""),0.622041303210241)</f>
        <v>0.6220413032</v>
      </c>
      <c r="I643" s="15">
        <v>3368.0</v>
      </c>
      <c r="J643" s="4"/>
      <c r="K643" s="14" t="s">
        <v>2402</v>
      </c>
      <c r="L643" s="17">
        <f>IFERROR(__xludf.DUMMYFUNCTION("SPLIT(K:K, "" "")"),0.148327804326668)</f>
        <v>0.1483278043</v>
      </c>
      <c r="M643" s="4">
        <f>IFERROR(__xludf.DUMMYFUNCTION("""COMPUTED_VALUE"""),0.514525846363375)</f>
        <v>0.5145258464</v>
      </c>
      <c r="N643" s="15">
        <v>2736.0</v>
      </c>
      <c r="O643" s="4"/>
      <c r="P643" s="14" t="s">
        <v>2403</v>
      </c>
      <c r="Q643" s="17">
        <f>IFERROR(__xludf.DUMMYFUNCTION("SPLIT(P:P, "" "")"),0.130166434029955)</f>
        <v>0.130166434</v>
      </c>
      <c r="R643" s="4">
        <f>IFERROR(__xludf.DUMMYFUNCTION("""COMPUTED_VALUE"""),0.399232878072013)</f>
        <v>0.3992328781</v>
      </c>
      <c r="S643" s="15">
        <v>4104.0</v>
      </c>
      <c r="T643" s="4"/>
      <c r="U643" s="4"/>
    </row>
    <row r="644">
      <c r="A644" s="14" t="s">
        <v>2404</v>
      </c>
      <c r="B644" s="4">
        <f>IFERROR(__xludf.DUMMYFUNCTION("SPLIT(A:A, "" "")"),0.141667762683006)</f>
        <v>0.1416677627</v>
      </c>
      <c r="C644" s="4">
        <f>IFERROR(__xludf.DUMMYFUNCTION("""COMPUTED_VALUE"""),0.714271674936866)</f>
        <v>0.7142716749</v>
      </c>
      <c r="D644" s="15">
        <v>1688.0</v>
      </c>
      <c r="E644" s="4"/>
      <c r="F644" s="14" t="s">
        <v>2405</v>
      </c>
      <c r="G644" s="17">
        <f>IFERROR(__xludf.DUMMYFUNCTION("SPLIT(F:F, "" "")"),0.107987035141899)</f>
        <v>0.1079870351</v>
      </c>
      <c r="H644" s="4">
        <f>IFERROR(__xludf.DUMMYFUNCTION("""COMPUTED_VALUE"""),0.62111279232532)</f>
        <v>0.6211127923</v>
      </c>
      <c r="I644" s="15">
        <v>3376.0</v>
      </c>
      <c r="J644" s="4"/>
      <c r="K644" s="14" t="s">
        <v>2406</v>
      </c>
      <c r="L644" s="17">
        <f>IFERROR(__xludf.DUMMYFUNCTION("SPLIT(K:K, "" "")"),0.146354292547389)</f>
        <v>0.1463542925</v>
      </c>
      <c r="M644" s="4">
        <f>IFERROR(__xludf.DUMMYFUNCTION("""COMPUTED_VALUE"""),0.522691248354775)</f>
        <v>0.5226912484</v>
      </c>
      <c r="N644" s="15">
        <v>2744.0</v>
      </c>
      <c r="O644" s="4"/>
      <c r="P644" s="14" t="s">
        <v>2407</v>
      </c>
      <c r="Q644" s="17">
        <f>IFERROR(__xludf.DUMMYFUNCTION("SPLIT(P:P, "" "")"),0.130683083828273)</f>
        <v>0.1306830838</v>
      </c>
      <c r="R644" s="4">
        <f>IFERROR(__xludf.DUMMYFUNCTION("""COMPUTED_VALUE"""),0.405125860801464)</f>
        <v>0.4051258608</v>
      </c>
      <c r="S644" s="15">
        <v>4116.0</v>
      </c>
      <c r="T644" s="4"/>
      <c r="U644" s="4"/>
    </row>
    <row r="645">
      <c r="A645" s="14" t="s">
        <v>2408</v>
      </c>
      <c r="B645" s="4">
        <f>IFERROR(__xludf.DUMMYFUNCTION("SPLIT(A:A, "" "")"),0.139485567863598)</f>
        <v>0.1394855679</v>
      </c>
      <c r="C645" s="4">
        <f>IFERROR(__xludf.DUMMYFUNCTION("""COMPUTED_VALUE"""),0.710790011687329)</f>
        <v>0.7107900117</v>
      </c>
      <c r="D645" s="15">
        <v>1692.0</v>
      </c>
      <c r="E645" s="4"/>
      <c r="F645" s="14" t="s">
        <v>2409</v>
      </c>
      <c r="G645" s="17">
        <f>IFERROR(__xludf.DUMMYFUNCTION("SPLIT(F:F, "" "")"),0.110698122909556)</f>
        <v>0.1106981229</v>
      </c>
      <c r="H645" s="4">
        <f>IFERROR(__xludf.DUMMYFUNCTION("""COMPUTED_VALUE"""),0.626040247120316)</f>
        <v>0.6260402471</v>
      </c>
      <c r="I645" s="15">
        <v>3384.0</v>
      </c>
      <c r="J645" s="4"/>
      <c r="K645" s="14" t="s">
        <v>2410</v>
      </c>
      <c r="L645" s="17">
        <f>IFERROR(__xludf.DUMMYFUNCTION("SPLIT(K:K, "" "")"),0.149714274574429)</f>
        <v>0.1497142746</v>
      </c>
      <c r="M645" s="4">
        <f>IFERROR(__xludf.DUMMYFUNCTION("""COMPUTED_VALUE"""),0.518670254762223)</f>
        <v>0.5186702548</v>
      </c>
      <c r="N645" s="15">
        <v>2752.0</v>
      </c>
      <c r="O645" s="4"/>
      <c r="P645" s="14" t="s">
        <v>2411</v>
      </c>
      <c r="Q645" s="17">
        <f>IFERROR(__xludf.DUMMYFUNCTION("SPLIT(P:P, "" "")"),0.126756201767777)</f>
        <v>0.1267562018</v>
      </c>
      <c r="R645" s="4">
        <f>IFERROR(__xludf.DUMMYFUNCTION("""COMPUTED_VALUE"""),0.389396178625458)</f>
        <v>0.3893961786</v>
      </c>
      <c r="S645" s="15">
        <v>4128.0</v>
      </c>
      <c r="T645" s="4"/>
      <c r="U645" s="4"/>
    </row>
    <row r="646">
      <c r="A646" s="14" t="s">
        <v>2412</v>
      </c>
      <c r="B646" s="4">
        <f>IFERROR(__xludf.DUMMYFUNCTION("SPLIT(A:A, "" "")"),0.139787260819121)</f>
        <v>0.1397872608</v>
      </c>
      <c r="C646" s="4">
        <f>IFERROR(__xludf.DUMMYFUNCTION("""COMPUTED_VALUE"""),0.715640074937637)</f>
        <v>0.7156400749</v>
      </c>
      <c r="D646" s="15">
        <v>1696.0</v>
      </c>
      <c r="E646" s="4"/>
      <c r="F646" s="14" t="s">
        <v>2413</v>
      </c>
      <c r="G646" s="17">
        <f>IFERROR(__xludf.DUMMYFUNCTION("SPLIT(F:F, "" "")"),0.106960872699769)</f>
        <v>0.1069608727</v>
      </c>
      <c r="H646" s="4">
        <f>IFERROR(__xludf.DUMMYFUNCTION("""COMPUTED_VALUE"""),0.620484554163737)</f>
        <v>0.6204845542</v>
      </c>
      <c r="I646" s="15">
        <v>3392.0</v>
      </c>
      <c r="J646" s="4"/>
      <c r="K646" s="14" t="s">
        <v>2414</v>
      </c>
      <c r="L646" s="17">
        <f>IFERROR(__xludf.DUMMYFUNCTION("SPLIT(K:K, "" "")"),0.143413588000989)</f>
        <v>0.143413588</v>
      </c>
      <c r="M646" s="4">
        <f>IFERROR(__xludf.DUMMYFUNCTION("""COMPUTED_VALUE"""),0.505630015011852)</f>
        <v>0.505630015</v>
      </c>
      <c r="N646" s="15">
        <v>2760.0</v>
      </c>
      <c r="O646" s="4"/>
      <c r="P646" s="14" t="s">
        <v>2415</v>
      </c>
      <c r="Q646" s="17">
        <f>IFERROR(__xludf.DUMMYFUNCTION("SPLIT(P:P, "" "")"),0.125297701091872)</f>
        <v>0.1252977011</v>
      </c>
      <c r="R646" s="4">
        <f>IFERROR(__xludf.DUMMYFUNCTION("""COMPUTED_VALUE"""),0.393415073600549)</f>
        <v>0.3934150736</v>
      </c>
      <c r="S646" s="15">
        <v>4140.0</v>
      </c>
      <c r="T646" s="4"/>
      <c r="U646" s="4"/>
    </row>
    <row r="647">
      <c r="A647" s="14" t="s">
        <v>2416</v>
      </c>
      <c r="B647" s="4">
        <f>IFERROR(__xludf.DUMMYFUNCTION("SPLIT(A:A, "" "")"),0.142810267191931)</f>
        <v>0.1428102672</v>
      </c>
      <c r="C647" s="4">
        <f>IFERROR(__xludf.DUMMYFUNCTION("""COMPUTED_VALUE"""),0.718574970555037)</f>
        <v>0.7185749706</v>
      </c>
      <c r="D647" s="15">
        <v>1700.0</v>
      </c>
      <c r="E647" s="4"/>
      <c r="F647" s="14" t="s">
        <v>2417</v>
      </c>
      <c r="G647" s="17">
        <f>IFERROR(__xludf.DUMMYFUNCTION("SPLIT(F:F, "" "")"),0.109719669197053)</f>
        <v>0.1097196692</v>
      </c>
      <c r="H647" s="4">
        <f>IFERROR(__xludf.DUMMYFUNCTION("""COMPUTED_VALUE"""),0.628681627715292)</f>
        <v>0.6286816277</v>
      </c>
      <c r="I647" s="15">
        <v>3400.0</v>
      </c>
      <c r="J647" s="4"/>
      <c r="K647" s="14" t="s">
        <v>2418</v>
      </c>
      <c r="L647" s="17">
        <f>IFERROR(__xludf.DUMMYFUNCTION("SPLIT(K:K, "" "")"),0.148905395393216)</f>
        <v>0.1489053954</v>
      </c>
      <c r="M647" s="4">
        <f>IFERROR(__xludf.DUMMYFUNCTION("""COMPUTED_VALUE"""),0.511351138011016)</f>
        <v>0.511351138</v>
      </c>
      <c r="N647" s="15">
        <v>2768.0</v>
      </c>
      <c r="O647" s="4"/>
      <c r="P647" s="14" t="s">
        <v>2419</v>
      </c>
      <c r="Q647" s="17">
        <f>IFERROR(__xludf.DUMMYFUNCTION("SPLIT(P:P, "" "")"),0.128860359209122)</f>
        <v>0.1288603592</v>
      </c>
      <c r="R647" s="4">
        <f>IFERROR(__xludf.DUMMYFUNCTION("""COMPUTED_VALUE"""),0.396232876972666)</f>
        <v>0.396232877</v>
      </c>
      <c r="S647" s="15">
        <v>4152.0</v>
      </c>
      <c r="T647" s="4"/>
      <c r="U647" s="4"/>
    </row>
    <row r="648">
      <c r="A648" s="14" t="s">
        <v>2420</v>
      </c>
      <c r="B648" s="4">
        <f>IFERROR(__xludf.DUMMYFUNCTION("SPLIT(A:A, "" "")"),0.137852226143196)</f>
        <v>0.1378522261</v>
      </c>
      <c r="C648" s="4">
        <f>IFERROR(__xludf.DUMMYFUNCTION("""COMPUTED_VALUE"""),0.708749782538876)</f>
        <v>0.7087497825</v>
      </c>
      <c r="D648" s="15">
        <v>1704.0</v>
      </c>
      <c r="E648" s="4"/>
      <c r="F648" s="14" t="s">
        <v>2421</v>
      </c>
      <c r="G648" s="17">
        <f>IFERROR(__xludf.DUMMYFUNCTION("SPLIT(F:F, "" "")"),0.108903020969663)</f>
        <v>0.108903021</v>
      </c>
      <c r="H648" s="4">
        <f>IFERROR(__xludf.DUMMYFUNCTION("""COMPUTED_VALUE"""),0.627610141050231)</f>
        <v>0.6276101411</v>
      </c>
      <c r="I648" s="15">
        <v>3408.0</v>
      </c>
      <c r="J648" s="4"/>
      <c r="K648" s="14" t="s">
        <v>2422</v>
      </c>
      <c r="L648" s="17">
        <f>IFERROR(__xludf.DUMMYFUNCTION("SPLIT(K:K, "" "")"),0.141316467987681)</f>
        <v>0.141316468</v>
      </c>
      <c r="M648" s="4">
        <f>IFERROR(__xludf.DUMMYFUNCTION("""COMPUTED_VALUE"""),0.502018385590437)</f>
        <v>0.5020183856</v>
      </c>
      <c r="N648" s="15">
        <v>2776.0</v>
      </c>
      <c r="O648" s="4"/>
      <c r="P648" s="14" t="s">
        <v>2423</v>
      </c>
      <c r="Q648" s="17">
        <f>IFERROR(__xludf.DUMMYFUNCTION("SPLIT(P:P, "" "")"),0.126803090753015)</f>
        <v>0.1268030908</v>
      </c>
      <c r="R648" s="4">
        <f>IFERROR(__xludf.DUMMYFUNCTION("""COMPUTED_VALUE"""),0.395009940269505)</f>
        <v>0.3950099403</v>
      </c>
      <c r="S648" s="15">
        <v>4164.0</v>
      </c>
      <c r="T648" s="4"/>
      <c r="U648" s="4"/>
    </row>
    <row r="649">
      <c r="A649" s="14" t="s">
        <v>2424</v>
      </c>
      <c r="B649" s="4">
        <f>IFERROR(__xludf.DUMMYFUNCTION("SPLIT(A:A, "" "")"),0.139551856564563)</f>
        <v>0.1395518566</v>
      </c>
      <c r="C649" s="4">
        <f>IFERROR(__xludf.DUMMYFUNCTION("""COMPUTED_VALUE"""),0.718892738282415)</f>
        <v>0.7188927383</v>
      </c>
      <c r="D649" s="15">
        <v>1708.0</v>
      </c>
      <c r="E649" s="4"/>
      <c r="F649" s="14" t="s">
        <v>2425</v>
      </c>
      <c r="G649" s="17">
        <f>IFERROR(__xludf.DUMMYFUNCTION("SPLIT(F:F, "" "")"),0.111306752895725)</f>
        <v>0.1113067529</v>
      </c>
      <c r="H649" s="4">
        <f>IFERROR(__xludf.DUMMYFUNCTION("""COMPUTED_VALUE"""),0.630250901507766)</f>
        <v>0.6302509015</v>
      </c>
      <c r="I649" s="15">
        <v>3416.0</v>
      </c>
      <c r="J649" s="4"/>
      <c r="K649" s="14" t="s">
        <v>2426</v>
      </c>
      <c r="L649" s="17">
        <f>IFERROR(__xludf.DUMMYFUNCTION("SPLIT(K:K, "" "")"),0.146590448761868)</f>
        <v>0.1465904488</v>
      </c>
      <c r="M649" s="4">
        <f>IFERROR(__xludf.DUMMYFUNCTION("""COMPUTED_VALUE"""),0.515313718101431)</f>
        <v>0.5153137181</v>
      </c>
      <c r="N649" s="15">
        <v>2784.0</v>
      </c>
      <c r="O649" s="4"/>
      <c r="P649" s="14" t="s">
        <v>2427</v>
      </c>
      <c r="Q649" s="17">
        <f>IFERROR(__xludf.DUMMYFUNCTION("SPLIT(P:P, "" "")"),0.122598305613266)</f>
        <v>0.1225983056</v>
      </c>
      <c r="R649" s="4">
        <f>IFERROR(__xludf.DUMMYFUNCTION("""COMPUTED_VALUE"""),0.389749218841305)</f>
        <v>0.3897492188</v>
      </c>
      <c r="S649" s="15">
        <v>4176.0</v>
      </c>
      <c r="T649" s="4"/>
      <c r="U649" s="4"/>
    </row>
    <row r="650">
      <c r="A650" s="14" t="s">
        <v>2428</v>
      </c>
      <c r="B650" s="4">
        <f>IFERROR(__xludf.DUMMYFUNCTION("SPLIT(A:A, "" "")"),0.141142451999603)</f>
        <v>0.141142452</v>
      </c>
      <c r="C650" s="4">
        <f>IFERROR(__xludf.DUMMYFUNCTION("""COMPUTED_VALUE"""),0.705435164423928)</f>
        <v>0.7054351644</v>
      </c>
      <c r="D650" s="15">
        <v>1712.0</v>
      </c>
      <c r="E650" s="4"/>
      <c r="F650" s="14" t="s">
        <v>2429</v>
      </c>
      <c r="G650" s="17">
        <f>IFERROR(__xludf.DUMMYFUNCTION("SPLIT(F:F, "" "")"),0.107274073738373)</f>
        <v>0.1072740737</v>
      </c>
      <c r="H650" s="4">
        <f>IFERROR(__xludf.DUMMYFUNCTION("""COMPUTED_VALUE"""),0.612515393120421)</f>
        <v>0.6125153931</v>
      </c>
      <c r="I650" s="15">
        <v>3424.0</v>
      </c>
      <c r="J650" s="4"/>
      <c r="K650" s="14" t="s">
        <v>2430</v>
      </c>
      <c r="L650" s="17">
        <f>IFERROR(__xludf.DUMMYFUNCTION("SPLIT(K:K, "" "")"),0.142114885008833)</f>
        <v>0.142114885</v>
      </c>
      <c r="M650" s="4">
        <f>IFERROR(__xludf.DUMMYFUNCTION("""COMPUTED_VALUE"""),0.511120549344653)</f>
        <v>0.5111205493</v>
      </c>
      <c r="N650" s="15">
        <v>2792.0</v>
      </c>
      <c r="O650" s="4"/>
      <c r="P650" s="14" t="s">
        <v>2431</v>
      </c>
      <c r="Q650" s="17">
        <f>IFERROR(__xludf.DUMMYFUNCTION("SPLIT(P:P, "" "")"),0.125283005186939)</f>
        <v>0.1252830052</v>
      </c>
      <c r="R650" s="4">
        <f>IFERROR(__xludf.DUMMYFUNCTION("""COMPUTED_VALUE"""),0.390625982802312)</f>
        <v>0.3906259828</v>
      </c>
      <c r="S650" s="15">
        <v>4188.0</v>
      </c>
      <c r="T650" s="4"/>
      <c r="U650" s="4"/>
    </row>
    <row r="651">
      <c r="A651" s="14" t="s">
        <v>2432</v>
      </c>
      <c r="B651" s="4">
        <f>IFERROR(__xludf.DUMMYFUNCTION("SPLIT(A:A, "" "")"),0.13646038900732)</f>
        <v>0.136460389</v>
      </c>
      <c r="C651" s="4">
        <f>IFERROR(__xludf.DUMMYFUNCTION("""COMPUTED_VALUE"""),0.712692994158498)</f>
        <v>0.7126929942</v>
      </c>
      <c r="D651" s="15">
        <v>1716.0</v>
      </c>
      <c r="E651" s="4"/>
      <c r="F651" s="14" t="s">
        <v>2433</v>
      </c>
      <c r="G651" s="17">
        <f>IFERROR(__xludf.DUMMYFUNCTION("SPLIT(F:F, "" "")"),0.106602248171728)</f>
        <v>0.1066022482</v>
      </c>
      <c r="H651" s="4">
        <f>IFERROR(__xludf.DUMMYFUNCTION("""COMPUTED_VALUE"""),0.619636744193645)</f>
        <v>0.6196367442</v>
      </c>
      <c r="I651" s="15">
        <v>3432.0</v>
      </c>
      <c r="J651" s="4"/>
      <c r="K651" s="14" t="s">
        <v>2434</v>
      </c>
      <c r="L651" s="17">
        <f>IFERROR(__xludf.DUMMYFUNCTION("SPLIT(K:K, "" "")"),0.143045282397637)</f>
        <v>0.1430452824</v>
      </c>
      <c r="M651" s="4">
        <f>IFERROR(__xludf.DUMMYFUNCTION("""COMPUTED_VALUE"""),0.506371110193628)</f>
        <v>0.5063711102</v>
      </c>
      <c r="N651" s="15">
        <v>2800.0</v>
      </c>
      <c r="O651" s="4"/>
      <c r="P651" s="14" t="s">
        <v>2435</v>
      </c>
      <c r="Q651" s="17">
        <f>IFERROR(__xludf.DUMMYFUNCTION("SPLIT(P:P, "" "")"),0.130456999731645)</f>
        <v>0.1304569997</v>
      </c>
      <c r="R651" s="4">
        <f>IFERROR(__xludf.DUMMYFUNCTION("""COMPUTED_VALUE"""),0.401531784336787)</f>
        <v>0.4015317843</v>
      </c>
      <c r="S651" s="15">
        <v>4200.0</v>
      </c>
      <c r="T651" s="4"/>
      <c r="U651" s="4"/>
    </row>
    <row r="652">
      <c r="A652" s="14" t="s">
        <v>2436</v>
      </c>
      <c r="B652" s="4">
        <f>IFERROR(__xludf.DUMMYFUNCTION("SPLIT(A:A, "" "")"),0.137627584585748)</f>
        <v>0.1376275846</v>
      </c>
      <c r="C652" s="4">
        <f>IFERROR(__xludf.DUMMYFUNCTION("""COMPUTED_VALUE"""),0.714228334873475)</f>
        <v>0.7142283349</v>
      </c>
      <c r="D652" s="15">
        <v>1720.0</v>
      </c>
      <c r="E652" s="4"/>
      <c r="F652" s="14" t="s">
        <v>2437</v>
      </c>
      <c r="G652" s="17">
        <f>IFERROR(__xludf.DUMMYFUNCTION("SPLIT(F:F, "" "")"),0.107118952129091)</f>
        <v>0.1071189521</v>
      </c>
      <c r="H652" s="4">
        <f>IFERROR(__xludf.DUMMYFUNCTION("""COMPUTED_VALUE"""),0.611847182956683)</f>
        <v>0.611847183</v>
      </c>
      <c r="I652" s="15">
        <v>3440.0</v>
      </c>
      <c r="J652" s="4"/>
      <c r="K652" s="14" t="s">
        <v>2438</v>
      </c>
      <c r="L652" s="17">
        <f>IFERROR(__xludf.DUMMYFUNCTION("SPLIT(K:K, "" "")"),0.145422852216575)</f>
        <v>0.1454228522</v>
      </c>
      <c r="M652" s="4">
        <f>IFERROR(__xludf.DUMMYFUNCTION("""COMPUTED_VALUE"""),0.509094279155968)</f>
        <v>0.5090942792</v>
      </c>
      <c r="N652" s="15">
        <v>2808.0</v>
      </c>
      <c r="O652" s="4"/>
      <c r="P652" s="14" t="s">
        <v>2439</v>
      </c>
      <c r="Q652" s="17">
        <f>IFERROR(__xludf.DUMMYFUNCTION("SPLIT(P:P, "" "")"),0.124559074715194)</f>
        <v>0.1245590747</v>
      </c>
      <c r="R652" s="4">
        <f>IFERROR(__xludf.DUMMYFUNCTION("""COMPUTED_VALUE"""),0.39003072198606)</f>
        <v>0.390030722</v>
      </c>
      <c r="S652" s="15">
        <v>4212.0</v>
      </c>
      <c r="T652" s="4"/>
      <c r="U652" s="4"/>
    </row>
    <row r="653">
      <c r="A653" s="14" t="s">
        <v>2440</v>
      </c>
      <c r="B653" s="4">
        <f>IFERROR(__xludf.DUMMYFUNCTION("SPLIT(A:A, "" "")"),0.137172022277976)</f>
        <v>0.1371720223</v>
      </c>
      <c r="C653" s="4">
        <f>IFERROR(__xludf.DUMMYFUNCTION("""COMPUTED_VALUE"""),0.698553491325747)</f>
        <v>0.6985534913</v>
      </c>
      <c r="D653" s="15">
        <v>1724.0</v>
      </c>
      <c r="E653" s="4"/>
      <c r="F653" s="14" t="s">
        <v>2441</v>
      </c>
      <c r="G653" s="17">
        <f>IFERROR(__xludf.DUMMYFUNCTION("SPLIT(F:F, "" "")"),0.111090075845382)</f>
        <v>0.1110900758</v>
      </c>
      <c r="H653" s="4">
        <f>IFERROR(__xludf.DUMMYFUNCTION("""COMPUTED_VALUE"""),0.633776473948419)</f>
        <v>0.6337764739</v>
      </c>
      <c r="I653" s="15">
        <v>3448.0</v>
      </c>
      <c r="J653" s="4"/>
      <c r="K653" s="14" t="s">
        <v>2442</v>
      </c>
      <c r="L653" s="17">
        <f>IFERROR(__xludf.DUMMYFUNCTION("SPLIT(K:K, "" "")"),0.146098535315823)</f>
        <v>0.1460985353</v>
      </c>
      <c r="M653" s="4">
        <f>IFERROR(__xludf.DUMMYFUNCTION("""COMPUTED_VALUE"""),0.500401116591627)</f>
        <v>0.5004011166</v>
      </c>
      <c r="N653" s="15">
        <v>2816.0</v>
      </c>
      <c r="O653" s="4"/>
      <c r="P653" s="14" t="s">
        <v>2443</v>
      </c>
      <c r="Q653" s="17">
        <f>IFERROR(__xludf.DUMMYFUNCTION("SPLIT(P:P, "" "")"),0.126798473121017)</f>
        <v>0.1267984731</v>
      </c>
      <c r="R653" s="4">
        <f>IFERROR(__xludf.DUMMYFUNCTION("""COMPUTED_VALUE"""),0.391313980888921)</f>
        <v>0.3913139809</v>
      </c>
      <c r="S653" s="15">
        <v>4224.0</v>
      </c>
      <c r="T653" s="4"/>
      <c r="U653" s="4"/>
    </row>
    <row r="654">
      <c r="A654" s="14" t="s">
        <v>2444</v>
      </c>
      <c r="B654" s="4">
        <f>IFERROR(__xludf.DUMMYFUNCTION("SPLIT(A:A, "" "")"),0.138497002068213)</f>
        <v>0.1384970021</v>
      </c>
      <c r="C654" s="4">
        <f>IFERROR(__xludf.DUMMYFUNCTION("""COMPUTED_VALUE"""),0.703815238359867)</f>
        <v>0.7038152384</v>
      </c>
      <c r="D654" s="15">
        <v>1728.0</v>
      </c>
      <c r="E654" s="4"/>
      <c r="F654" s="14" t="s">
        <v>2445</v>
      </c>
      <c r="G654" s="17">
        <f>IFERROR(__xludf.DUMMYFUNCTION("SPLIT(F:F, "" "")"),0.107524491041122)</f>
        <v>0.107524491</v>
      </c>
      <c r="H654" s="4">
        <f>IFERROR(__xludf.DUMMYFUNCTION("""COMPUTED_VALUE"""),0.620763936887694)</f>
        <v>0.6207639369</v>
      </c>
      <c r="I654" s="15">
        <v>3456.0</v>
      </c>
      <c r="J654" s="4"/>
      <c r="K654" s="14" t="s">
        <v>2446</v>
      </c>
      <c r="L654" s="17">
        <f>IFERROR(__xludf.DUMMYFUNCTION("SPLIT(K:K, "" "")"),0.14958349443199)</f>
        <v>0.1495834944</v>
      </c>
      <c r="M654" s="4">
        <f>IFERROR(__xludf.DUMMYFUNCTION("""COMPUTED_VALUE"""),0.511916308112713)</f>
        <v>0.5119163081</v>
      </c>
      <c r="N654" s="15">
        <v>2824.0</v>
      </c>
      <c r="O654" s="4"/>
      <c r="P654" s="14" t="s">
        <v>2447</v>
      </c>
      <c r="Q654" s="17">
        <f>IFERROR(__xludf.DUMMYFUNCTION("SPLIT(P:P, "" "")"),0.127967971447246)</f>
        <v>0.1279679714</v>
      </c>
      <c r="R654" s="4">
        <f>IFERROR(__xludf.DUMMYFUNCTION("""COMPUTED_VALUE"""),0.398457364919398)</f>
        <v>0.3984573649</v>
      </c>
      <c r="S654" s="15">
        <v>4236.0</v>
      </c>
      <c r="T654" s="4"/>
      <c r="U654" s="4"/>
    </row>
    <row r="655">
      <c r="A655" s="14" t="s">
        <v>2448</v>
      </c>
      <c r="B655" s="4">
        <f>IFERROR(__xludf.DUMMYFUNCTION("SPLIT(A:A, "" "")"),0.138157600710714)</f>
        <v>0.1381576007</v>
      </c>
      <c r="C655" s="4">
        <f>IFERROR(__xludf.DUMMYFUNCTION("""COMPUTED_VALUE"""),0.718347706332421)</f>
        <v>0.7183477063</v>
      </c>
      <c r="D655" s="15">
        <v>1732.0</v>
      </c>
      <c r="E655" s="4"/>
      <c r="F655" s="14" t="s">
        <v>2449</v>
      </c>
      <c r="G655" s="17">
        <f>IFERROR(__xludf.DUMMYFUNCTION("SPLIT(F:F, "" "")"),0.107063710311475)</f>
        <v>0.1070637103</v>
      </c>
      <c r="H655" s="4">
        <f>IFERROR(__xludf.DUMMYFUNCTION("""COMPUTED_VALUE"""),0.61801041834409)</f>
        <v>0.6180104183</v>
      </c>
      <c r="I655" s="15">
        <v>3464.0</v>
      </c>
      <c r="J655" s="4"/>
      <c r="K655" s="14" t="s">
        <v>2450</v>
      </c>
      <c r="L655" s="17">
        <f>IFERROR(__xludf.DUMMYFUNCTION("SPLIT(K:K, "" "")"),0.145180146824041)</f>
        <v>0.1451801468</v>
      </c>
      <c r="M655" s="4">
        <f>IFERROR(__xludf.DUMMYFUNCTION("""COMPUTED_VALUE"""),0.511947853525896)</f>
        <v>0.5119478535</v>
      </c>
      <c r="N655" s="15">
        <v>2832.0</v>
      </c>
      <c r="O655" s="4"/>
      <c r="P655" s="14" t="s">
        <v>2451</v>
      </c>
      <c r="Q655" s="17">
        <f>IFERROR(__xludf.DUMMYFUNCTION("SPLIT(P:P, "" "")"),0.121605761533916)</f>
        <v>0.1216057615</v>
      </c>
      <c r="R655" s="4">
        <f>IFERROR(__xludf.DUMMYFUNCTION("""COMPUTED_VALUE"""),0.391517109292032)</f>
        <v>0.3915171093</v>
      </c>
      <c r="S655" s="15">
        <v>4248.0</v>
      </c>
      <c r="T655" s="4"/>
      <c r="U655" s="4"/>
    </row>
    <row r="656">
      <c r="A656" s="14" t="s">
        <v>2452</v>
      </c>
      <c r="B656" s="4">
        <f>IFERROR(__xludf.DUMMYFUNCTION("SPLIT(A:A, "" "")"),0.140574844620152)</f>
        <v>0.1405748446</v>
      </c>
      <c r="C656" s="4">
        <f>IFERROR(__xludf.DUMMYFUNCTION("""COMPUTED_VALUE"""),0.71165649485176)</f>
        <v>0.7116564949</v>
      </c>
      <c r="D656" s="15">
        <v>1736.0</v>
      </c>
      <c r="E656" s="4"/>
      <c r="F656" s="14" t="s">
        <v>2453</v>
      </c>
      <c r="G656" s="17">
        <f>IFERROR(__xludf.DUMMYFUNCTION("SPLIT(F:F, "" "")"),0.106807579860068)</f>
        <v>0.1068075799</v>
      </c>
      <c r="H656" s="4">
        <f>IFERROR(__xludf.DUMMYFUNCTION("""COMPUTED_VALUE"""),0.628992978527849)</f>
        <v>0.6289929785</v>
      </c>
      <c r="I656" s="15">
        <v>3472.0</v>
      </c>
      <c r="J656" s="4"/>
      <c r="K656" s="14" t="s">
        <v>2454</v>
      </c>
      <c r="L656" s="17">
        <f>IFERROR(__xludf.DUMMYFUNCTION("SPLIT(K:K, "" "")"),0.142594364889167)</f>
        <v>0.1425943649</v>
      </c>
      <c r="M656" s="4">
        <f>IFERROR(__xludf.DUMMYFUNCTION("""COMPUTED_VALUE"""),0.504474765779316)</f>
        <v>0.5044747658</v>
      </c>
      <c r="N656" s="15">
        <v>2840.0</v>
      </c>
      <c r="O656" s="4"/>
      <c r="P656" s="14" t="s">
        <v>2455</v>
      </c>
      <c r="Q656" s="17">
        <f>IFERROR(__xludf.DUMMYFUNCTION("SPLIT(P:P, "" "")"),0.123990493544728)</f>
        <v>0.1239904935</v>
      </c>
      <c r="R656" s="4">
        <f>IFERROR(__xludf.DUMMYFUNCTION("""COMPUTED_VALUE"""),0.389635348179916)</f>
        <v>0.3896353482</v>
      </c>
      <c r="S656" s="15">
        <v>4260.0</v>
      </c>
      <c r="T656" s="4"/>
      <c r="U656" s="4"/>
    </row>
    <row r="657">
      <c r="A657" s="14" t="s">
        <v>2456</v>
      </c>
      <c r="B657" s="4">
        <f>IFERROR(__xludf.DUMMYFUNCTION("SPLIT(A:A, "" "")"),0.137909778942977)</f>
        <v>0.1379097789</v>
      </c>
      <c r="C657" s="4">
        <f>IFERROR(__xludf.DUMMYFUNCTION("""COMPUTED_VALUE"""),0.699594736323252)</f>
        <v>0.6995947363</v>
      </c>
      <c r="D657" s="15">
        <v>1740.0</v>
      </c>
      <c r="E657" s="4"/>
      <c r="F657" s="14" t="s">
        <v>2457</v>
      </c>
      <c r="G657" s="17">
        <f>IFERROR(__xludf.DUMMYFUNCTION("SPLIT(F:F, "" "")"),0.106074437385561)</f>
        <v>0.1060744374</v>
      </c>
      <c r="H657" s="4">
        <f>IFERROR(__xludf.DUMMYFUNCTION("""COMPUTED_VALUE"""),0.620664977572423)</f>
        <v>0.6206649776</v>
      </c>
      <c r="I657" s="15">
        <v>3480.0</v>
      </c>
      <c r="J657" s="4"/>
      <c r="K657" s="14" t="s">
        <v>2458</v>
      </c>
      <c r="L657" s="17">
        <f>IFERROR(__xludf.DUMMYFUNCTION("SPLIT(K:K, "" "")"),0.139954955925448)</f>
        <v>0.1399549559</v>
      </c>
      <c r="M657" s="4">
        <f>IFERROR(__xludf.DUMMYFUNCTION("""COMPUTED_VALUE"""),0.506301325744898)</f>
        <v>0.5063013257</v>
      </c>
      <c r="N657" s="15">
        <v>2848.0</v>
      </c>
      <c r="O657" s="4"/>
      <c r="P657" s="14" t="s">
        <v>2459</v>
      </c>
      <c r="Q657" s="17">
        <f>IFERROR(__xludf.DUMMYFUNCTION("SPLIT(P:P, "" "")"),0.126943516931134)</f>
        <v>0.1269435169</v>
      </c>
      <c r="R657" s="4">
        <f>IFERROR(__xludf.DUMMYFUNCTION("""COMPUTED_VALUE"""),0.387216087021238)</f>
        <v>0.387216087</v>
      </c>
      <c r="S657" s="15">
        <v>4272.0</v>
      </c>
      <c r="T657" s="4"/>
      <c r="U657" s="4"/>
    </row>
    <row r="658">
      <c r="A658" s="14" t="s">
        <v>2460</v>
      </c>
      <c r="B658" s="4">
        <f>IFERROR(__xludf.DUMMYFUNCTION("SPLIT(A:A, "" "")"),0.136793540255727)</f>
        <v>0.1367935403</v>
      </c>
      <c r="C658" s="4">
        <f>IFERROR(__xludf.DUMMYFUNCTION("""COMPUTED_VALUE"""),0.707634261474786)</f>
        <v>0.7076342615</v>
      </c>
      <c r="D658" s="15">
        <v>1744.0</v>
      </c>
      <c r="E658" s="4"/>
      <c r="F658" s="14" t="s">
        <v>2461</v>
      </c>
      <c r="G658" s="17">
        <f>IFERROR(__xludf.DUMMYFUNCTION("SPLIT(F:F, "" "")"),0.107684189299645)</f>
        <v>0.1076841893</v>
      </c>
      <c r="H658" s="4">
        <f>IFERROR(__xludf.DUMMYFUNCTION("""COMPUTED_VALUE"""),0.62795961949699)</f>
        <v>0.6279596195</v>
      </c>
      <c r="I658" s="15">
        <v>3488.0</v>
      </c>
      <c r="J658" s="4"/>
      <c r="K658" s="14" t="s">
        <v>2462</v>
      </c>
      <c r="L658" s="17">
        <f>IFERROR(__xludf.DUMMYFUNCTION("SPLIT(K:K, "" "")"),0.140434114859728)</f>
        <v>0.1404341149</v>
      </c>
      <c r="M658" s="4">
        <f>IFERROR(__xludf.DUMMYFUNCTION("""COMPUTED_VALUE"""),0.496871159254186)</f>
        <v>0.4968711593</v>
      </c>
      <c r="N658" s="15">
        <v>2856.0</v>
      </c>
      <c r="O658" s="4"/>
      <c r="P658" s="14" t="s">
        <v>2463</v>
      </c>
      <c r="Q658" s="17">
        <f>IFERROR(__xludf.DUMMYFUNCTION("SPLIT(P:P, "" "")"),0.126357625664857)</f>
        <v>0.1263576257</v>
      </c>
      <c r="R658" s="4">
        <f>IFERROR(__xludf.DUMMYFUNCTION("""COMPUTED_VALUE"""),0.389315059805361)</f>
        <v>0.3893150598</v>
      </c>
      <c r="S658" s="15">
        <v>4284.0</v>
      </c>
      <c r="T658" s="4"/>
      <c r="U658" s="4"/>
    </row>
    <row r="659">
      <c r="A659" s="14" t="s">
        <v>2464</v>
      </c>
      <c r="B659" s="4">
        <f>IFERROR(__xludf.DUMMYFUNCTION("SPLIT(A:A, "" "")"),0.137585546930482)</f>
        <v>0.1375855469</v>
      </c>
      <c r="C659" s="4">
        <f>IFERROR(__xludf.DUMMYFUNCTION("""COMPUTED_VALUE"""),0.708423173147221)</f>
        <v>0.7084231731</v>
      </c>
      <c r="D659" s="15">
        <v>1748.0</v>
      </c>
      <c r="E659" s="4"/>
      <c r="F659" s="14" t="s">
        <v>2465</v>
      </c>
      <c r="G659" s="17">
        <f>IFERROR(__xludf.DUMMYFUNCTION("SPLIT(F:F, "" "")"),0.104931737922094)</f>
        <v>0.1049317379</v>
      </c>
      <c r="H659" s="4">
        <f>IFERROR(__xludf.DUMMYFUNCTION("""COMPUTED_VALUE"""),0.622000775726069)</f>
        <v>0.6220007757</v>
      </c>
      <c r="I659" s="15">
        <v>3496.0</v>
      </c>
      <c r="J659" s="4"/>
      <c r="K659" s="14" t="s">
        <v>2466</v>
      </c>
      <c r="L659" s="17">
        <f>IFERROR(__xludf.DUMMYFUNCTION("SPLIT(K:K, "" "")"),0.139952252063432)</f>
        <v>0.1399522521</v>
      </c>
      <c r="M659" s="4">
        <f>IFERROR(__xludf.DUMMYFUNCTION("""COMPUTED_VALUE"""),0.501260003009587)</f>
        <v>0.501260003</v>
      </c>
      <c r="N659" s="15">
        <v>2864.0</v>
      </c>
      <c r="O659" s="4"/>
      <c r="P659" s="14" t="s">
        <v>2467</v>
      </c>
      <c r="Q659" s="17">
        <f>IFERROR(__xludf.DUMMYFUNCTION("SPLIT(P:P, "" "")"),0.120911856319355)</f>
        <v>0.1209118563</v>
      </c>
      <c r="R659" s="4">
        <f>IFERROR(__xludf.DUMMYFUNCTION("""COMPUTED_VALUE"""),0.385356847583355)</f>
        <v>0.3853568476</v>
      </c>
      <c r="S659" s="15">
        <v>4296.0</v>
      </c>
      <c r="T659" s="4"/>
      <c r="U659" s="4"/>
    </row>
    <row r="660">
      <c r="A660" s="14" t="s">
        <v>2468</v>
      </c>
      <c r="B660" s="4">
        <f>IFERROR(__xludf.DUMMYFUNCTION("SPLIT(A:A, "" "")"),0.136444089448717)</f>
        <v>0.1364440894</v>
      </c>
      <c r="C660" s="4">
        <f>IFERROR(__xludf.DUMMYFUNCTION("""COMPUTED_VALUE"""),0.711610894363174)</f>
        <v>0.7116108944</v>
      </c>
      <c r="D660" s="15">
        <v>1752.0</v>
      </c>
      <c r="E660" s="4"/>
      <c r="F660" s="14" t="s">
        <v>2469</v>
      </c>
      <c r="G660" s="17">
        <f>IFERROR(__xludf.DUMMYFUNCTION("SPLIT(F:F, "" "")"),0.104196166285262)</f>
        <v>0.1041961663</v>
      </c>
      <c r="H660" s="4">
        <f>IFERROR(__xludf.DUMMYFUNCTION("""COMPUTED_VALUE"""),0.628391141582563)</f>
        <v>0.6283911416</v>
      </c>
      <c r="I660" s="15">
        <v>3504.0</v>
      </c>
      <c r="J660" s="4"/>
      <c r="K660" s="14" t="s">
        <v>2470</v>
      </c>
      <c r="L660" s="17">
        <f>IFERROR(__xludf.DUMMYFUNCTION("SPLIT(K:K, "" "")"),0.140199296732469)</f>
        <v>0.1401992967</v>
      </c>
      <c r="M660" s="4">
        <f>IFERROR(__xludf.DUMMYFUNCTION("""COMPUTED_VALUE"""),0.502036860814479)</f>
        <v>0.5020368608</v>
      </c>
      <c r="N660" s="15">
        <v>2872.0</v>
      </c>
      <c r="O660" s="4"/>
      <c r="P660" s="14" t="s">
        <v>2471</v>
      </c>
      <c r="Q660" s="17">
        <f>IFERROR(__xludf.DUMMYFUNCTION("SPLIT(P:P, "" "")"),0.126328191180871)</f>
        <v>0.1263281912</v>
      </c>
      <c r="R660" s="4">
        <f>IFERROR(__xludf.DUMMYFUNCTION("""COMPUTED_VALUE"""),0.390817119419292)</f>
        <v>0.3908171194</v>
      </c>
      <c r="S660" s="15">
        <v>4308.0</v>
      </c>
      <c r="T660" s="4"/>
      <c r="U660" s="4"/>
    </row>
    <row r="661">
      <c r="A661" s="14" t="s">
        <v>2472</v>
      </c>
      <c r="B661" s="4">
        <f>IFERROR(__xludf.DUMMYFUNCTION("SPLIT(A:A, "" "")"),0.14033979906086)</f>
        <v>0.1403397991</v>
      </c>
      <c r="C661" s="4">
        <f>IFERROR(__xludf.DUMMYFUNCTION("""COMPUTED_VALUE"""),0.713475431044406)</f>
        <v>0.713475431</v>
      </c>
      <c r="D661" s="15">
        <v>1756.0</v>
      </c>
      <c r="E661" s="4"/>
      <c r="F661" s="14" t="s">
        <v>2473</v>
      </c>
      <c r="G661" s="17">
        <f>IFERROR(__xludf.DUMMYFUNCTION("SPLIT(F:F, "" "")"),0.105072245597133)</f>
        <v>0.1050722456</v>
      </c>
      <c r="H661" s="4">
        <f>IFERROR(__xludf.DUMMYFUNCTION("""COMPUTED_VALUE"""),0.624857572412417)</f>
        <v>0.6248575724</v>
      </c>
      <c r="I661" s="15">
        <v>3512.0</v>
      </c>
      <c r="J661" s="4"/>
      <c r="K661" s="14" t="s">
        <v>2474</v>
      </c>
      <c r="L661" s="17">
        <f>IFERROR(__xludf.DUMMYFUNCTION("SPLIT(K:K, "" "")"),0.140302495583575)</f>
        <v>0.1403024956</v>
      </c>
      <c r="M661" s="4">
        <f>IFERROR(__xludf.DUMMYFUNCTION("""COMPUTED_VALUE"""),0.504229992238321)</f>
        <v>0.5042299922</v>
      </c>
      <c r="N661" s="15">
        <v>2880.0</v>
      </c>
      <c r="O661" s="4"/>
      <c r="P661" s="14" t="s">
        <v>2475</v>
      </c>
      <c r="Q661" s="17">
        <f>IFERROR(__xludf.DUMMYFUNCTION("SPLIT(P:P, "" "")"),0.123138177202475)</f>
        <v>0.1231381772</v>
      </c>
      <c r="R661" s="4">
        <f>IFERROR(__xludf.DUMMYFUNCTION("""COMPUTED_VALUE"""),0.390705985824686)</f>
        <v>0.3907059858</v>
      </c>
      <c r="S661" s="15">
        <v>4320.0</v>
      </c>
      <c r="T661" s="4"/>
      <c r="U661" s="4"/>
    </row>
    <row r="662">
      <c r="A662" s="14" t="s">
        <v>2476</v>
      </c>
      <c r="B662" s="4">
        <f>IFERROR(__xludf.DUMMYFUNCTION("SPLIT(A:A, "" "")"),0.135769155857909)</f>
        <v>0.1357691559</v>
      </c>
      <c r="C662" s="4">
        <f>IFERROR(__xludf.DUMMYFUNCTION("""COMPUTED_VALUE"""),0.707976996874675)</f>
        <v>0.7079769969</v>
      </c>
      <c r="D662" s="15">
        <v>1760.0</v>
      </c>
      <c r="E662" s="4"/>
      <c r="F662" s="14" t="s">
        <v>2477</v>
      </c>
      <c r="G662" s="17">
        <f>IFERROR(__xludf.DUMMYFUNCTION("SPLIT(F:F, "" "")"),0.105757492743539)</f>
        <v>0.1057574927</v>
      </c>
      <c r="H662" s="4">
        <f>IFERROR(__xludf.DUMMYFUNCTION("""COMPUTED_VALUE"""),0.623408240008307)</f>
        <v>0.62340824</v>
      </c>
      <c r="I662" s="15">
        <v>3520.0</v>
      </c>
      <c r="J662" s="4"/>
      <c r="K662" s="14" t="s">
        <v>2478</v>
      </c>
      <c r="L662" s="17">
        <f>IFERROR(__xludf.DUMMYFUNCTION("SPLIT(K:K, "" "")"),0.142729928651878)</f>
        <v>0.1427299287</v>
      </c>
      <c r="M662" s="4">
        <f>IFERROR(__xludf.DUMMYFUNCTION("""COMPUTED_VALUE"""),0.499476178900668)</f>
        <v>0.4994761789</v>
      </c>
      <c r="N662" s="15">
        <v>2888.0</v>
      </c>
      <c r="O662" s="4"/>
      <c r="P662" s="14" t="s">
        <v>2479</v>
      </c>
      <c r="Q662" s="17">
        <f>IFERROR(__xludf.DUMMYFUNCTION("SPLIT(P:P, "" "")"),0.122145079657063)</f>
        <v>0.1221450797</v>
      </c>
      <c r="R662" s="4">
        <f>IFERROR(__xludf.DUMMYFUNCTION("""COMPUTED_VALUE"""),0.39331518207488)</f>
        <v>0.3933151821</v>
      </c>
      <c r="S662" s="15">
        <v>4332.0</v>
      </c>
      <c r="T662" s="4"/>
      <c r="U662" s="4"/>
    </row>
    <row r="663">
      <c r="A663" s="14" t="s">
        <v>2480</v>
      </c>
      <c r="B663" s="4">
        <f>IFERROR(__xludf.DUMMYFUNCTION("SPLIT(A:A, "" "")"),0.136146468250953)</f>
        <v>0.1361464683</v>
      </c>
      <c r="C663" s="4">
        <f>IFERROR(__xludf.DUMMYFUNCTION("""COMPUTED_VALUE"""),0.719076121525338)</f>
        <v>0.7190761215</v>
      </c>
      <c r="D663" s="15">
        <v>1764.0</v>
      </c>
      <c r="E663" s="4"/>
      <c r="F663" s="14" t="s">
        <v>2481</v>
      </c>
      <c r="G663" s="17">
        <f>IFERROR(__xludf.DUMMYFUNCTION("SPLIT(F:F, "" "")"),0.104663049570225)</f>
        <v>0.1046630496</v>
      </c>
      <c r="H663" s="4">
        <f>IFERROR(__xludf.DUMMYFUNCTION("""COMPUTED_VALUE"""),0.618797295372085)</f>
        <v>0.6187972954</v>
      </c>
      <c r="I663" s="15">
        <v>3528.0</v>
      </c>
      <c r="J663" s="4"/>
      <c r="K663" s="14" t="s">
        <v>2482</v>
      </c>
      <c r="L663" s="17">
        <f>IFERROR(__xludf.DUMMYFUNCTION("SPLIT(K:K, "" "")"),0.137331372040338)</f>
        <v>0.137331372</v>
      </c>
      <c r="M663" s="4">
        <f>IFERROR(__xludf.DUMMYFUNCTION("""COMPUTED_VALUE"""),0.499507425972044)</f>
        <v>0.499507426</v>
      </c>
      <c r="N663" s="15">
        <v>2896.0</v>
      </c>
      <c r="O663" s="4"/>
      <c r="P663" s="14" t="s">
        <v>2483</v>
      </c>
      <c r="Q663" s="17">
        <f>IFERROR(__xludf.DUMMYFUNCTION("SPLIT(P:P, "" "")"),0.122178349656032)</f>
        <v>0.1221783497</v>
      </c>
      <c r="R663" s="4">
        <f>IFERROR(__xludf.DUMMYFUNCTION("""COMPUTED_VALUE"""),0.390148820460342)</f>
        <v>0.3901488205</v>
      </c>
      <c r="S663" s="15">
        <v>4344.0</v>
      </c>
      <c r="T663" s="4"/>
      <c r="U663" s="4"/>
    </row>
    <row r="664">
      <c r="A664" s="14" t="s">
        <v>2484</v>
      </c>
      <c r="B664" s="4">
        <f>IFERROR(__xludf.DUMMYFUNCTION("SPLIT(A:A, "" "")"),0.136615803716004)</f>
        <v>0.1366158037</v>
      </c>
      <c r="C664" s="4">
        <f>IFERROR(__xludf.DUMMYFUNCTION("""COMPUTED_VALUE"""),0.723147394897241)</f>
        <v>0.7231473949</v>
      </c>
      <c r="D664" s="15">
        <v>1768.0</v>
      </c>
      <c r="E664" s="4"/>
      <c r="F664" s="14" t="s">
        <v>2485</v>
      </c>
      <c r="G664" s="17">
        <f>IFERROR(__xludf.DUMMYFUNCTION("SPLIT(F:F, "" "")"),0.102686456747376)</f>
        <v>0.1026864567</v>
      </c>
      <c r="H664" s="4">
        <f>IFERROR(__xludf.DUMMYFUNCTION("""COMPUTED_VALUE"""),0.61665823914239)</f>
        <v>0.6166582391</v>
      </c>
      <c r="I664" s="15">
        <v>3536.0</v>
      </c>
      <c r="J664" s="4"/>
      <c r="K664" s="14" t="s">
        <v>2486</v>
      </c>
      <c r="L664" s="17">
        <f>IFERROR(__xludf.DUMMYFUNCTION("SPLIT(K:K, "" "")"),0.139486810925237)</f>
        <v>0.1394868109</v>
      </c>
      <c r="M664" s="4">
        <f>IFERROR(__xludf.DUMMYFUNCTION("""COMPUTED_VALUE"""),0.506554080538543)</f>
        <v>0.5065540805</v>
      </c>
      <c r="N664" s="15">
        <v>2904.0</v>
      </c>
      <c r="O664" s="4"/>
      <c r="P664" s="14" t="s">
        <v>2487</v>
      </c>
      <c r="Q664" s="17">
        <f>IFERROR(__xludf.DUMMYFUNCTION("SPLIT(P:P, "" "")"),0.123930637569825)</f>
        <v>0.1239306376</v>
      </c>
      <c r="R664" s="4">
        <f>IFERROR(__xludf.DUMMYFUNCTION("""COMPUTED_VALUE"""),0.397221066954849)</f>
        <v>0.397221067</v>
      </c>
      <c r="S664" s="15">
        <v>4356.0</v>
      </c>
      <c r="T664" s="4"/>
      <c r="U664" s="4"/>
    </row>
    <row r="665">
      <c r="A665" s="14" t="s">
        <v>2488</v>
      </c>
      <c r="B665" s="4">
        <f>IFERROR(__xludf.DUMMYFUNCTION("SPLIT(A:A, "" "")"),0.134981049646394)</f>
        <v>0.1349810496</v>
      </c>
      <c r="C665" s="4">
        <f>IFERROR(__xludf.DUMMYFUNCTION("""COMPUTED_VALUE"""),0.703878991251905)</f>
        <v>0.7038789913</v>
      </c>
      <c r="D665" s="15">
        <v>1772.0</v>
      </c>
      <c r="E665" s="4"/>
      <c r="F665" s="14" t="s">
        <v>2489</v>
      </c>
      <c r="G665" s="17">
        <f>IFERROR(__xludf.DUMMYFUNCTION("SPLIT(F:F, "" "")"),0.103498929513612)</f>
        <v>0.1034989295</v>
      </c>
      <c r="H665" s="4">
        <f>IFERROR(__xludf.DUMMYFUNCTION("""COMPUTED_VALUE"""),0.624368625587079)</f>
        <v>0.6243686256</v>
      </c>
      <c r="I665" s="15">
        <v>3544.0</v>
      </c>
      <c r="J665" s="4"/>
      <c r="K665" s="14" t="s">
        <v>2490</v>
      </c>
      <c r="L665" s="17">
        <f>IFERROR(__xludf.DUMMYFUNCTION("SPLIT(K:K, "" "")"),0.138618638628933)</f>
        <v>0.1386186386</v>
      </c>
      <c r="M665" s="4">
        <f>IFERROR(__xludf.DUMMYFUNCTION("""COMPUTED_VALUE"""),0.513495458342099)</f>
        <v>0.5134954583</v>
      </c>
      <c r="N665" s="15">
        <v>2912.0</v>
      </c>
      <c r="O665" s="4"/>
      <c r="P665" s="14" t="s">
        <v>2491</v>
      </c>
      <c r="Q665" s="17">
        <f>IFERROR(__xludf.DUMMYFUNCTION("SPLIT(P:P, "" "")"),0.122265002180745)</f>
        <v>0.1222650022</v>
      </c>
      <c r="R665" s="4">
        <f>IFERROR(__xludf.DUMMYFUNCTION("""COMPUTED_VALUE"""),0.390974595926951)</f>
        <v>0.3909745959</v>
      </c>
      <c r="S665" s="15">
        <v>4368.0</v>
      </c>
      <c r="T665" s="4"/>
      <c r="U665" s="4"/>
    </row>
    <row r="666">
      <c r="A666" s="14" t="s">
        <v>2492</v>
      </c>
      <c r="B666" s="4">
        <f>IFERROR(__xludf.DUMMYFUNCTION("SPLIT(A:A, "" "")"),0.134653717554401)</f>
        <v>0.1346537176</v>
      </c>
      <c r="C666" s="4">
        <f>IFERROR(__xludf.DUMMYFUNCTION("""COMPUTED_VALUE"""),0.706493386151624)</f>
        <v>0.7064933862</v>
      </c>
      <c r="D666" s="15">
        <v>1776.0</v>
      </c>
      <c r="E666" s="4"/>
      <c r="F666" s="14" t="s">
        <v>2493</v>
      </c>
      <c r="G666" s="17">
        <f>IFERROR(__xludf.DUMMYFUNCTION("SPLIT(F:F, "" "")"),0.10285795732241)</f>
        <v>0.1028579573</v>
      </c>
      <c r="H666" s="4">
        <f>IFERROR(__xludf.DUMMYFUNCTION("""COMPUTED_VALUE"""),0.623638636641373)</f>
        <v>0.6236386366</v>
      </c>
      <c r="I666" s="15">
        <v>3552.0</v>
      </c>
      <c r="J666" s="4"/>
      <c r="K666" s="14" t="s">
        <v>2494</v>
      </c>
      <c r="L666" s="17">
        <f>IFERROR(__xludf.DUMMYFUNCTION("SPLIT(K:K, "" "")"),0.138483906309182)</f>
        <v>0.1384839063</v>
      </c>
      <c r="M666" s="4">
        <f>IFERROR(__xludf.DUMMYFUNCTION("""COMPUTED_VALUE"""),0.501444667997801)</f>
        <v>0.501444668</v>
      </c>
      <c r="N666" s="15">
        <v>2920.0</v>
      </c>
      <c r="O666" s="4"/>
      <c r="P666" s="14" t="s">
        <v>2495</v>
      </c>
      <c r="Q666" s="17">
        <f>IFERROR(__xludf.DUMMYFUNCTION("SPLIT(P:P, "" "")"),0.1206146715879)</f>
        <v>0.1206146716</v>
      </c>
      <c r="R666" s="4">
        <f>IFERROR(__xludf.DUMMYFUNCTION("""COMPUTED_VALUE"""),0.38292300339445)</f>
        <v>0.3829230034</v>
      </c>
      <c r="S666" s="15">
        <v>4380.0</v>
      </c>
      <c r="T666" s="4"/>
      <c r="U666" s="4"/>
    </row>
    <row r="667">
      <c r="A667" s="14" t="s">
        <v>2496</v>
      </c>
      <c r="B667" s="4">
        <f>IFERROR(__xludf.DUMMYFUNCTION("SPLIT(A:A, "" "")"),0.133956188288106)</f>
        <v>0.1339561883</v>
      </c>
      <c r="C667" s="4">
        <f>IFERROR(__xludf.DUMMYFUNCTION("""COMPUTED_VALUE"""),0.711333007105943)</f>
        <v>0.7113330071</v>
      </c>
      <c r="D667" s="15">
        <v>1780.0</v>
      </c>
      <c r="E667" s="4"/>
      <c r="F667" s="14" t="s">
        <v>2497</v>
      </c>
      <c r="G667" s="17">
        <f>IFERROR(__xludf.DUMMYFUNCTION("SPLIT(F:F, "" "")"),0.104063131175447)</f>
        <v>0.1040631312</v>
      </c>
      <c r="H667" s="4">
        <f>IFERROR(__xludf.DUMMYFUNCTION("""COMPUTED_VALUE"""),0.628606790173129)</f>
        <v>0.6286067902</v>
      </c>
      <c r="I667" s="15">
        <v>3560.0</v>
      </c>
      <c r="J667" s="4"/>
      <c r="K667" s="14" t="s">
        <v>2498</v>
      </c>
      <c r="L667" s="17">
        <f>IFERROR(__xludf.DUMMYFUNCTION("SPLIT(K:K, "" "")"),0.14067521141529)</f>
        <v>0.1406752114</v>
      </c>
      <c r="M667" s="4">
        <f>IFERROR(__xludf.DUMMYFUNCTION("""COMPUTED_VALUE"""),0.505045007680016)</f>
        <v>0.5050450077</v>
      </c>
      <c r="N667" s="15">
        <v>2928.0</v>
      </c>
      <c r="O667" s="4"/>
      <c r="P667" s="14" t="s">
        <v>2499</v>
      </c>
      <c r="Q667" s="17">
        <f>IFERROR(__xludf.DUMMYFUNCTION("SPLIT(P:P, "" "")"),0.121311173827246)</f>
        <v>0.1213111738</v>
      </c>
      <c r="R667" s="4">
        <f>IFERROR(__xludf.DUMMYFUNCTION("""COMPUTED_VALUE"""),0.388123439466922)</f>
        <v>0.3881234395</v>
      </c>
      <c r="S667" s="15">
        <v>4392.0</v>
      </c>
      <c r="T667" s="4"/>
      <c r="U667" s="4"/>
    </row>
    <row r="668">
      <c r="A668" s="14" t="s">
        <v>2500</v>
      </c>
      <c r="B668" s="4">
        <f>IFERROR(__xludf.DUMMYFUNCTION("SPLIT(A:A, "" "")"),0.136506675769285)</f>
        <v>0.1365066758</v>
      </c>
      <c r="C668" s="4">
        <f>IFERROR(__xludf.DUMMYFUNCTION("""COMPUTED_VALUE"""),0.716387609594241)</f>
        <v>0.7163876096</v>
      </c>
      <c r="D668" s="15">
        <v>1784.0</v>
      </c>
      <c r="E668" s="4"/>
      <c r="F668" s="14" t="s">
        <v>2501</v>
      </c>
      <c r="G668" s="17">
        <f>IFERROR(__xludf.DUMMYFUNCTION("SPLIT(F:F, "" "")"),0.104710051498645)</f>
        <v>0.1047100515</v>
      </c>
      <c r="H668" s="4">
        <f>IFERROR(__xludf.DUMMYFUNCTION("""COMPUTED_VALUE"""),0.627313856450595)</f>
        <v>0.6273138565</v>
      </c>
      <c r="I668" s="15">
        <v>3568.0</v>
      </c>
      <c r="J668" s="4"/>
      <c r="K668" s="14" t="s">
        <v>2502</v>
      </c>
      <c r="L668" s="17">
        <f>IFERROR(__xludf.DUMMYFUNCTION("SPLIT(K:K, "" "")"),0.144101858578394)</f>
        <v>0.1441018586</v>
      </c>
      <c r="M668" s="4">
        <f>IFERROR(__xludf.DUMMYFUNCTION("""COMPUTED_VALUE"""),0.514164610252122)</f>
        <v>0.5141646103</v>
      </c>
      <c r="N668" s="15">
        <v>2936.0</v>
      </c>
      <c r="O668" s="4"/>
      <c r="P668" s="14" t="s">
        <v>2503</v>
      </c>
      <c r="Q668" s="17">
        <f>IFERROR(__xludf.DUMMYFUNCTION("SPLIT(P:P, "" "")"),0.120297029259932)</f>
        <v>0.1202970293</v>
      </c>
      <c r="R668" s="4">
        <f>IFERROR(__xludf.DUMMYFUNCTION("""COMPUTED_VALUE"""),0.387974011579215)</f>
        <v>0.3879740116</v>
      </c>
      <c r="S668" s="15">
        <v>4404.0</v>
      </c>
      <c r="T668" s="4"/>
      <c r="U668" s="4"/>
    </row>
    <row r="669">
      <c r="A669" s="14" t="s">
        <v>2504</v>
      </c>
      <c r="B669" s="4">
        <f>IFERROR(__xludf.DUMMYFUNCTION("SPLIT(A:A, "" "")"),0.134158826770367)</f>
        <v>0.1341588268</v>
      </c>
      <c r="C669" s="4">
        <f>IFERROR(__xludf.DUMMYFUNCTION("""COMPUTED_VALUE"""),0.713724962623606)</f>
        <v>0.7137249626</v>
      </c>
      <c r="D669" s="15">
        <v>1788.0</v>
      </c>
      <c r="E669" s="4"/>
      <c r="F669" s="14" t="s">
        <v>2505</v>
      </c>
      <c r="G669" s="17">
        <f>IFERROR(__xludf.DUMMYFUNCTION("SPLIT(F:F, "" "")"),0.105937512507521)</f>
        <v>0.1059375125</v>
      </c>
      <c r="H669" s="4">
        <f>IFERROR(__xludf.DUMMYFUNCTION("""COMPUTED_VALUE"""),0.627105573185084)</f>
        <v>0.6271055732</v>
      </c>
      <c r="I669" s="15">
        <v>3576.0</v>
      </c>
      <c r="J669" s="4"/>
      <c r="K669" s="14" t="s">
        <v>2506</v>
      </c>
      <c r="L669" s="17">
        <f>IFERROR(__xludf.DUMMYFUNCTION("SPLIT(K:K, "" "")"),0.138944767208802)</f>
        <v>0.1389447672</v>
      </c>
      <c r="M669" s="4">
        <f>IFERROR(__xludf.DUMMYFUNCTION("""COMPUTED_VALUE"""),0.512184625287834)</f>
        <v>0.5121846253</v>
      </c>
      <c r="N669" s="15">
        <v>2944.0</v>
      </c>
      <c r="O669" s="4"/>
      <c r="P669" s="14" t="s">
        <v>2507</v>
      </c>
      <c r="Q669" s="17">
        <f>IFERROR(__xludf.DUMMYFUNCTION("SPLIT(P:P, "" "")"),0.122053021926651)</f>
        <v>0.1220530219</v>
      </c>
      <c r="R669" s="4">
        <f>IFERROR(__xludf.DUMMYFUNCTION("""COMPUTED_VALUE"""),0.39144153918395)</f>
        <v>0.3914415392</v>
      </c>
      <c r="S669" s="15">
        <v>4416.0</v>
      </c>
      <c r="T669" s="4"/>
      <c r="U669" s="4"/>
    </row>
    <row r="670">
      <c r="A670" s="14" t="s">
        <v>2508</v>
      </c>
      <c r="B670" s="4">
        <f>IFERROR(__xludf.DUMMYFUNCTION("SPLIT(A:A, "" "")"),0.135388900844869)</f>
        <v>0.1353889008</v>
      </c>
      <c r="C670" s="4">
        <f>IFERROR(__xludf.DUMMYFUNCTION("""COMPUTED_VALUE"""),0.715120346981305)</f>
        <v>0.715120347</v>
      </c>
      <c r="D670" s="15">
        <v>1792.0</v>
      </c>
      <c r="E670" s="4"/>
      <c r="F670" s="14" t="s">
        <v>2509</v>
      </c>
      <c r="G670" s="17">
        <f>IFERROR(__xludf.DUMMYFUNCTION("SPLIT(F:F, "" "")"),0.105209436973053)</f>
        <v>0.105209437</v>
      </c>
      <c r="H670" s="4">
        <f>IFERROR(__xludf.DUMMYFUNCTION("""COMPUTED_VALUE"""),0.626261113022238)</f>
        <v>0.626261113</v>
      </c>
      <c r="I670" s="15">
        <v>3584.0</v>
      </c>
      <c r="J670" s="4"/>
      <c r="K670" s="14" t="s">
        <v>2510</v>
      </c>
      <c r="L670" s="17">
        <f>IFERROR(__xludf.DUMMYFUNCTION("SPLIT(K:K, "" "")"),0.138792546090103)</f>
        <v>0.1387925461</v>
      </c>
      <c r="M670" s="4">
        <f>IFERROR(__xludf.DUMMYFUNCTION("""COMPUTED_VALUE"""),0.504104437115613)</f>
        <v>0.5041044371</v>
      </c>
      <c r="N670" s="15">
        <v>2952.0</v>
      </c>
      <c r="O670" s="4"/>
      <c r="P670" s="14" t="s">
        <v>2511</v>
      </c>
      <c r="Q670" s="17">
        <f>IFERROR(__xludf.DUMMYFUNCTION("SPLIT(P:P, "" "")"),0.122071814153396)</f>
        <v>0.1220718142</v>
      </c>
      <c r="R670" s="4">
        <f>IFERROR(__xludf.DUMMYFUNCTION("""COMPUTED_VALUE"""),0.396048949302141)</f>
        <v>0.3960489493</v>
      </c>
      <c r="S670" s="15">
        <v>4428.0</v>
      </c>
      <c r="T670" s="4"/>
      <c r="U670" s="4"/>
    </row>
    <row r="671">
      <c r="A671" s="14" t="s">
        <v>2512</v>
      </c>
      <c r="B671" s="4">
        <f>IFERROR(__xludf.DUMMYFUNCTION("SPLIT(A:A, "" "")"),0.133861827406088)</f>
        <v>0.1338618274</v>
      </c>
      <c r="C671" s="4">
        <f>IFERROR(__xludf.DUMMYFUNCTION("""COMPUTED_VALUE"""),0.711740813183671)</f>
        <v>0.7117408132</v>
      </c>
      <c r="D671" s="15">
        <v>1796.0</v>
      </c>
      <c r="E671" s="4"/>
      <c r="F671" s="14" t="s">
        <v>2513</v>
      </c>
      <c r="G671" s="17">
        <f>IFERROR(__xludf.DUMMYFUNCTION("SPLIT(F:F, "" "")"),0.102678120151299)</f>
        <v>0.1026781202</v>
      </c>
      <c r="H671" s="4">
        <f>IFERROR(__xludf.DUMMYFUNCTION("""COMPUTED_VALUE"""),0.615881802930812)</f>
        <v>0.6158818029</v>
      </c>
      <c r="I671" s="15">
        <v>3592.0</v>
      </c>
      <c r="J671" s="4"/>
      <c r="K671" s="14" t="s">
        <v>2514</v>
      </c>
      <c r="L671" s="17">
        <f>IFERROR(__xludf.DUMMYFUNCTION("SPLIT(K:K, "" "")"),0.134846614898143)</f>
        <v>0.1348466149</v>
      </c>
      <c r="M671" s="4">
        <f>IFERROR(__xludf.DUMMYFUNCTION("""COMPUTED_VALUE"""),0.499664729842124)</f>
        <v>0.4996647298</v>
      </c>
      <c r="N671" s="15">
        <v>2960.0</v>
      </c>
      <c r="O671" s="4"/>
      <c r="P671" s="14" t="s">
        <v>2515</v>
      </c>
      <c r="Q671" s="17">
        <f>IFERROR(__xludf.DUMMYFUNCTION("SPLIT(P:P, "" "")"),0.119144677824838)</f>
        <v>0.1191446778</v>
      </c>
      <c r="R671" s="4">
        <f>IFERROR(__xludf.DUMMYFUNCTION("""COMPUTED_VALUE"""),0.392628077340249)</f>
        <v>0.3926280773</v>
      </c>
      <c r="S671" s="15">
        <v>4440.0</v>
      </c>
      <c r="T671" s="4"/>
      <c r="U671" s="4"/>
    </row>
    <row r="672">
      <c r="A672" s="14" t="s">
        <v>2516</v>
      </c>
      <c r="B672" s="4">
        <f>IFERROR(__xludf.DUMMYFUNCTION("SPLIT(A:A, "" "")"),0.134235952428492)</f>
        <v>0.1342359524</v>
      </c>
      <c r="C672" s="4">
        <f>IFERROR(__xludf.DUMMYFUNCTION("""COMPUTED_VALUE"""),0.71915736727571)</f>
        <v>0.7191573673</v>
      </c>
      <c r="D672" s="15">
        <v>1800.0</v>
      </c>
      <c r="E672" s="4"/>
      <c r="F672" s="14" t="s">
        <v>2517</v>
      </c>
      <c r="G672" s="17">
        <f>IFERROR(__xludf.DUMMYFUNCTION("SPLIT(F:F, "" "")"),0.102165421491862)</f>
        <v>0.1021654215</v>
      </c>
      <c r="H672" s="4">
        <f>IFERROR(__xludf.DUMMYFUNCTION("""COMPUTED_VALUE"""),0.625771029921587)</f>
        <v>0.6257710299</v>
      </c>
      <c r="I672" s="15">
        <v>3600.0</v>
      </c>
      <c r="J672" s="4"/>
      <c r="K672" s="14" t="s">
        <v>2518</v>
      </c>
      <c r="L672" s="17">
        <f>IFERROR(__xludf.DUMMYFUNCTION("SPLIT(K:K, "" "")"),0.14045114320152)</f>
        <v>0.1404511432</v>
      </c>
      <c r="M672" s="4">
        <f>IFERROR(__xludf.DUMMYFUNCTION("""COMPUTED_VALUE"""),0.511730578596953)</f>
        <v>0.5117305786</v>
      </c>
      <c r="N672" s="15">
        <v>2968.0</v>
      </c>
      <c r="O672" s="4"/>
      <c r="P672" s="14" t="s">
        <v>2519</v>
      </c>
      <c r="Q672" s="17">
        <f>IFERROR(__xludf.DUMMYFUNCTION("SPLIT(P:P, "" "")"),0.124012894963666)</f>
        <v>0.124012895</v>
      </c>
      <c r="R672" s="4">
        <f>IFERROR(__xludf.DUMMYFUNCTION("""COMPUTED_VALUE"""),0.397598491775745)</f>
        <v>0.3975984918</v>
      </c>
      <c r="S672" s="15">
        <v>4452.0</v>
      </c>
      <c r="T672" s="4"/>
      <c r="U672" s="4"/>
    </row>
    <row r="673">
      <c r="A673" s="14" t="s">
        <v>2520</v>
      </c>
      <c r="B673" s="4">
        <f>IFERROR(__xludf.DUMMYFUNCTION("SPLIT(A:A, "" "")"),0.136126738980624)</f>
        <v>0.136126739</v>
      </c>
      <c r="C673" s="4">
        <f>IFERROR(__xludf.DUMMYFUNCTION("""COMPUTED_VALUE"""),0.720035244753732)</f>
        <v>0.7200352448</v>
      </c>
      <c r="D673" s="15">
        <v>1804.0</v>
      </c>
      <c r="E673" s="4"/>
      <c r="F673" s="14" t="s">
        <v>2521</v>
      </c>
      <c r="G673" s="17">
        <f>IFERROR(__xludf.DUMMYFUNCTION("SPLIT(F:F, "" "")"),0.105252642472232)</f>
        <v>0.1052526425</v>
      </c>
      <c r="H673" s="4">
        <f>IFERROR(__xludf.DUMMYFUNCTION("""COMPUTED_VALUE"""),0.637754371434597)</f>
        <v>0.6377543714</v>
      </c>
      <c r="I673" s="15">
        <v>3608.0</v>
      </c>
      <c r="J673" s="4"/>
      <c r="K673" s="14" t="s">
        <v>2522</v>
      </c>
      <c r="L673" s="17">
        <f>IFERROR(__xludf.DUMMYFUNCTION("SPLIT(K:K, "" "")"),0.143039198384955)</f>
        <v>0.1430391984</v>
      </c>
      <c r="M673" s="4">
        <f>IFERROR(__xludf.DUMMYFUNCTION("""COMPUTED_VALUE"""),0.506881574152581)</f>
        <v>0.5068815742</v>
      </c>
      <c r="N673" s="15">
        <v>2976.0</v>
      </c>
      <c r="O673" s="4"/>
      <c r="P673" s="14" t="s">
        <v>2523</v>
      </c>
      <c r="Q673" s="17">
        <f>IFERROR(__xludf.DUMMYFUNCTION("SPLIT(P:P, "" "")"),0.123670357235883)</f>
        <v>0.1236703572</v>
      </c>
      <c r="R673" s="4">
        <f>IFERROR(__xludf.DUMMYFUNCTION("""COMPUTED_VALUE"""),0.396299153467852)</f>
        <v>0.3962991535</v>
      </c>
      <c r="S673" s="15">
        <v>4464.0</v>
      </c>
      <c r="T673" s="4"/>
      <c r="U673" s="4"/>
    </row>
    <row r="674">
      <c r="A674" s="14" t="s">
        <v>2524</v>
      </c>
      <c r="B674" s="4">
        <f>IFERROR(__xludf.DUMMYFUNCTION("SPLIT(A:A, "" "")"),0.132595622190299)</f>
        <v>0.1325956222</v>
      </c>
      <c r="C674" s="4">
        <f>IFERROR(__xludf.DUMMYFUNCTION("""COMPUTED_VALUE"""),0.708096471417439)</f>
        <v>0.7080964714</v>
      </c>
      <c r="D674" s="15">
        <v>1808.0</v>
      </c>
      <c r="E674" s="4"/>
      <c r="F674" s="14" t="s">
        <v>2525</v>
      </c>
      <c r="G674" s="17">
        <f>IFERROR(__xludf.DUMMYFUNCTION("SPLIT(F:F, "" "")"),0.105179739730587)</f>
        <v>0.1051797397</v>
      </c>
      <c r="H674" s="4">
        <f>IFERROR(__xludf.DUMMYFUNCTION("""COMPUTED_VALUE"""),0.62501940933468)</f>
        <v>0.6250194093</v>
      </c>
      <c r="I674" s="15">
        <v>3616.0</v>
      </c>
      <c r="J674" s="4"/>
      <c r="K674" s="14" t="s">
        <v>2526</v>
      </c>
      <c r="L674" s="17">
        <f>IFERROR(__xludf.DUMMYFUNCTION("SPLIT(K:K, "" "")"),0.139129382521789)</f>
        <v>0.1391293825</v>
      </c>
      <c r="M674" s="4">
        <f>IFERROR(__xludf.DUMMYFUNCTION("""COMPUTED_VALUE"""),0.502710882302492)</f>
        <v>0.5027108823</v>
      </c>
      <c r="N674" s="15">
        <v>2984.0</v>
      </c>
      <c r="O674" s="4"/>
      <c r="P674" s="14" t="s">
        <v>2527</v>
      </c>
      <c r="Q674" s="17">
        <f>IFERROR(__xludf.DUMMYFUNCTION("SPLIT(P:P, "" "")"),0.121353317376874)</f>
        <v>0.1213533174</v>
      </c>
      <c r="R674" s="4">
        <f>IFERROR(__xludf.DUMMYFUNCTION("""COMPUTED_VALUE"""),0.391181070048121)</f>
        <v>0.39118107</v>
      </c>
      <c r="S674" s="15">
        <v>4476.0</v>
      </c>
      <c r="T674" s="4"/>
      <c r="U674" s="4"/>
    </row>
    <row r="675">
      <c r="A675" s="14" t="s">
        <v>2528</v>
      </c>
      <c r="B675" s="4">
        <f>IFERROR(__xludf.DUMMYFUNCTION("SPLIT(A:A, "" "")"),0.135122089896103)</f>
        <v>0.1351220899</v>
      </c>
      <c r="C675" s="4">
        <f>IFERROR(__xludf.DUMMYFUNCTION("""COMPUTED_VALUE"""),0.716582363161779)</f>
        <v>0.7165823632</v>
      </c>
      <c r="D675" s="15">
        <v>1812.0</v>
      </c>
      <c r="E675" s="4"/>
      <c r="F675" s="14" t="s">
        <v>2529</v>
      </c>
      <c r="G675" s="17">
        <f>IFERROR(__xludf.DUMMYFUNCTION("SPLIT(F:F, "" "")"),0.103178499682083)</f>
        <v>0.1031784997</v>
      </c>
      <c r="H675" s="4">
        <f>IFERROR(__xludf.DUMMYFUNCTION("""COMPUTED_VALUE"""),0.619977248570292)</f>
        <v>0.6199772486</v>
      </c>
      <c r="I675" s="15">
        <v>3624.0</v>
      </c>
      <c r="J675" s="4"/>
      <c r="K675" s="14" t="s">
        <v>2530</v>
      </c>
      <c r="L675" s="17">
        <f>IFERROR(__xludf.DUMMYFUNCTION("SPLIT(K:K, "" "")"),0.136552014728829)</f>
        <v>0.1365520147</v>
      </c>
      <c r="M675" s="4">
        <f>IFERROR(__xludf.DUMMYFUNCTION("""COMPUTED_VALUE"""),0.500771223796871)</f>
        <v>0.5007712238</v>
      </c>
      <c r="N675" s="15">
        <v>2992.0</v>
      </c>
      <c r="O675" s="4"/>
      <c r="P675" s="14" t="s">
        <v>2531</v>
      </c>
      <c r="Q675" s="17">
        <f>IFERROR(__xludf.DUMMYFUNCTION("SPLIT(P:P, "" "")"),0.122262200596704)</f>
        <v>0.1222622006</v>
      </c>
      <c r="R675" s="4">
        <f>IFERROR(__xludf.DUMMYFUNCTION("""COMPUTED_VALUE"""),0.388071865897908)</f>
        <v>0.3880718659</v>
      </c>
      <c r="S675" s="15">
        <v>4488.0</v>
      </c>
      <c r="T675" s="4"/>
      <c r="U675" s="4"/>
    </row>
    <row r="676">
      <c r="A676" s="14" t="s">
        <v>2532</v>
      </c>
      <c r="B676" s="4">
        <f>IFERROR(__xludf.DUMMYFUNCTION("SPLIT(A:A, "" "")"),0.134503810690659)</f>
        <v>0.1345038107</v>
      </c>
      <c r="C676" s="4">
        <f>IFERROR(__xludf.DUMMYFUNCTION("""COMPUTED_VALUE"""),0.713692747045762)</f>
        <v>0.713692747</v>
      </c>
      <c r="D676" s="15">
        <v>1816.0</v>
      </c>
      <c r="E676" s="4"/>
      <c r="F676" s="24" t="s">
        <v>2533</v>
      </c>
      <c r="G676" s="25">
        <f>IFERROR(__xludf.DUMMYFUNCTION("SPLIT(F:F, "" "")"),0.104219964971924)</f>
        <v>0.104219965</v>
      </c>
      <c r="H676" s="26">
        <f>IFERROR(__xludf.DUMMYFUNCTION("""COMPUTED_VALUE"""),0.628136458692247)</f>
        <v>0.6281364587</v>
      </c>
      <c r="I676" s="27">
        <v>3632.0</v>
      </c>
      <c r="J676" s="4"/>
      <c r="K676" s="14" t="s">
        <v>2534</v>
      </c>
      <c r="L676" s="17">
        <f>IFERROR(__xludf.DUMMYFUNCTION("SPLIT(K:K, "" "")"),0.138708093661004)</f>
        <v>0.1387080937</v>
      </c>
      <c r="M676" s="4">
        <f>IFERROR(__xludf.DUMMYFUNCTION("""COMPUTED_VALUE"""),0.509677871303606)</f>
        <v>0.5096778713</v>
      </c>
      <c r="N676" s="15">
        <v>3000.0</v>
      </c>
      <c r="O676" s="4"/>
      <c r="P676" s="14" t="s">
        <v>2535</v>
      </c>
      <c r="Q676" s="17">
        <f>IFERROR(__xludf.DUMMYFUNCTION("SPLIT(P:P, "" "")"),0.123324041552505)</f>
        <v>0.1233240416</v>
      </c>
      <c r="R676" s="4">
        <f>IFERROR(__xludf.DUMMYFUNCTION("""COMPUTED_VALUE"""),0.387243183995153)</f>
        <v>0.387243184</v>
      </c>
      <c r="S676" s="15">
        <v>4500.0</v>
      </c>
      <c r="T676" s="4"/>
      <c r="U676" s="4"/>
    </row>
    <row r="677">
      <c r="A677" s="14" t="s">
        <v>2536</v>
      </c>
      <c r="B677" s="4">
        <f>IFERROR(__xludf.DUMMYFUNCTION("SPLIT(A:A, "" "")"),0.134786616745405)</f>
        <v>0.1347866167</v>
      </c>
      <c r="C677" s="4">
        <f>IFERROR(__xludf.DUMMYFUNCTION("""COMPUTED_VALUE"""),0.703840078486961)</f>
        <v>0.7038400785</v>
      </c>
      <c r="D677" s="15">
        <v>1820.0</v>
      </c>
      <c r="E677" s="4"/>
      <c r="F677" s="4"/>
      <c r="G677" s="4"/>
      <c r="H677" s="4"/>
      <c r="I677" s="4"/>
      <c r="J677" s="4"/>
      <c r="K677" s="14" t="s">
        <v>2537</v>
      </c>
      <c r="L677" s="17">
        <f>IFERROR(__xludf.DUMMYFUNCTION("SPLIT(K:K, "" "")"),0.137841390105892)</f>
        <v>0.1378413901</v>
      </c>
      <c r="M677" s="4">
        <f>IFERROR(__xludf.DUMMYFUNCTION("""COMPUTED_VALUE"""),0.506162378983461)</f>
        <v>0.506162379</v>
      </c>
      <c r="N677" s="15">
        <v>3008.0</v>
      </c>
      <c r="O677" s="4"/>
      <c r="P677" s="14" t="s">
        <v>2538</v>
      </c>
      <c r="Q677" s="17">
        <f>IFERROR(__xludf.DUMMYFUNCTION("SPLIT(P:P, "" "")"),0.120231287394343)</f>
        <v>0.1202312874</v>
      </c>
      <c r="R677" s="4">
        <f>IFERROR(__xludf.DUMMYFUNCTION("""COMPUTED_VALUE"""),0.388276605173625)</f>
        <v>0.3882766052</v>
      </c>
      <c r="S677" s="15">
        <v>4512.0</v>
      </c>
      <c r="T677" s="4"/>
      <c r="U677" s="4"/>
    </row>
    <row r="678">
      <c r="A678" s="14" t="s">
        <v>2539</v>
      </c>
      <c r="B678" s="4">
        <f>IFERROR(__xludf.DUMMYFUNCTION("SPLIT(A:A, "" "")"),0.133937937709315)</f>
        <v>0.1339379377</v>
      </c>
      <c r="C678" s="4">
        <f>IFERROR(__xludf.DUMMYFUNCTION("""COMPUTED_VALUE"""),0.720488977906452)</f>
        <v>0.7204889779</v>
      </c>
      <c r="D678" s="15">
        <v>1824.0</v>
      </c>
      <c r="E678" s="4"/>
      <c r="F678" s="4"/>
      <c r="G678" s="4"/>
      <c r="H678" s="4"/>
      <c r="I678" s="4"/>
      <c r="J678" s="4"/>
      <c r="K678" s="14" t="s">
        <v>2540</v>
      </c>
      <c r="L678" s="17">
        <f>IFERROR(__xludf.DUMMYFUNCTION("SPLIT(K:K, "" "")"),0.133808397836215)</f>
        <v>0.1338083978</v>
      </c>
      <c r="M678" s="4">
        <f>IFERROR(__xludf.DUMMYFUNCTION("""COMPUTED_VALUE"""),0.497558729476409)</f>
        <v>0.4975587295</v>
      </c>
      <c r="N678" s="15">
        <v>3016.0</v>
      </c>
      <c r="O678" s="4"/>
      <c r="P678" s="14" t="s">
        <v>2541</v>
      </c>
      <c r="Q678" s="17">
        <f>IFERROR(__xludf.DUMMYFUNCTION("SPLIT(P:P, "" "")"),0.120472122110283)</f>
        <v>0.1204721221</v>
      </c>
      <c r="R678" s="4">
        <f>IFERROR(__xludf.DUMMYFUNCTION("""COMPUTED_VALUE"""),0.392646061682559)</f>
        <v>0.3926460617</v>
      </c>
      <c r="S678" s="15">
        <v>4524.0</v>
      </c>
      <c r="T678" s="4"/>
      <c r="U678" s="4"/>
    </row>
    <row r="679">
      <c r="A679" s="14" t="s">
        <v>2542</v>
      </c>
      <c r="B679" s="4">
        <f>IFERROR(__xludf.DUMMYFUNCTION("SPLIT(A:A, "" "")"),0.137332935649447)</f>
        <v>0.1373329356</v>
      </c>
      <c r="C679" s="4">
        <f>IFERROR(__xludf.DUMMYFUNCTION("""COMPUTED_VALUE"""),0.702413462866143)</f>
        <v>0.7024134629</v>
      </c>
      <c r="D679" s="15">
        <v>1828.0</v>
      </c>
      <c r="E679" s="4"/>
      <c r="F679" s="4"/>
      <c r="G679" s="4"/>
      <c r="H679" s="4"/>
      <c r="I679" s="4"/>
      <c r="J679" s="4"/>
      <c r="K679" s="14" t="s">
        <v>2543</v>
      </c>
      <c r="L679" s="17">
        <f>IFERROR(__xludf.DUMMYFUNCTION("SPLIT(K:K, "" "")"),0.140851202722825)</f>
        <v>0.1408512027</v>
      </c>
      <c r="M679" s="4">
        <f>IFERROR(__xludf.DUMMYFUNCTION("""COMPUTED_VALUE"""),0.507576480594075)</f>
        <v>0.5075764806</v>
      </c>
      <c r="N679" s="15">
        <v>3024.0</v>
      </c>
      <c r="O679" s="4"/>
      <c r="P679" s="14" t="s">
        <v>2544</v>
      </c>
      <c r="Q679" s="17">
        <f>IFERROR(__xludf.DUMMYFUNCTION("SPLIT(P:P, "" "")"),0.122863981892892)</f>
        <v>0.1228639819</v>
      </c>
      <c r="R679" s="4">
        <f>IFERROR(__xludf.DUMMYFUNCTION("""COMPUTED_VALUE"""),0.394230404932474)</f>
        <v>0.3942304049</v>
      </c>
      <c r="S679" s="15">
        <v>4536.0</v>
      </c>
      <c r="T679" s="4"/>
      <c r="U679" s="4"/>
    </row>
    <row r="680">
      <c r="A680" s="24" t="s">
        <v>2545</v>
      </c>
      <c r="B680" s="26">
        <f>IFERROR(__xludf.DUMMYFUNCTION("SPLIT(A:A, "" "")"),0.135859596857386)</f>
        <v>0.1358595969</v>
      </c>
      <c r="C680" s="26">
        <f>IFERROR(__xludf.DUMMYFUNCTION("""COMPUTED_VALUE"""),0.725821677228164)</f>
        <v>0.7258216772</v>
      </c>
      <c r="D680" s="27">
        <v>1832.0</v>
      </c>
      <c r="E680" s="4"/>
      <c r="F680" s="4"/>
      <c r="G680" s="4"/>
      <c r="H680" s="4"/>
      <c r="I680" s="4"/>
      <c r="J680" s="4"/>
      <c r="K680" s="14" t="s">
        <v>2546</v>
      </c>
      <c r="L680" s="17">
        <f>IFERROR(__xludf.DUMMYFUNCTION("SPLIT(K:K, "" "")"),0.135621160006551)</f>
        <v>0.13562116</v>
      </c>
      <c r="M680" s="4">
        <f>IFERROR(__xludf.DUMMYFUNCTION("""COMPUTED_VALUE"""),0.501628889927576)</f>
        <v>0.5016288899</v>
      </c>
      <c r="N680" s="15">
        <v>3032.0</v>
      </c>
      <c r="O680" s="4"/>
      <c r="P680" s="14" t="s">
        <v>2547</v>
      </c>
      <c r="Q680" s="17">
        <f>IFERROR(__xludf.DUMMYFUNCTION("SPLIT(P:P, "" "")"),0.120227816571735)</f>
        <v>0.1202278166</v>
      </c>
      <c r="R680" s="4">
        <f>IFERROR(__xludf.DUMMYFUNCTION("""COMPUTED_VALUE"""),0.388726461600946)</f>
        <v>0.3887264616</v>
      </c>
      <c r="S680" s="15">
        <v>4548.0</v>
      </c>
      <c r="T680" s="4"/>
      <c r="U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4" t="s">
        <v>2548</v>
      </c>
      <c r="L681" s="17">
        <f>IFERROR(__xludf.DUMMYFUNCTION("SPLIT(K:K, "" "")"),0.135414052973267)</f>
        <v>0.135414053</v>
      </c>
      <c r="M681" s="4">
        <f>IFERROR(__xludf.DUMMYFUNCTION("""COMPUTED_VALUE"""),0.506987165461068)</f>
        <v>0.5069871655</v>
      </c>
      <c r="N681" s="15">
        <v>3040.0</v>
      </c>
      <c r="O681" s="4"/>
      <c r="P681" s="14" t="s">
        <v>2549</v>
      </c>
      <c r="Q681" s="17">
        <f>IFERROR(__xludf.DUMMYFUNCTION("SPLIT(P:P, "" "")"),0.120396554377355)</f>
        <v>0.1203965544</v>
      </c>
      <c r="R681" s="4">
        <f>IFERROR(__xludf.DUMMYFUNCTION("""COMPUTED_VALUE"""),0.392490139239965)</f>
        <v>0.3924901392</v>
      </c>
      <c r="S681" s="15">
        <v>4560.0</v>
      </c>
      <c r="T681" s="4"/>
      <c r="U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4" t="s">
        <v>2550</v>
      </c>
      <c r="L682" s="17">
        <f>IFERROR(__xludf.DUMMYFUNCTION("SPLIT(K:K, "" "")"),0.133405598533537)</f>
        <v>0.1334055985</v>
      </c>
      <c r="M682" s="4">
        <f>IFERROR(__xludf.DUMMYFUNCTION("""COMPUTED_VALUE"""),0.507372240927669)</f>
        <v>0.5073722409</v>
      </c>
      <c r="N682" s="15">
        <v>3048.0</v>
      </c>
      <c r="O682" s="4"/>
      <c r="P682" s="14" t="s">
        <v>2551</v>
      </c>
      <c r="Q682" s="17">
        <f>IFERROR(__xludf.DUMMYFUNCTION("SPLIT(P:P, "" "")"),0.126309619860442)</f>
        <v>0.1263096199</v>
      </c>
      <c r="R682" s="4">
        <f>IFERROR(__xludf.DUMMYFUNCTION("""COMPUTED_VALUE"""),0.395656499191962)</f>
        <v>0.3956564992</v>
      </c>
      <c r="S682" s="15">
        <v>4572.0</v>
      </c>
      <c r="T682" s="4"/>
      <c r="U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4" t="s">
        <v>2552</v>
      </c>
      <c r="L683" s="17">
        <f>IFERROR(__xludf.DUMMYFUNCTION("SPLIT(K:K, "" "")"),0.135365006071957)</f>
        <v>0.1353650061</v>
      </c>
      <c r="M683" s="4">
        <f>IFERROR(__xludf.DUMMYFUNCTION("""COMPUTED_VALUE"""),0.508116297359992)</f>
        <v>0.5081162974</v>
      </c>
      <c r="N683" s="15">
        <v>3056.0</v>
      </c>
      <c r="O683" s="4"/>
      <c r="P683" s="14" t="s">
        <v>2553</v>
      </c>
      <c r="Q683" s="17">
        <f>IFERROR(__xludf.DUMMYFUNCTION("SPLIT(P:P, "" "")"),0.120676924410339)</f>
        <v>0.1206769244</v>
      </c>
      <c r="R683" s="4">
        <f>IFERROR(__xludf.DUMMYFUNCTION("""COMPUTED_VALUE"""),0.387516392972619)</f>
        <v>0.387516393</v>
      </c>
      <c r="S683" s="15">
        <v>4584.0</v>
      </c>
      <c r="T683" s="4"/>
      <c r="U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4" t="s">
        <v>2554</v>
      </c>
      <c r="L684" s="17">
        <f>IFERROR(__xludf.DUMMYFUNCTION("SPLIT(K:K, "" "")"),0.134720193227455)</f>
        <v>0.1347201932</v>
      </c>
      <c r="M684" s="4">
        <f>IFERROR(__xludf.DUMMYFUNCTION("""COMPUTED_VALUE"""),0.502839874512147)</f>
        <v>0.5028398745</v>
      </c>
      <c r="N684" s="15">
        <v>3064.0</v>
      </c>
      <c r="O684" s="4"/>
      <c r="P684" s="14" t="s">
        <v>2555</v>
      </c>
      <c r="Q684" s="17">
        <f>IFERROR(__xludf.DUMMYFUNCTION("SPLIT(P:P, "" "")"),0.120609501733188)</f>
        <v>0.1206095017</v>
      </c>
      <c r="R684" s="4">
        <f>IFERROR(__xludf.DUMMYFUNCTION("""COMPUTED_VALUE"""),0.390852149240031)</f>
        <v>0.3908521492</v>
      </c>
      <c r="S684" s="15">
        <v>4596.0</v>
      </c>
      <c r="T684" s="4"/>
      <c r="U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4" t="s">
        <v>2556</v>
      </c>
      <c r="L685" s="17">
        <f>IFERROR(__xludf.DUMMYFUNCTION("SPLIT(K:K, "" "")"),0.133037471819931)</f>
        <v>0.1330374718</v>
      </c>
      <c r="M685" s="4">
        <f>IFERROR(__xludf.DUMMYFUNCTION("""COMPUTED_VALUE"""),0.494409999944188)</f>
        <v>0.4944099999</v>
      </c>
      <c r="N685" s="15">
        <v>3072.0</v>
      </c>
      <c r="O685" s="4"/>
      <c r="P685" s="14" t="s">
        <v>2557</v>
      </c>
      <c r="Q685" s="17">
        <f>IFERROR(__xludf.DUMMYFUNCTION("SPLIT(P:P, "" "")"),0.11612019278012)</f>
        <v>0.1161201928</v>
      </c>
      <c r="R685" s="4">
        <f>IFERROR(__xludf.DUMMYFUNCTION("""COMPUTED_VALUE"""),0.383994854082213)</f>
        <v>0.3839948541</v>
      </c>
      <c r="S685" s="15">
        <v>4608.0</v>
      </c>
      <c r="T685" s="4"/>
      <c r="U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4" t="s">
        <v>2558</v>
      </c>
      <c r="L686" s="17">
        <f>IFERROR(__xludf.DUMMYFUNCTION("SPLIT(K:K, "" "")"),0.134539722357888)</f>
        <v>0.1345397224</v>
      </c>
      <c r="M686" s="4">
        <f>IFERROR(__xludf.DUMMYFUNCTION("""COMPUTED_VALUE"""),0.506928113270594)</f>
        <v>0.5069281133</v>
      </c>
      <c r="N686" s="15">
        <v>3080.0</v>
      </c>
      <c r="O686" s="4"/>
      <c r="P686" s="14" t="s">
        <v>2559</v>
      </c>
      <c r="Q686" s="17">
        <f>IFERROR(__xludf.DUMMYFUNCTION("SPLIT(P:P, "" "")"),0.116800139239058)</f>
        <v>0.1168001392</v>
      </c>
      <c r="R686" s="4">
        <f>IFERROR(__xludf.DUMMYFUNCTION("""COMPUTED_VALUE"""),0.381670483550512)</f>
        <v>0.3816704836</v>
      </c>
      <c r="S686" s="15">
        <v>4620.0</v>
      </c>
      <c r="T686" s="4"/>
      <c r="U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4" t="s">
        <v>2560</v>
      </c>
      <c r="L687" s="17">
        <f>IFERROR(__xludf.DUMMYFUNCTION("SPLIT(K:K, "" "")"),0.131629671764888)</f>
        <v>0.1316296718</v>
      </c>
      <c r="M687" s="4">
        <f>IFERROR(__xludf.DUMMYFUNCTION("""COMPUTED_VALUE"""),0.501945807158206)</f>
        <v>0.5019458072</v>
      </c>
      <c r="N687" s="15">
        <v>3088.0</v>
      </c>
      <c r="O687" s="4"/>
      <c r="P687" s="14" t="s">
        <v>2561</v>
      </c>
      <c r="Q687" s="17">
        <f>IFERROR(__xludf.DUMMYFUNCTION("SPLIT(P:P, "" "")"),0.116520287800865)</f>
        <v>0.1165202878</v>
      </c>
      <c r="R687" s="4">
        <f>IFERROR(__xludf.DUMMYFUNCTION("""COMPUTED_VALUE"""),0.379495438309724)</f>
        <v>0.3794954383</v>
      </c>
      <c r="S687" s="15">
        <v>4632.0</v>
      </c>
      <c r="T687" s="4"/>
      <c r="U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4" t="s">
        <v>2562</v>
      </c>
      <c r="L688" s="17">
        <f>IFERROR(__xludf.DUMMYFUNCTION("SPLIT(K:K, "" "")"),0.135952974421699)</f>
        <v>0.1359529744</v>
      </c>
      <c r="M688" s="4">
        <f>IFERROR(__xludf.DUMMYFUNCTION("""COMPUTED_VALUE"""),0.494910394309714)</f>
        <v>0.4949103943</v>
      </c>
      <c r="N688" s="15">
        <v>3096.0</v>
      </c>
      <c r="O688" s="4"/>
      <c r="P688" s="14" t="s">
        <v>2563</v>
      </c>
      <c r="Q688" s="17">
        <f>IFERROR(__xludf.DUMMYFUNCTION("SPLIT(P:P, "" "")"),0.119878440704961)</f>
        <v>0.1198784407</v>
      </c>
      <c r="R688" s="4">
        <f>IFERROR(__xludf.DUMMYFUNCTION("""COMPUTED_VALUE"""),0.39248687227373)</f>
        <v>0.3924868723</v>
      </c>
      <c r="S688" s="15">
        <v>4644.0</v>
      </c>
      <c r="T688" s="4"/>
      <c r="U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4" t="s">
        <v>2564</v>
      </c>
      <c r="L689" s="17">
        <f>IFERROR(__xludf.DUMMYFUNCTION("SPLIT(K:K, "" "")"),0.132999117996889)</f>
        <v>0.132999118</v>
      </c>
      <c r="M689" s="4">
        <f>IFERROR(__xludf.DUMMYFUNCTION("""COMPUTED_VALUE"""),0.508096831116525)</f>
        <v>0.5080968311</v>
      </c>
      <c r="N689" s="15">
        <v>3104.0</v>
      </c>
      <c r="O689" s="4"/>
      <c r="P689" s="14" t="s">
        <v>2565</v>
      </c>
      <c r="Q689" s="17">
        <f>IFERROR(__xludf.DUMMYFUNCTION("SPLIT(P:P, "" "")"),0.119905008691589)</f>
        <v>0.1199050087</v>
      </c>
      <c r="R689" s="4">
        <f>IFERROR(__xludf.DUMMYFUNCTION("""COMPUTED_VALUE"""),0.388753946461283)</f>
        <v>0.3887539465</v>
      </c>
      <c r="S689" s="15">
        <v>4656.0</v>
      </c>
      <c r="T689" s="4"/>
      <c r="U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4" t="s">
        <v>2566</v>
      </c>
      <c r="L690" s="17">
        <f>IFERROR(__xludf.DUMMYFUNCTION("SPLIT(K:K, "" "")"),0.135697714767975)</f>
        <v>0.1356977148</v>
      </c>
      <c r="M690" s="4">
        <f>IFERROR(__xludf.DUMMYFUNCTION("""COMPUTED_VALUE"""),0.505955793271516)</f>
        <v>0.5059557933</v>
      </c>
      <c r="N690" s="15">
        <v>3112.0</v>
      </c>
      <c r="O690" s="4"/>
      <c r="P690" s="14" t="s">
        <v>2567</v>
      </c>
      <c r="Q690" s="17">
        <f>IFERROR(__xludf.DUMMYFUNCTION("SPLIT(P:P, "" "")"),0.121489889259909)</f>
        <v>0.1214898893</v>
      </c>
      <c r="R690" s="4">
        <f>IFERROR(__xludf.DUMMYFUNCTION("""COMPUTED_VALUE"""),0.388536801264224)</f>
        <v>0.3885368013</v>
      </c>
      <c r="S690" s="15">
        <v>4668.0</v>
      </c>
      <c r="T690" s="4"/>
      <c r="U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4" t="s">
        <v>2568</v>
      </c>
      <c r="L691" s="17">
        <f>IFERROR(__xludf.DUMMYFUNCTION("SPLIT(K:K, "" "")"),0.133514384195874)</f>
        <v>0.1335143842</v>
      </c>
      <c r="M691" s="4">
        <f>IFERROR(__xludf.DUMMYFUNCTION("""COMPUTED_VALUE"""),0.497846911811536)</f>
        <v>0.4978469118</v>
      </c>
      <c r="N691" s="15">
        <v>3120.0</v>
      </c>
      <c r="O691" s="4"/>
      <c r="P691" s="14" t="s">
        <v>2569</v>
      </c>
      <c r="Q691" s="17">
        <f>IFERROR(__xludf.DUMMYFUNCTION("SPLIT(P:P, "" "")"),0.116089643253027)</f>
        <v>0.1160896433</v>
      </c>
      <c r="R691" s="4">
        <f>IFERROR(__xludf.DUMMYFUNCTION("""COMPUTED_VALUE"""),0.384785052532644)</f>
        <v>0.3847850525</v>
      </c>
      <c r="S691" s="15">
        <v>4680.0</v>
      </c>
      <c r="T691" s="4"/>
      <c r="U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4" t="s">
        <v>2570</v>
      </c>
      <c r="L692" s="17">
        <f>IFERROR(__xludf.DUMMYFUNCTION("SPLIT(K:K, "" "")"),0.135884899013869)</f>
        <v>0.135884899</v>
      </c>
      <c r="M692" s="4">
        <f>IFERROR(__xludf.DUMMYFUNCTION("""COMPUTED_VALUE"""),0.50382827065878)</f>
        <v>0.5038282707</v>
      </c>
      <c r="N692" s="15">
        <v>3128.0</v>
      </c>
      <c r="O692" s="4"/>
      <c r="P692" s="14" t="s">
        <v>2571</v>
      </c>
      <c r="Q692" s="17">
        <f>IFERROR(__xludf.DUMMYFUNCTION("SPLIT(P:P, "" "")"),0.117265886183881)</f>
        <v>0.1172658862</v>
      </c>
      <c r="R692" s="4">
        <f>IFERROR(__xludf.DUMMYFUNCTION("""COMPUTED_VALUE"""),0.386804116619553)</f>
        <v>0.3868041166</v>
      </c>
      <c r="S692" s="15">
        <v>4692.0</v>
      </c>
      <c r="T692" s="4"/>
      <c r="U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4" t="s">
        <v>2572</v>
      </c>
      <c r="L693" s="17">
        <f>IFERROR(__xludf.DUMMYFUNCTION("SPLIT(K:K, "" "")"),0.135995093961638)</f>
        <v>0.135995094</v>
      </c>
      <c r="M693" s="4">
        <f>IFERROR(__xludf.DUMMYFUNCTION("""COMPUTED_VALUE"""),0.509638222213523)</f>
        <v>0.5096382222</v>
      </c>
      <c r="N693" s="15">
        <v>3136.0</v>
      </c>
      <c r="O693" s="4"/>
      <c r="P693" s="14" t="s">
        <v>2573</v>
      </c>
      <c r="Q693" s="17">
        <f>IFERROR(__xludf.DUMMYFUNCTION("SPLIT(P:P, "" "")"),0.120278360622841)</f>
        <v>0.1202783606</v>
      </c>
      <c r="R693" s="4">
        <f>IFERROR(__xludf.DUMMYFUNCTION("""COMPUTED_VALUE"""),0.378947728672591)</f>
        <v>0.3789477287</v>
      </c>
      <c r="S693" s="15">
        <v>4704.0</v>
      </c>
      <c r="T693" s="4"/>
      <c r="U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4" t="s">
        <v>2574</v>
      </c>
      <c r="L694" s="17">
        <f>IFERROR(__xludf.DUMMYFUNCTION("SPLIT(K:K, "" "")"),0.13724531932544)</f>
        <v>0.1372453193</v>
      </c>
      <c r="M694" s="4">
        <f>IFERROR(__xludf.DUMMYFUNCTION("""COMPUTED_VALUE"""),0.505089495426149)</f>
        <v>0.5050894954</v>
      </c>
      <c r="N694" s="15">
        <v>3144.0</v>
      </c>
      <c r="O694" s="4"/>
      <c r="P694" s="14" t="s">
        <v>2575</v>
      </c>
      <c r="Q694" s="17">
        <f>IFERROR(__xludf.DUMMYFUNCTION("SPLIT(P:P, "" "")"),0.117918960879382)</f>
        <v>0.1179189609</v>
      </c>
      <c r="R694" s="4">
        <f>IFERROR(__xludf.DUMMYFUNCTION("""COMPUTED_VALUE"""),0.382218930349628)</f>
        <v>0.3822189303</v>
      </c>
      <c r="S694" s="15">
        <v>4716.0</v>
      </c>
      <c r="T694" s="4"/>
      <c r="U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4" t="s">
        <v>2576</v>
      </c>
      <c r="L695" s="17">
        <f>IFERROR(__xludf.DUMMYFUNCTION("SPLIT(K:K, "" "")"),0.129878368868217)</f>
        <v>0.1298783689</v>
      </c>
      <c r="M695" s="4">
        <f>IFERROR(__xludf.DUMMYFUNCTION("""COMPUTED_VALUE"""),0.497597033788569)</f>
        <v>0.4975970338</v>
      </c>
      <c r="N695" s="15">
        <v>3152.0</v>
      </c>
      <c r="O695" s="4"/>
      <c r="P695" s="14" t="s">
        <v>2577</v>
      </c>
      <c r="Q695" s="17">
        <f>IFERROR(__xludf.DUMMYFUNCTION("SPLIT(P:P, "" "")"),0.116041522433215)</f>
        <v>0.1160415224</v>
      </c>
      <c r="R695" s="4">
        <f>IFERROR(__xludf.DUMMYFUNCTION("""COMPUTED_VALUE"""),0.374778626519531)</f>
        <v>0.3747786265</v>
      </c>
      <c r="S695" s="15">
        <v>4728.0</v>
      </c>
      <c r="T695" s="4"/>
      <c r="U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4" t="s">
        <v>2578</v>
      </c>
      <c r="L696" s="17">
        <f>IFERROR(__xludf.DUMMYFUNCTION("SPLIT(K:K, "" "")"),0.131217641697725)</f>
        <v>0.1312176417</v>
      </c>
      <c r="M696" s="4">
        <f>IFERROR(__xludf.DUMMYFUNCTION("""COMPUTED_VALUE"""),0.503012981784553)</f>
        <v>0.5030129818</v>
      </c>
      <c r="N696" s="15">
        <v>3160.0</v>
      </c>
      <c r="O696" s="4"/>
      <c r="P696" s="14" t="s">
        <v>2579</v>
      </c>
      <c r="Q696" s="17">
        <f>IFERROR(__xludf.DUMMYFUNCTION("SPLIT(P:P, "" "")"),0.12217816432715)</f>
        <v>0.1221781643</v>
      </c>
      <c r="R696" s="4">
        <f>IFERROR(__xludf.DUMMYFUNCTION("""COMPUTED_VALUE"""),0.3884469201967)</f>
        <v>0.3884469202</v>
      </c>
      <c r="S696" s="15">
        <v>4740.0</v>
      </c>
      <c r="T696" s="4"/>
      <c r="U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4" t="s">
        <v>2580</v>
      </c>
      <c r="L697" s="17">
        <f>IFERROR(__xludf.DUMMYFUNCTION("SPLIT(K:K, "" "")"),0.136222095160216)</f>
        <v>0.1362220952</v>
      </c>
      <c r="M697" s="4">
        <f>IFERROR(__xludf.DUMMYFUNCTION("""COMPUTED_VALUE"""),0.52081395637535)</f>
        <v>0.5208139564</v>
      </c>
      <c r="N697" s="15">
        <v>3168.0</v>
      </c>
      <c r="O697" s="4"/>
      <c r="P697" s="14" t="s">
        <v>2581</v>
      </c>
      <c r="Q697" s="17">
        <f>IFERROR(__xludf.DUMMYFUNCTION("SPLIT(P:P, "" "")"),0.114178336126602)</f>
        <v>0.1141783361</v>
      </c>
      <c r="R697" s="4">
        <f>IFERROR(__xludf.DUMMYFUNCTION("""COMPUTED_VALUE"""),0.37937283150529)</f>
        <v>0.3793728315</v>
      </c>
      <c r="S697" s="15">
        <v>4752.0</v>
      </c>
      <c r="T697" s="4"/>
      <c r="U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4" t="s">
        <v>2582</v>
      </c>
      <c r="L698" s="17">
        <f>IFERROR(__xludf.DUMMYFUNCTION("SPLIT(K:K, "" "")"),0.130675080901642)</f>
        <v>0.1306750809</v>
      </c>
      <c r="M698" s="4">
        <f>IFERROR(__xludf.DUMMYFUNCTION("""COMPUTED_VALUE"""),0.508598457604325)</f>
        <v>0.5085984576</v>
      </c>
      <c r="N698" s="15">
        <v>3176.0</v>
      </c>
      <c r="O698" s="4"/>
      <c r="P698" s="14" t="s">
        <v>2583</v>
      </c>
      <c r="Q698" s="17">
        <f>IFERROR(__xludf.DUMMYFUNCTION("SPLIT(P:P, "" "")"),0.116691666386611)</f>
        <v>0.1166916664</v>
      </c>
      <c r="R698" s="4">
        <f>IFERROR(__xludf.DUMMYFUNCTION("""COMPUTED_VALUE"""),0.386077392804835)</f>
        <v>0.3860773928</v>
      </c>
      <c r="S698" s="15">
        <v>4764.0</v>
      </c>
      <c r="T698" s="4"/>
      <c r="U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4" t="s">
        <v>2584</v>
      </c>
      <c r="L699" s="17">
        <f>IFERROR(__xludf.DUMMYFUNCTION("SPLIT(K:K, "" "")"),0.133338328017909)</f>
        <v>0.133338328</v>
      </c>
      <c r="M699" s="4">
        <f>IFERROR(__xludf.DUMMYFUNCTION("""COMPUTED_VALUE"""),0.501937467353667)</f>
        <v>0.5019374674</v>
      </c>
      <c r="N699" s="15">
        <v>3184.0</v>
      </c>
      <c r="O699" s="4"/>
      <c r="P699" s="14" t="s">
        <v>2585</v>
      </c>
      <c r="Q699" s="17">
        <f>IFERROR(__xludf.DUMMYFUNCTION("SPLIT(P:P, "" "")"),0.116344956979984)</f>
        <v>0.116344957</v>
      </c>
      <c r="R699" s="4">
        <f>IFERROR(__xludf.DUMMYFUNCTION("""COMPUTED_VALUE"""),0.386232543496961)</f>
        <v>0.3862325435</v>
      </c>
      <c r="S699" s="15">
        <v>4776.0</v>
      </c>
      <c r="T699" s="4"/>
      <c r="U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4" t="s">
        <v>2586</v>
      </c>
      <c r="L700" s="17">
        <f>IFERROR(__xludf.DUMMYFUNCTION("SPLIT(K:K, "" "")"),0.132904143826708)</f>
        <v>0.1329041438</v>
      </c>
      <c r="M700" s="4">
        <f>IFERROR(__xludf.DUMMYFUNCTION("""COMPUTED_VALUE"""),0.51360572919982)</f>
        <v>0.5136057292</v>
      </c>
      <c r="N700" s="15">
        <v>3192.0</v>
      </c>
      <c r="O700" s="4"/>
      <c r="P700" s="14" t="s">
        <v>2587</v>
      </c>
      <c r="Q700" s="17">
        <f>IFERROR(__xludf.DUMMYFUNCTION("SPLIT(P:P, "" "")"),0.123079436728535)</f>
        <v>0.1230794367</v>
      </c>
      <c r="R700" s="4">
        <f>IFERROR(__xludf.DUMMYFUNCTION("""COMPUTED_VALUE"""),0.389107749524101)</f>
        <v>0.3891077495</v>
      </c>
      <c r="S700" s="15">
        <v>4788.0</v>
      </c>
      <c r="T700" s="4"/>
      <c r="U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4" t="s">
        <v>2588</v>
      </c>
      <c r="L701" s="17">
        <f>IFERROR(__xludf.DUMMYFUNCTION("SPLIT(K:K, "" "")"),0.13079494430357)</f>
        <v>0.1307949443</v>
      </c>
      <c r="M701" s="4">
        <f>IFERROR(__xludf.DUMMYFUNCTION("""COMPUTED_VALUE"""),0.507001713011269)</f>
        <v>0.507001713</v>
      </c>
      <c r="N701" s="15">
        <v>3200.0</v>
      </c>
      <c r="O701" s="4"/>
      <c r="P701" s="14" t="s">
        <v>2589</v>
      </c>
      <c r="Q701" s="17">
        <f>IFERROR(__xludf.DUMMYFUNCTION("SPLIT(P:P, "" "")"),0.118289205443808)</f>
        <v>0.1182892054</v>
      </c>
      <c r="R701" s="4">
        <f>IFERROR(__xludf.DUMMYFUNCTION("""COMPUTED_VALUE"""),0.385146087931471)</f>
        <v>0.3851460879</v>
      </c>
      <c r="S701" s="15">
        <v>4800.0</v>
      </c>
      <c r="T701" s="4"/>
      <c r="U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4" t="s">
        <v>2590</v>
      </c>
      <c r="L702" s="17">
        <f>IFERROR(__xludf.DUMMYFUNCTION("SPLIT(K:K, "" "")"),0.130276982183835)</f>
        <v>0.1302769822</v>
      </c>
      <c r="M702" s="4">
        <f>IFERROR(__xludf.DUMMYFUNCTION("""COMPUTED_VALUE"""),0.504037600203844)</f>
        <v>0.5040376002</v>
      </c>
      <c r="N702" s="15">
        <v>3208.0</v>
      </c>
      <c r="O702" s="4"/>
      <c r="P702" s="14" t="s">
        <v>2591</v>
      </c>
      <c r="Q702" s="17">
        <f>IFERROR(__xludf.DUMMYFUNCTION("SPLIT(P:P, "" "")"),0.115944638495137)</f>
        <v>0.1159446385</v>
      </c>
      <c r="R702" s="4">
        <f>IFERROR(__xludf.DUMMYFUNCTION("""COMPUTED_VALUE"""),0.38608920248161)</f>
        <v>0.3860892025</v>
      </c>
      <c r="S702" s="15">
        <v>4812.0</v>
      </c>
      <c r="T702" s="4"/>
      <c r="U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4" t="s">
        <v>2592</v>
      </c>
      <c r="L703" s="17">
        <f>IFERROR(__xludf.DUMMYFUNCTION("SPLIT(K:K, "" "")"),0.133613615919933)</f>
        <v>0.1336136159</v>
      </c>
      <c r="M703" s="4">
        <f>IFERROR(__xludf.DUMMYFUNCTION("""COMPUTED_VALUE"""),0.509771484704869)</f>
        <v>0.5097714847</v>
      </c>
      <c r="N703" s="15">
        <v>3216.0</v>
      </c>
      <c r="O703" s="4"/>
      <c r="P703" s="14" t="s">
        <v>2593</v>
      </c>
      <c r="Q703" s="17">
        <f>IFERROR(__xludf.DUMMYFUNCTION("SPLIT(P:P, "" "")"),0.113714973535043)</f>
        <v>0.1137149735</v>
      </c>
      <c r="R703" s="4">
        <f>IFERROR(__xludf.DUMMYFUNCTION("""COMPUTED_VALUE"""),0.378190547983536)</f>
        <v>0.378190548</v>
      </c>
      <c r="S703" s="15">
        <v>4824.0</v>
      </c>
      <c r="T703" s="4"/>
      <c r="U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4" t="s">
        <v>2594</v>
      </c>
      <c r="L704" s="17">
        <f>IFERROR(__xludf.DUMMYFUNCTION("SPLIT(K:K, "" "")"),0.131257714394714)</f>
        <v>0.1312577144</v>
      </c>
      <c r="M704" s="4">
        <f>IFERROR(__xludf.DUMMYFUNCTION("""COMPUTED_VALUE"""),0.509008977764471)</f>
        <v>0.5090089778</v>
      </c>
      <c r="N704" s="15">
        <v>3224.0</v>
      </c>
      <c r="O704" s="4"/>
      <c r="P704" s="14" t="s">
        <v>2595</v>
      </c>
      <c r="Q704" s="17">
        <f>IFERROR(__xludf.DUMMYFUNCTION("SPLIT(P:P, "" "")"),0.114312573238695)</f>
        <v>0.1143125732</v>
      </c>
      <c r="R704" s="4">
        <f>IFERROR(__xludf.DUMMYFUNCTION("""COMPUTED_VALUE"""),0.382569351401111)</f>
        <v>0.3825693514</v>
      </c>
      <c r="S704" s="15">
        <v>4836.0</v>
      </c>
      <c r="T704" s="4"/>
      <c r="U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4" t="s">
        <v>2596</v>
      </c>
      <c r="L705" s="17">
        <f>IFERROR(__xludf.DUMMYFUNCTION("SPLIT(K:K, "" "")"),0.129594107503086)</f>
        <v>0.1295941075</v>
      </c>
      <c r="M705" s="4">
        <f>IFERROR(__xludf.DUMMYFUNCTION("""COMPUTED_VALUE"""),0.501932518886728)</f>
        <v>0.5019325189</v>
      </c>
      <c r="N705" s="15">
        <v>3232.0</v>
      </c>
      <c r="O705" s="4"/>
      <c r="P705" s="14" t="s">
        <v>2597</v>
      </c>
      <c r="Q705" s="17">
        <f>IFERROR(__xludf.DUMMYFUNCTION("SPLIT(P:P, "" "")"),0.11400181927855)</f>
        <v>0.1140018193</v>
      </c>
      <c r="R705" s="4">
        <f>IFERROR(__xludf.DUMMYFUNCTION("""COMPUTED_VALUE"""),0.378842518545628)</f>
        <v>0.3788425185</v>
      </c>
      <c r="S705" s="15">
        <v>4848.0</v>
      </c>
      <c r="T705" s="4"/>
      <c r="U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4" t="s">
        <v>2598</v>
      </c>
      <c r="L706" s="17">
        <f>IFERROR(__xludf.DUMMYFUNCTION("SPLIT(K:K, "" "")"),0.131602706692529)</f>
        <v>0.1316027067</v>
      </c>
      <c r="M706" s="4">
        <f>IFERROR(__xludf.DUMMYFUNCTION("""COMPUTED_VALUE"""),0.506189516058402)</f>
        <v>0.5061895161</v>
      </c>
      <c r="N706" s="15">
        <v>3240.0</v>
      </c>
      <c r="O706" s="4"/>
      <c r="P706" s="14" t="s">
        <v>2599</v>
      </c>
      <c r="Q706" s="17">
        <f>IFERROR(__xludf.DUMMYFUNCTION("SPLIT(P:P, "" "")"),0.118360695234644)</f>
        <v>0.1183606952</v>
      </c>
      <c r="R706" s="4">
        <f>IFERROR(__xludf.DUMMYFUNCTION("""COMPUTED_VALUE"""),0.392166001537189)</f>
        <v>0.3921660015</v>
      </c>
      <c r="S706" s="15">
        <v>4860.0</v>
      </c>
      <c r="T706" s="4"/>
      <c r="U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4" t="s">
        <v>2600</v>
      </c>
      <c r="L707" s="17">
        <f>IFERROR(__xludf.DUMMYFUNCTION("SPLIT(K:K, "" "")"),0.127814835440894)</f>
        <v>0.1278148354</v>
      </c>
      <c r="M707" s="4">
        <f>IFERROR(__xludf.DUMMYFUNCTION("""COMPUTED_VALUE"""),0.504555235555176)</f>
        <v>0.5045552356</v>
      </c>
      <c r="N707" s="15">
        <v>3248.0</v>
      </c>
      <c r="O707" s="4"/>
      <c r="P707" s="14" t="s">
        <v>2601</v>
      </c>
      <c r="Q707" s="17">
        <f>IFERROR(__xludf.DUMMYFUNCTION("SPLIT(P:P, "" "")"),0.114594016348399)</f>
        <v>0.1145940163</v>
      </c>
      <c r="R707" s="4">
        <f>IFERROR(__xludf.DUMMYFUNCTION("""COMPUTED_VALUE"""),0.384331686801868)</f>
        <v>0.3843316868</v>
      </c>
      <c r="S707" s="15">
        <v>4872.0</v>
      </c>
      <c r="T707" s="4"/>
      <c r="U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4" t="s">
        <v>2602</v>
      </c>
      <c r="L708" s="17">
        <f>IFERROR(__xludf.DUMMYFUNCTION("SPLIT(K:K, "" "")"),0.133217042384882)</f>
        <v>0.1332170424</v>
      </c>
      <c r="M708" s="4">
        <f>IFERROR(__xludf.DUMMYFUNCTION("""COMPUTED_VALUE"""),0.510338533773798)</f>
        <v>0.5103385338</v>
      </c>
      <c r="N708" s="15">
        <v>3256.0</v>
      </c>
      <c r="O708" s="4"/>
      <c r="P708" s="14" t="s">
        <v>2603</v>
      </c>
      <c r="Q708" s="17">
        <f>IFERROR(__xludf.DUMMYFUNCTION("SPLIT(P:P, "" "")"),0.115726186200463)</f>
        <v>0.1157261862</v>
      </c>
      <c r="R708" s="4">
        <f>IFERROR(__xludf.DUMMYFUNCTION("""COMPUTED_VALUE"""),0.378374254096102)</f>
        <v>0.3783742541</v>
      </c>
      <c r="S708" s="15">
        <v>4884.0</v>
      </c>
      <c r="T708" s="4"/>
      <c r="U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4" t="s">
        <v>2604</v>
      </c>
      <c r="L709" s="17">
        <f>IFERROR(__xludf.DUMMYFUNCTION("SPLIT(K:K, "" "")"),0.128449546039395)</f>
        <v>0.128449546</v>
      </c>
      <c r="M709" s="4">
        <f>IFERROR(__xludf.DUMMYFUNCTION("""COMPUTED_VALUE"""),0.508400674363827)</f>
        <v>0.5084006744</v>
      </c>
      <c r="N709" s="15">
        <v>3264.0</v>
      </c>
      <c r="O709" s="4"/>
      <c r="P709" s="14" t="s">
        <v>2605</v>
      </c>
      <c r="Q709" s="17">
        <f>IFERROR(__xludf.DUMMYFUNCTION("SPLIT(P:P, "" "")"),0.113962735261996)</f>
        <v>0.1139627353</v>
      </c>
      <c r="R709" s="4">
        <f>IFERROR(__xludf.DUMMYFUNCTION("""COMPUTED_VALUE"""),0.380021949040949)</f>
        <v>0.380021949</v>
      </c>
      <c r="S709" s="15">
        <v>4896.0</v>
      </c>
      <c r="T709" s="4"/>
      <c r="U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4" t="s">
        <v>2606</v>
      </c>
      <c r="L710" s="17">
        <f>IFERROR(__xludf.DUMMYFUNCTION("SPLIT(K:K, "" "")"),0.128583124185097)</f>
        <v>0.1285831242</v>
      </c>
      <c r="M710" s="4">
        <f>IFERROR(__xludf.DUMMYFUNCTION("""COMPUTED_VALUE"""),0.508652327078972)</f>
        <v>0.5086523271</v>
      </c>
      <c r="N710" s="15">
        <v>3272.0</v>
      </c>
      <c r="O710" s="4"/>
      <c r="P710" s="14" t="s">
        <v>2607</v>
      </c>
      <c r="Q710" s="17">
        <f>IFERROR(__xludf.DUMMYFUNCTION("SPLIT(P:P, "" "")"),0.116057036880111)</f>
        <v>0.1160570369</v>
      </c>
      <c r="R710" s="4">
        <f>IFERROR(__xludf.DUMMYFUNCTION("""COMPUTED_VALUE"""),0.378793504130839)</f>
        <v>0.3787935041</v>
      </c>
      <c r="S710" s="15">
        <v>4908.0</v>
      </c>
      <c r="T710" s="4"/>
      <c r="U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4" t="s">
        <v>2608</v>
      </c>
      <c r="L711" s="17">
        <f>IFERROR(__xludf.DUMMYFUNCTION("SPLIT(K:K, "" "")"),0.13131013545695)</f>
        <v>0.1313101355</v>
      </c>
      <c r="M711" s="4">
        <f>IFERROR(__xludf.DUMMYFUNCTION("""COMPUTED_VALUE"""),0.506362465607005)</f>
        <v>0.5063624656</v>
      </c>
      <c r="N711" s="15">
        <v>3280.0</v>
      </c>
      <c r="O711" s="4"/>
      <c r="P711" s="14" t="s">
        <v>2609</v>
      </c>
      <c r="Q711" s="17">
        <f>IFERROR(__xludf.DUMMYFUNCTION("SPLIT(P:P, "" "")"),0.112870543310214)</f>
        <v>0.1128705433</v>
      </c>
      <c r="R711" s="4">
        <f>IFERROR(__xludf.DUMMYFUNCTION("""COMPUTED_VALUE"""),0.386050023487457)</f>
        <v>0.3860500235</v>
      </c>
      <c r="S711" s="15">
        <v>4920.0</v>
      </c>
      <c r="T711" s="4"/>
      <c r="U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4" t="s">
        <v>2610</v>
      </c>
      <c r="L712" s="17">
        <f>IFERROR(__xludf.DUMMYFUNCTION("SPLIT(K:K, "" "")"),0.13049921647362)</f>
        <v>0.1304992165</v>
      </c>
      <c r="M712" s="4">
        <f>IFERROR(__xludf.DUMMYFUNCTION("""COMPUTED_VALUE"""),0.504670683473388)</f>
        <v>0.5046706835</v>
      </c>
      <c r="N712" s="15">
        <v>3288.0</v>
      </c>
      <c r="O712" s="4"/>
      <c r="P712" s="14" t="s">
        <v>2611</v>
      </c>
      <c r="Q712" s="17">
        <f>IFERROR(__xludf.DUMMYFUNCTION("SPLIT(P:P, "" "")"),0.114160465785954)</f>
        <v>0.1141604658</v>
      </c>
      <c r="R712" s="4">
        <f>IFERROR(__xludf.DUMMYFUNCTION("""COMPUTED_VALUE"""),0.377085032671123)</f>
        <v>0.3770850327</v>
      </c>
      <c r="S712" s="15">
        <v>4932.0</v>
      </c>
      <c r="T712" s="4"/>
      <c r="U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4" t="s">
        <v>2612</v>
      </c>
      <c r="L713" s="17">
        <f>IFERROR(__xludf.DUMMYFUNCTION("SPLIT(K:K, "" "")"),0.12876190265942)</f>
        <v>0.1287619027</v>
      </c>
      <c r="M713" s="4">
        <f>IFERROR(__xludf.DUMMYFUNCTION("""COMPUTED_VALUE"""),0.50809580708866)</f>
        <v>0.5080958071</v>
      </c>
      <c r="N713" s="15">
        <v>3296.0</v>
      </c>
      <c r="O713" s="4"/>
      <c r="P713" s="14" t="s">
        <v>2613</v>
      </c>
      <c r="Q713" s="17">
        <f>IFERROR(__xludf.DUMMYFUNCTION("SPLIT(P:P, "" "")"),0.112139158230363)</f>
        <v>0.1121391582</v>
      </c>
      <c r="R713" s="4">
        <f>IFERROR(__xludf.DUMMYFUNCTION("""COMPUTED_VALUE"""),0.384008222696839)</f>
        <v>0.3840082227</v>
      </c>
      <c r="S713" s="15">
        <v>4944.0</v>
      </c>
      <c r="T713" s="4"/>
      <c r="U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4" t="s">
        <v>2614</v>
      </c>
      <c r="L714" s="17">
        <f>IFERROR(__xludf.DUMMYFUNCTION("SPLIT(K:K, "" "")"),0.129301819371406)</f>
        <v>0.1293018194</v>
      </c>
      <c r="M714" s="4">
        <f>IFERROR(__xludf.DUMMYFUNCTION("""COMPUTED_VALUE"""),0.498759708566455)</f>
        <v>0.4987597086</v>
      </c>
      <c r="N714" s="15">
        <v>3304.0</v>
      </c>
      <c r="O714" s="4"/>
      <c r="P714" s="14" t="s">
        <v>2615</v>
      </c>
      <c r="Q714" s="17">
        <f>IFERROR(__xludf.DUMMYFUNCTION("SPLIT(P:P, "" "")"),0.112763946460683)</f>
        <v>0.1127639465</v>
      </c>
      <c r="R714" s="4">
        <f>IFERROR(__xludf.DUMMYFUNCTION("""COMPUTED_VALUE"""),0.381105465178782)</f>
        <v>0.3811054652</v>
      </c>
      <c r="S714" s="15">
        <v>4956.0</v>
      </c>
      <c r="T714" s="4"/>
      <c r="U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4" t="s">
        <v>2616</v>
      </c>
      <c r="L715" s="17">
        <f>IFERROR(__xludf.DUMMYFUNCTION("SPLIT(K:K, "" "")"),0.130409914147453)</f>
        <v>0.1304099141</v>
      </c>
      <c r="M715" s="4">
        <f>IFERROR(__xludf.DUMMYFUNCTION("""COMPUTED_VALUE"""),0.503180840545829)</f>
        <v>0.5031808405</v>
      </c>
      <c r="N715" s="15">
        <v>3312.0</v>
      </c>
      <c r="O715" s="4"/>
      <c r="P715" s="14" t="s">
        <v>2617</v>
      </c>
      <c r="Q715" s="17">
        <f>IFERROR(__xludf.DUMMYFUNCTION("SPLIT(P:P, "" "")"),0.112742704634584)</f>
        <v>0.1127427046</v>
      </c>
      <c r="R715" s="4">
        <f>IFERROR(__xludf.DUMMYFUNCTION("""COMPUTED_VALUE"""),0.383416791149532)</f>
        <v>0.3834167911</v>
      </c>
      <c r="S715" s="15">
        <v>4968.0</v>
      </c>
      <c r="T715" s="4"/>
      <c r="U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4" t="s">
        <v>2618</v>
      </c>
      <c r="L716" s="17">
        <f>IFERROR(__xludf.DUMMYFUNCTION("SPLIT(K:K, "" "")"),0.133099367687052)</f>
        <v>0.1330993677</v>
      </c>
      <c r="M716" s="4">
        <f>IFERROR(__xludf.DUMMYFUNCTION("""COMPUTED_VALUE"""),0.501122193089999)</f>
        <v>0.5011221931</v>
      </c>
      <c r="N716" s="15">
        <v>3320.0</v>
      </c>
      <c r="O716" s="4"/>
      <c r="P716" s="14" t="s">
        <v>2619</v>
      </c>
      <c r="Q716" s="17">
        <f>IFERROR(__xludf.DUMMYFUNCTION("SPLIT(P:P, "" "")"),0.119008127892235)</f>
        <v>0.1190081279</v>
      </c>
      <c r="R716" s="4">
        <f>IFERROR(__xludf.DUMMYFUNCTION("""COMPUTED_VALUE"""),0.389300244250254)</f>
        <v>0.3893002443</v>
      </c>
      <c r="S716" s="15">
        <v>4980.0</v>
      </c>
      <c r="T716" s="4"/>
      <c r="U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4" t="s">
        <v>2620</v>
      </c>
      <c r="L717" s="17">
        <f>IFERROR(__xludf.DUMMYFUNCTION("SPLIT(K:K, "" "")"),0.125560533911574)</f>
        <v>0.1255605339</v>
      </c>
      <c r="M717" s="4">
        <f>IFERROR(__xludf.DUMMYFUNCTION("""COMPUTED_VALUE"""),0.502181967068237)</f>
        <v>0.5021819671</v>
      </c>
      <c r="N717" s="15">
        <v>3328.0</v>
      </c>
      <c r="O717" s="4"/>
      <c r="P717" s="14" t="s">
        <v>2621</v>
      </c>
      <c r="Q717" s="17">
        <f>IFERROR(__xludf.DUMMYFUNCTION("SPLIT(P:P, "" "")"),0.111522048086592)</f>
        <v>0.1115220481</v>
      </c>
      <c r="R717" s="4">
        <f>IFERROR(__xludf.DUMMYFUNCTION("""COMPUTED_VALUE"""),0.381482054391459)</f>
        <v>0.3814820544</v>
      </c>
      <c r="S717" s="15">
        <v>4992.0</v>
      </c>
      <c r="T717" s="4"/>
      <c r="U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4" t="s">
        <v>2622</v>
      </c>
      <c r="L718" s="17">
        <f>IFERROR(__xludf.DUMMYFUNCTION("SPLIT(K:K, "" "")"),0.131414384997725)</f>
        <v>0.131414385</v>
      </c>
      <c r="M718" s="4">
        <f>IFERROR(__xludf.DUMMYFUNCTION("""COMPUTED_VALUE"""),0.508112763713519)</f>
        <v>0.5081127637</v>
      </c>
      <c r="N718" s="15">
        <v>3336.0</v>
      </c>
      <c r="O718" s="4"/>
      <c r="P718" s="14" t="s">
        <v>2623</v>
      </c>
      <c r="Q718" s="17">
        <f>IFERROR(__xludf.DUMMYFUNCTION("SPLIT(P:P, "" "")"),0.114385977119859)</f>
        <v>0.1143859771</v>
      </c>
      <c r="R718" s="4">
        <f>IFERROR(__xludf.DUMMYFUNCTION("""COMPUTED_VALUE"""),0.389121603112659)</f>
        <v>0.3891216031</v>
      </c>
      <c r="S718" s="15">
        <v>5004.0</v>
      </c>
      <c r="T718" s="4"/>
      <c r="U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4" t="s">
        <v>2624</v>
      </c>
      <c r="L719" s="17">
        <f>IFERROR(__xludf.DUMMYFUNCTION("SPLIT(K:K, "" "")"),0.130096255474167)</f>
        <v>0.1300962555</v>
      </c>
      <c r="M719" s="4">
        <f>IFERROR(__xludf.DUMMYFUNCTION("""COMPUTED_VALUE"""),0.500870859801636)</f>
        <v>0.5008708598</v>
      </c>
      <c r="N719" s="15">
        <v>3344.0</v>
      </c>
      <c r="O719" s="4"/>
      <c r="P719" s="14" t="s">
        <v>2625</v>
      </c>
      <c r="Q719" s="17">
        <f>IFERROR(__xludf.DUMMYFUNCTION("SPLIT(P:P, "" "")"),0.112775662122853)</f>
        <v>0.1127756621</v>
      </c>
      <c r="R719" s="4">
        <f>IFERROR(__xludf.DUMMYFUNCTION("""COMPUTED_VALUE"""),0.381562541443075)</f>
        <v>0.3815625414</v>
      </c>
      <c r="S719" s="15">
        <v>5016.0</v>
      </c>
      <c r="T719" s="4"/>
      <c r="U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4" t="s">
        <v>2626</v>
      </c>
      <c r="L720" s="17">
        <f>IFERROR(__xludf.DUMMYFUNCTION("SPLIT(K:K, "" "")"),0.127062933155652)</f>
        <v>0.1270629332</v>
      </c>
      <c r="M720" s="4">
        <f>IFERROR(__xludf.DUMMYFUNCTION("""COMPUTED_VALUE"""),0.507468468363216)</f>
        <v>0.5074684684</v>
      </c>
      <c r="N720" s="15">
        <v>3352.0</v>
      </c>
      <c r="O720" s="4"/>
      <c r="P720" s="14" t="s">
        <v>2627</v>
      </c>
      <c r="Q720" s="17">
        <f>IFERROR(__xludf.DUMMYFUNCTION("SPLIT(P:P, "" "")"),0.11213556480181)</f>
        <v>0.1121355648</v>
      </c>
      <c r="R720" s="4">
        <f>IFERROR(__xludf.DUMMYFUNCTION("""COMPUTED_VALUE"""),0.38351817825112)</f>
        <v>0.3835181783</v>
      </c>
      <c r="S720" s="15">
        <v>5028.0</v>
      </c>
      <c r="T720" s="4"/>
      <c r="U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4" t="s">
        <v>2628</v>
      </c>
      <c r="L721" s="17">
        <f>IFERROR(__xludf.DUMMYFUNCTION("SPLIT(K:K, "" "")"),0.129791276973699)</f>
        <v>0.129791277</v>
      </c>
      <c r="M721" s="4">
        <f>IFERROR(__xludf.DUMMYFUNCTION("""COMPUTED_VALUE"""),0.51137075548017)</f>
        <v>0.5113707555</v>
      </c>
      <c r="N721" s="15">
        <v>3360.0</v>
      </c>
      <c r="O721" s="4"/>
      <c r="P721" s="14" t="s">
        <v>2629</v>
      </c>
      <c r="Q721" s="17">
        <f>IFERROR(__xludf.DUMMYFUNCTION("SPLIT(P:P, "" "")"),0.113411319488611)</f>
        <v>0.1134113195</v>
      </c>
      <c r="R721" s="4">
        <f>IFERROR(__xludf.DUMMYFUNCTION("""COMPUTED_VALUE"""),0.385565046532589)</f>
        <v>0.3855650465</v>
      </c>
      <c r="S721" s="15">
        <v>5040.0</v>
      </c>
      <c r="T721" s="4"/>
      <c r="U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4" t="s">
        <v>2630</v>
      </c>
      <c r="L722" s="17">
        <f>IFERROR(__xludf.DUMMYFUNCTION("SPLIT(K:K, "" "")"),0.130126377593938)</f>
        <v>0.1301263776</v>
      </c>
      <c r="M722" s="4">
        <f>IFERROR(__xludf.DUMMYFUNCTION("""COMPUTED_VALUE"""),0.505389269370909)</f>
        <v>0.5053892694</v>
      </c>
      <c r="N722" s="15">
        <v>3368.0</v>
      </c>
      <c r="O722" s="4"/>
      <c r="P722" s="14" t="s">
        <v>2631</v>
      </c>
      <c r="Q722" s="17">
        <f>IFERROR(__xludf.DUMMYFUNCTION("SPLIT(P:P, "" "")"),0.1121784058808)</f>
        <v>0.1121784059</v>
      </c>
      <c r="R722" s="4">
        <f>IFERROR(__xludf.DUMMYFUNCTION("""COMPUTED_VALUE"""),0.375060520938799)</f>
        <v>0.3750605209</v>
      </c>
      <c r="S722" s="15">
        <v>5052.0</v>
      </c>
      <c r="T722" s="4"/>
      <c r="U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4" t="s">
        <v>2632</v>
      </c>
      <c r="L723" s="17">
        <f>IFERROR(__xludf.DUMMYFUNCTION("SPLIT(K:K, "" "")"),0.125594885114846)</f>
        <v>0.1255948851</v>
      </c>
      <c r="M723" s="4">
        <f>IFERROR(__xludf.DUMMYFUNCTION("""COMPUTED_VALUE"""),0.496409554516418)</f>
        <v>0.4964095545</v>
      </c>
      <c r="N723" s="15">
        <v>3376.0</v>
      </c>
      <c r="O723" s="4"/>
      <c r="P723" s="14" t="s">
        <v>2633</v>
      </c>
      <c r="Q723" s="17">
        <f>IFERROR(__xludf.DUMMYFUNCTION("SPLIT(P:P, "" "")"),0.1115678304058)</f>
        <v>0.1115678304</v>
      </c>
      <c r="R723" s="4">
        <f>IFERROR(__xludf.DUMMYFUNCTION("""COMPUTED_VALUE"""),0.383534382508027)</f>
        <v>0.3835343825</v>
      </c>
      <c r="S723" s="15">
        <v>5064.0</v>
      </c>
      <c r="T723" s="4"/>
      <c r="U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4" t="s">
        <v>2634</v>
      </c>
      <c r="L724" s="17">
        <f>IFERROR(__xludf.DUMMYFUNCTION("SPLIT(K:K, "" "")"),0.126700858935171)</f>
        <v>0.1267008589</v>
      </c>
      <c r="M724" s="4">
        <f>IFERROR(__xludf.DUMMYFUNCTION("""COMPUTED_VALUE"""),0.508482148154997)</f>
        <v>0.5084821482</v>
      </c>
      <c r="N724" s="15">
        <v>3384.0</v>
      </c>
      <c r="O724" s="4"/>
      <c r="P724" s="14" t="s">
        <v>2635</v>
      </c>
      <c r="Q724" s="17">
        <f>IFERROR(__xludf.DUMMYFUNCTION("SPLIT(P:P, "" "")"),0.110359108241181)</f>
        <v>0.1103591082</v>
      </c>
      <c r="R724" s="4">
        <f>IFERROR(__xludf.DUMMYFUNCTION("""COMPUTED_VALUE"""),0.38169119983692)</f>
        <v>0.3816911998</v>
      </c>
      <c r="S724" s="15">
        <v>5076.0</v>
      </c>
      <c r="T724" s="4"/>
      <c r="U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4" t="s">
        <v>2636</v>
      </c>
      <c r="L725" s="17">
        <f>IFERROR(__xludf.DUMMYFUNCTION("SPLIT(K:K, "" "")"),0.126760566347825)</f>
        <v>0.1267605663</v>
      </c>
      <c r="M725" s="4">
        <f>IFERROR(__xludf.DUMMYFUNCTION("""COMPUTED_VALUE"""),0.497651815152932)</f>
        <v>0.4976518152</v>
      </c>
      <c r="N725" s="15">
        <v>3392.0</v>
      </c>
      <c r="O725" s="4"/>
      <c r="P725" s="14" t="s">
        <v>2637</v>
      </c>
      <c r="Q725" s="17">
        <f>IFERROR(__xludf.DUMMYFUNCTION("SPLIT(P:P, "" "")"),0.11092684090819)</f>
        <v>0.1109268409</v>
      </c>
      <c r="R725" s="4">
        <f>IFERROR(__xludf.DUMMYFUNCTION("""COMPUTED_VALUE"""),0.386026009272903)</f>
        <v>0.3860260093</v>
      </c>
      <c r="S725" s="15">
        <v>5088.0</v>
      </c>
      <c r="T725" s="4"/>
      <c r="U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4" t="s">
        <v>2638</v>
      </c>
      <c r="L726" s="17">
        <f>IFERROR(__xludf.DUMMYFUNCTION("SPLIT(K:K, "" "")"),0.123334144702513)</f>
        <v>0.1233341447</v>
      </c>
      <c r="M726" s="4">
        <f>IFERROR(__xludf.DUMMYFUNCTION("""COMPUTED_VALUE"""),0.502339918329003)</f>
        <v>0.5023399183</v>
      </c>
      <c r="N726" s="15">
        <v>3400.0</v>
      </c>
      <c r="O726" s="4"/>
      <c r="P726" s="14" t="s">
        <v>2639</v>
      </c>
      <c r="Q726" s="17">
        <f>IFERROR(__xludf.DUMMYFUNCTION("SPLIT(P:P, "" "")"),0.111677105927117)</f>
        <v>0.1116771059</v>
      </c>
      <c r="R726" s="4">
        <f>IFERROR(__xludf.DUMMYFUNCTION("""COMPUTED_VALUE"""),0.390560301286104)</f>
        <v>0.3905603013</v>
      </c>
      <c r="S726" s="15">
        <v>5100.0</v>
      </c>
      <c r="T726" s="4"/>
      <c r="U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4" t="s">
        <v>2640</v>
      </c>
      <c r="L727" s="17">
        <f>IFERROR(__xludf.DUMMYFUNCTION("SPLIT(K:K, "" "")"),0.132747554145392)</f>
        <v>0.1327475541</v>
      </c>
      <c r="M727" s="4">
        <f>IFERROR(__xludf.DUMMYFUNCTION("""COMPUTED_VALUE"""),0.511613719562434)</f>
        <v>0.5116137196</v>
      </c>
      <c r="N727" s="15">
        <v>3408.0</v>
      </c>
      <c r="O727" s="4"/>
      <c r="P727" s="14" t="s">
        <v>2641</v>
      </c>
      <c r="Q727" s="17">
        <f>IFERROR(__xludf.DUMMYFUNCTION("SPLIT(P:P, "" "")"),0.111657562457691)</f>
        <v>0.1116575625</v>
      </c>
      <c r="R727" s="4">
        <f>IFERROR(__xludf.DUMMYFUNCTION("""COMPUTED_VALUE"""),0.379208360838065)</f>
        <v>0.3792083608</v>
      </c>
      <c r="S727" s="15">
        <v>5112.0</v>
      </c>
      <c r="T727" s="4"/>
      <c r="U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4" t="s">
        <v>2642</v>
      </c>
      <c r="L728" s="17">
        <f>IFERROR(__xludf.DUMMYFUNCTION("SPLIT(K:K, "" "")"),0.126705411612417)</f>
        <v>0.1267054116</v>
      </c>
      <c r="M728" s="4">
        <f>IFERROR(__xludf.DUMMYFUNCTION("""COMPUTED_VALUE"""),0.505739664403275)</f>
        <v>0.5057396644</v>
      </c>
      <c r="N728" s="15">
        <v>3416.0</v>
      </c>
      <c r="O728" s="4"/>
      <c r="P728" s="14" t="s">
        <v>2643</v>
      </c>
      <c r="Q728" s="17">
        <f>IFERROR(__xludf.DUMMYFUNCTION("SPLIT(P:P, "" "")"),0.113322904715967)</f>
        <v>0.1133229047</v>
      </c>
      <c r="R728" s="4">
        <f>IFERROR(__xludf.DUMMYFUNCTION("""COMPUTED_VALUE"""),0.386666261246117)</f>
        <v>0.3866662612</v>
      </c>
      <c r="S728" s="15">
        <v>5124.0</v>
      </c>
      <c r="T728" s="4"/>
      <c r="U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4" t="s">
        <v>2644</v>
      </c>
      <c r="L729" s="17">
        <f>IFERROR(__xludf.DUMMYFUNCTION("SPLIT(K:K, "" "")"),0.124979690402185)</f>
        <v>0.1249796904</v>
      </c>
      <c r="M729" s="4">
        <f>IFERROR(__xludf.DUMMYFUNCTION("""COMPUTED_VALUE"""),0.499602416752348)</f>
        <v>0.4996024168</v>
      </c>
      <c r="N729" s="15">
        <v>3424.0</v>
      </c>
      <c r="O729" s="4"/>
      <c r="P729" s="14" t="s">
        <v>2645</v>
      </c>
      <c r="Q729" s="17">
        <f>IFERROR(__xludf.DUMMYFUNCTION("SPLIT(P:P, "" "")"),0.111155747940919)</f>
        <v>0.1111557479</v>
      </c>
      <c r="R729" s="4">
        <f>IFERROR(__xludf.DUMMYFUNCTION("""COMPUTED_VALUE"""),0.379185378539492)</f>
        <v>0.3791853785</v>
      </c>
      <c r="S729" s="15">
        <v>5136.0</v>
      </c>
      <c r="T729" s="4"/>
      <c r="U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4" t="s">
        <v>2646</v>
      </c>
      <c r="L730" s="17">
        <f>IFERROR(__xludf.DUMMYFUNCTION("SPLIT(K:K, "" "")"),0.126525362632938)</f>
        <v>0.1265253626</v>
      </c>
      <c r="M730" s="4">
        <f>IFERROR(__xludf.DUMMYFUNCTION("""COMPUTED_VALUE"""),0.503308872262877)</f>
        <v>0.5033088723</v>
      </c>
      <c r="N730" s="15">
        <v>3432.0</v>
      </c>
      <c r="O730" s="4"/>
      <c r="P730" s="14" t="s">
        <v>2647</v>
      </c>
      <c r="Q730" s="17">
        <f>IFERROR(__xludf.DUMMYFUNCTION("SPLIT(P:P, "" "")"),0.11063122580134)</f>
        <v>0.1106312258</v>
      </c>
      <c r="R730" s="4">
        <f>IFERROR(__xludf.DUMMYFUNCTION("""COMPUTED_VALUE"""),0.384714865202228)</f>
        <v>0.3847148652</v>
      </c>
      <c r="S730" s="15">
        <v>5148.0</v>
      </c>
      <c r="T730" s="4"/>
      <c r="U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4" t="s">
        <v>2648</v>
      </c>
      <c r="L731" s="17">
        <f>IFERROR(__xludf.DUMMYFUNCTION("SPLIT(K:K, "" "")"),0.125422922270262)</f>
        <v>0.1254229223</v>
      </c>
      <c r="M731" s="4">
        <f>IFERROR(__xludf.DUMMYFUNCTION("""COMPUTED_VALUE"""),0.499531502046149)</f>
        <v>0.499531502</v>
      </c>
      <c r="N731" s="15">
        <v>3440.0</v>
      </c>
      <c r="O731" s="4"/>
      <c r="P731" s="14" t="s">
        <v>2649</v>
      </c>
      <c r="Q731" s="17">
        <f>IFERROR(__xludf.DUMMYFUNCTION("SPLIT(P:P, "" "")"),0.111023756832285)</f>
        <v>0.1110237568</v>
      </c>
      <c r="R731" s="4">
        <f>IFERROR(__xludf.DUMMYFUNCTION("""COMPUTED_VALUE"""),0.382998908197003)</f>
        <v>0.3829989082</v>
      </c>
      <c r="S731" s="15">
        <v>5160.0</v>
      </c>
      <c r="T731" s="4"/>
      <c r="U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4" t="s">
        <v>2650</v>
      </c>
      <c r="L732" s="17">
        <f>IFERROR(__xludf.DUMMYFUNCTION("SPLIT(K:K, "" "")"),0.125766393119981)</f>
        <v>0.1257663931</v>
      </c>
      <c r="M732" s="4">
        <f>IFERROR(__xludf.DUMMYFUNCTION("""COMPUTED_VALUE"""),0.510725352433917)</f>
        <v>0.5107253524</v>
      </c>
      <c r="N732" s="15">
        <v>3448.0</v>
      </c>
      <c r="O732" s="4"/>
      <c r="P732" s="14" t="s">
        <v>2651</v>
      </c>
      <c r="Q732" s="17">
        <f>IFERROR(__xludf.DUMMYFUNCTION("SPLIT(P:P, "" "")"),0.113796712249361)</f>
        <v>0.1137967122</v>
      </c>
      <c r="R732" s="4">
        <f>IFERROR(__xludf.DUMMYFUNCTION("""COMPUTED_VALUE"""),0.384492647092775)</f>
        <v>0.3844926471</v>
      </c>
      <c r="S732" s="15">
        <v>5172.0</v>
      </c>
      <c r="T732" s="4"/>
      <c r="U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4" t="s">
        <v>2652</v>
      </c>
      <c r="L733" s="17">
        <f>IFERROR(__xludf.DUMMYFUNCTION("SPLIT(K:K, "" "")"),0.126905274743423)</f>
        <v>0.1269052747</v>
      </c>
      <c r="M733" s="4">
        <f>IFERROR(__xludf.DUMMYFUNCTION("""COMPUTED_VALUE"""),0.502122249260079)</f>
        <v>0.5021222493</v>
      </c>
      <c r="N733" s="15">
        <v>3456.0</v>
      </c>
      <c r="O733" s="4"/>
      <c r="P733" s="14" t="s">
        <v>2653</v>
      </c>
      <c r="Q733" s="17">
        <f>IFERROR(__xludf.DUMMYFUNCTION("SPLIT(P:P, "" "")"),0.119259739222707)</f>
        <v>0.1192597392</v>
      </c>
      <c r="R733" s="4">
        <f>IFERROR(__xludf.DUMMYFUNCTION("""COMPUTED_VALUE"""),0.386046300353224)</f>
        <v>0.3860463004</v>
      </c>
      <c r="S733" s="15">
        <v>5184.0</v>
      </c>
      <c r="T733" s="4"/>
      <c r="U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4" t="s">
        <v>2654</v>
      </c>
      <c r="L734" s="17">
        <f>IFERROR(__xludf.DUMMYFUNCTION("SPLIT(K:K, "" "")"),0.128612760402683)</f>
        <v>0.1286127604</v>
      </c>
      <c r="M734" s="4">
        <f>IFERROR(__xludf.DUMMYFUNCTION("""COMPUTED_VALUE"""),0.504685599820776)</f>
        <v>0.5046855998</v>
      </c>
      <c r="N734" s="15">
        <v>3464.0</v>
      </c>
      <c r="O734" s="4"/>
      <c r="P734" s="14" t="s">
        <v>2655</v>
      </c>
      <c r="Q734" s="17">
        <f>IFERROR(__xludf.DUMMYFUNCTION("SPLIT(P:P, "" "")"),0.112538230499461)</f>
        <v>0.1125382305</v>
      </c>
      <c r="R734" s="4">
        <f>IFERROR(__xludf.DUMMYFUNCTION("""COMPUTED_VALUE"""),0.38833430057659)</f>
        <v>0.3883343006</v>
      </c>
      <c r="S734" s="15">
        <v>5196.0</v>
      </c>
      <c r="T734" s="4"/>
      <c r="U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4" t="s">
        <v>2656</v>
      </c>
      <c r="L735" s="17">
        <f>IFERROR(__xludf.DUMMYFUNCTION("SPLIT(K:K, "" "")"),0.125339062400984)</f>
        <v>0.1253390624</v>
      </c>
      <c r="M735" s="4">
        <f>IFERROR(__xludf.DUMMYFUNCTION("""COMPUTED_VALUE"""),0.508539856749361)</f>
        <v>0.5085398567</v>
      </c>
      <c r="N735" s="15">
        <v>3472.0</v>
      </c>
      <c r="O735" s="4"/>
      <c r="P735" s="14" t="s">
        <v>2657</v>
      </c>
      <c r="Q735" s="17">
        <f>IFERROR(__xludf.DUMMYFUNCTION("SPLIT(P:P, "" "")"),0.109635984153715)</f>
        <v>0.1096359842</v>
      </c>
      <c r="R735" s="4">
        <f>IFERROR(__xludf.DUMMYFUNCTION("""COMPUTED_VALUE"""),0.380319557539468)</f>
        <v>0.3803195575</v>
      </c>
      <c r="S735" s="15">
        <v>5208.0</v>
      </c>
      <c r="T735" s="4"/>
      <c r="U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4" t="s">
        <v>2658</v>
      </c>
      <c r="L736" s="17">
        <f>IFERROR(__xludf.DUMMYFUNCTION("SPLIT(K:K, "" "")"),0.126191105932158)</f>
        <v>0.1261911059</v>
      </c>
      <c r="M736" s="4">
        <f>IFERROR(__xludf.DUMMYFUNCTION("""COMPUTED_VALUE"""),0.503752252642583)</f>
        <v>0.5037522526</v>
      </c>
      <c r="N736" s="15">
        <v>3480.0</v>
      </c>
      <c r="O736" s="4"/>
      <c r="P736" s="14" t="s">
        <v>2659</v>
      </c>
      <c r="Q736" s="17">
        <f>IFERROR(__xludf.DUMMYFUNCTION("SPLIT(P:P, "" "")"),0.110870992168929)</f>
        <v>0.1108709922</v>
      </c>
      <c r="R736" s="4">
        <f>IFERROR(__xludf.DUMMYFUNCTION("""COMPUTED_VALUE"""),0.38233862211134)</f>
        <v>0.3823386221</v>
      </c>
      <c r="S736" s="15">
        <v>5220.0</v>
      </c>
      <c r="T736" s="4"/>
      <c r="U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4" t="s">
        <v>2660</v>
      </c>
      <c r="L737" s="17">
        <f>IFERROR(__xludf.DUMMYFUNCTION("SPLIT(K:K, "" "")"),0.129072305409671)</f>
        <v>0.1290723054</v>
      </c>
      <c r="M737" s="4">
        <f>IFERROR(__xludf.DUMMYFUNCTION("""COMPUTED_VALUE"""),0.509748039255717)</f>
        <v>0.5097480393</v>
      </c>
      <c r="N737" s="15">
        <v>3488.0</v>
      </c>
      <c r="O737" s="4"/>
      <c r="P737" s="14" t="s">
        <v>2661</v>
      </c>
      <c r="Q737" s="17">
        <f>IFERROR(__xludf.DUMMYFUNCTION("SPLIT(P:P, "" "")"),0.110763365098329)</f>
        <v>0.1107633651</v>
      </c>
      <c r="R737" s="4">
        <f>IFERROR(__xludf.DUMMYFUNCTION("""COMPUTED_VALUE"""),0.374117173840037)</f>
        <v>0.3741171738</v>
      </c>
      <c r="S737" s="15">
        <v>5232.0</v>
      </c>
      <c r="T737" s="4"/>
      <c r="U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4" t="s">
        <v>2662</v>
      </c>
      <c r="L738" s="17">
        <f>IFERROR(__xludf.DUMMYFUNCTION("SPLIT(K:K, "" "")"),0.122220336910089)</f>
        <v>0.1222203369</v>
      </c>
      <c r="M738" s="4">
        <f>IFERROR(__xludf.DUMMYFUNCTION("""COMPUTED_VALUE"""),0.507033228813593)</f>
        <v>0.5070332288</v>
      </c>
      <c r="N738" s="15">
        <v>3496.0</v>
      </c>
      <c r="O738" s="4"/>
      <c r="P738" s="14" t="s">
        <v>2663</v>
      </c>
      <c r="Q738" s="17">
        <f>IFERROR(__xludf.DUMMYFUNCTION("SPLIT(P:P, "" "")"),0.108608460813626)</f>
        <v>0.1086084608</v>
      </c>
      <c r="R738" s="4">
        <f>IFERROR(__xludf.DUMMYFUNCTION("""COMPUTED_VALUE"""),0.381130211527024)</f>
        <v>0.3811302115</v>
      </c>
      <c r="S738" s="15">
        <v>5244.0</v>
      </c>
      <c r="T738" s="4"/>
      <c r="U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4" t="s">
        <v>2664</v>
      </c>
      <c r="L739" s="17">
        <f>IFERROR(__xludf.DUMMYFUNCTION("SPLIT(K:K, "" "")"),0.12531979179189)</f>
        <v>0.1253197918</v>
      </c>
      <c r="M739" s="4">
        <f>IFERROR(__xludf.DUMMYFUNCTION("""COMPUTED_VALUE"""),0.510889524272892)</f>
        <v>0.5108895243</v>
      </c>
      <c r="N739" s="15">
        <v>3504.0</v>
      </c>
      <c r="O739" s="4"/>
      <c r="P739" s="14" t="s">
        <v>2665</v>
      </c>
      <c r="Q739" s="17">
        <f>IFERROR(__xludf.DUMMYFUNCTION("SPLIT(P:P, "" "")"),0.110162860322552)</f>
        <v>0.1101628603</v>
      </c>
      <c r="R739" s="4">
        <f>IFERROR(__xludf.DUMMYFUNCTION("""COMPUTED_VALUE"""),0.386336176275874)</f>
        <v>0.3863361763</v>
      </c>
      <c r="S739" s="15">
        <v>5256.0</v>
      </c>
      <c r="T739" s="4"/>
      <c r="U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4" t="s">
        <v>2666</v>
      </c>
      <c r="L740" s="17">
        <f>IFERROR(__xludf.DUMMYFUNCTION("SPLIT(K:K, "" "")"),0.122755369650959)</f>
        <v>0.1227553697</v>
      </c>
      <c r="M740" s="4">
        <f>IFERROR(__xludf.DUMMYFUNCTION("""COMPUTED_VALUE"""),0.505480944382909)</f>
        <v>0.5054809444</v>
      </c>
      <c r="N740" s="15">
        <v>3512.0</v>
      </c>
      <c r="O740" s="4"/>
      <c r="P740" s="14" t="s">
        <v>2667</v>
      </c>
      <c r="Q740" s="17">
        <f>IFERROR(__xludf.DUMMYFUNCTION("SPLIT(P:P, "" "")"),0.110344865201135)</f>
        <v>0.1103448652</v>
      </c>
      <c r="R740" s="4">
        <f>IFERROR(__xludf.DUMMYFUNCTION("""COMPUTED_VALUE"""),0.3837093804035)</f>
        <v>0.3837093804</v>
      </c>
      <c r="S740" s="15">
        <v>5268.0</v>
      </c>
      <c r="T740" s="4"/>
      <c r="U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4" t="s">
        <v>2668</v>
      </c>
      <c r="L741" s="17">
        <f>IFERROR(__xludf.DUMMYFUNCTION("SPLIT(K:K, "" "")"),0.122256839084595)</f>
        <v>0.1222568391</v>
      </c>
      <c r="M741" s="4">
        <f>IFERROR(__xludf.DUMMYFUNCTION("""COMPUTED_VALUE"""),0.507006996149782)</f>
        <v>0.5070069961</v>
      </c>
      <c r="N741" s="15">
        <v>3520.0</v>
      </c>
      <c r="O741" s="4"/>
      <c r="P741" s="14" t="s">
        <v>2669</v>
      </c>
      <c r="Q741" s="17">
        <f>IFERROR(__xludf.DUMMYFUNCTION("SPLIT(P:P, "" "")"),0.111038078628633)</f>
        <v>0.1110380786</v>
      </c>
      <c r="R741" s="4">
        <f>IFERROR(__xludf.DUMMYFUNCTION("""COMPUTED_VALUE"""),0.378250055756795)</f>
        <v>0.3782500558</v>
      </c>
      <c r="S741" s="15">
        <v>5280.0</v>
      </c>
      <c r="T741" s="4"/>
      <c r="U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4" t="s">
        <v>2670</v>
      </c>
      <c r="L742" s="17">
        <f>IFERROR(__xludf.DUMMYFUNCTION("SPLIT(K:K, "" "")"),0.123422811871442)</f>
        <v>0.1234228119</v>
      </c>
      <c r="M742" s="4">
        <f>IFERROR(__xludf.DUMMYFUNCTION("""COMPUTED_VALUE"""),0.506612336067817)</f>
        <v>0.5066123361</v>
      </c>
      <c r="N742" s="15">
        <v>3528.0</v>
      </c>
      <c r="O742" s="4"/>
      <c r="P742" s="14" t="s">
        <v>2671</v>
      </c>
      <c r="Q742" s="17">
        <f>IFERROR(__xludf.DUMMYFUNCTION("SPLIT(P:P, "" "")"),0.109195262531923)</f>
        <v>0.1091952625</v>
      </c>
      <c r="R742" s="4">
        <f>IFERROR(__xludf.DUMMYFUNCTION("""COMPUTED_VALUE"""),0.378501048001325)</f>
        <v>0.378501048</v>
      </c>
      <c r="S742" s="15">
        <v>5292.0</v>
      </c>
      <c r="T742" s="4"/>
      <c r="U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4" t="s">
        <v>2672</v>
      </c>
      <c r="L743" s="17">
        <f>IFERROR(__xludf.DUMMYFUNCTION("SPLIT(K:K, "" "")"),0.124424376805474)</f>
        <v>0.1244243768</v>
      </c>
      <c r="M743" s="4">
        <f>IFERROR(__xludf.DUMMYFUNCTION("""COMPUTED_VALUE"""),0.508034065874563)</f>
        <v>0.5080340659</v>
      </c>
      <c r="N743" s="15">
        <v>3536.0</v>
      </c>
      <c r="O743" s="4"/>
      <c r="P743" s="14" t="s">
        <v>2673</v>
      </c>
      <c r="Q743" s="17">
        <f>IFERROR(__xludf.DUMMYFUNCTION("SPLIT(P:P, "" "")"),0.108151672691711)</f>
        <v>0.1081516727</v>
      </c>
      <c r="R743" s="4">
        <f>IFERROR(__xludf.DUMMYFUNCTION("""COMPUTED_VALUE"""),0.378074101930447)</f>
        <v>0.3780741019</v>
      </c>
      <c r="S743" s="15">
        <v>5304.0</v>
      </c>
      <c r="T743" s="4"/>
      <c r="U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4" t="s">
        <v>2674</v>
      </c>
      <c r="L744" s="17">
        <f>IFERROR(__xludf.DUMMYFUNCTION("SPLIT(K:K, "" "")"),0.123869785690706)</f>
        <v>0.1238697857</v>
      </c>
      <c r="M744" s="4">
        <f>IFERROR(__xludf.DUMMYFUNCTION("""COMPUTED_VALUE"""),0.516614763147284)</f>
        <v>0.5166147631</v>
      </c>
      <c r="N744" s="15">
        <v>3544.0</v>
      </c>
      <c r="O744" s="4"/>
      <c r="P744" s="14" t="s">
        <v>2675</v>
      </c>
      <c r="Q744" s="17">
        <f>IFERROR(__xludf.DUMMYFUNCTION("SPLIT(P:P, "" "")"),0.109240453941201)</f>
        <v>0.1092404539</v>
      </c>
      <c r="R744" s="4">
        <f>IFERROR(__xludf.DUMMYFUNCTION("""COMPUTED_VALUE"""),0.377541868445166)</f>
        <v>0.3775418684</v>
      </c>
      <c r="S744" s="15">
        <v>5316.0</v>
      </c>
      <c r="T744" s="4"/>
      <c r="U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4" t="s">
        <v>2676</v>
      </c>
      <c r="L745" s="17">
        <f>IFERROR(__xludf.DUMMYFUNCTION("SPLIT(K:K, "" "")"),0.122388525178034)</f>
        <v>0.1223885252</v>
      </c>
      <c r="M745" s="4">
        <f>IFERROR(__xludf.DUMMYFUNCTION("""COMPUTED_VALUE"""),0.508723611659284)</f>
        <v>0.5087236117</v>
      </c>
      <c r="N745" s="15">
        <v>3552.0</v>
      </c>
      <c r="O745" s="4"/>
      <c r="P745" s="14" t="s">
        <v>2677</v>
      </c>
      <c r="Q745" s="17">
        <f>IFERROR(__xludf.DUMMYFUNCTION("SPLIT(P:P, "" "")"),0.10670492352337)</f>
        <v>0.1067049235</v>
      </c>
      <c r="R745" s="4">
        <f>IFERROR(__xludf.DUMMYFUNCTION("""COMPUTED_VALUE"""),0.380446260667305)</f>
        <v>0.3804462607</v>
      </c>
      <c r="S745" s="15">
        <v>5328.0</v>
      </c>
      <c r="T745" s="4"/>
      <c r="U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4" t="s">
        <v>2678</v>
      </c>
      <c r="L746" s="17">
        <f>IFERROR(__xludf.DUMMYFUNCTION("SPLIT(K:K, "" "")"),0.127612741717592)</f>
        <v>0.1276127417</v>
      </c>
      <c r="M746" s="4">
        <f>IFERROR(__xludf.DUMMYFUNCTION("""COMPUTED_VALUE"""),0.510597793475821)</f>
        <v>0.5105977935</v>
      </c>
      <c r="N746" s="15">
        <v>3560.0</v>
      </c>
      <c r="O746" s="4"/>
      <c r="P746" s="14" t="s">
        <v>2679</v>
      </c>
      <c r="Q746" s="17">
        <f>IFERROR(__xludf.DUMMYFUNCTION("SPLIT(P:P, "" "")"),0.111663144881802)</f>
        <v>0.1116631449</v>
      </c>
      <c r="R746" s="4">
        <f>IFERROR(__xludf.DUMMYFUNCTION("""COMPUTED_VALUE"""),0.383038960711424)</f>
        <v>0.3830389607</v>
      </c>
      <c r="S746" s="15">
        <v>5340.0</v>
      </c>
      <c r="T746" s="4"/>
      <c r="U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4" t="s">
        <v>2680</v>
      </c>
      <c r="L747" s="17">
        <f>IFERROR(__xludf.DUMMYFUNCTION("SPLIT(K:K, "" "")"),0.124462478326199)</f>
        <v>0.1244624783</v>
      </c>
      <c r="M747" s="4">
        <f>IFERROR(__xludf.DUMMYFUNCTION("""COMPUTED_VALUE"""),0.518131052236589)</f>
        <v>0.5181310522</v>
      </c>
      <c r="N747" s="15">
        <v>3568.0</v>
      </c>
      <c r="O747" s="4"/>
      <c r="P747" s="14" t="s">
        <v>2681</v>
      </c>
      <c r="Q747" s="17">
        <f>IFERROR(__xludf.DUMMYFUNCTION("SPLIT(P:P, "" "")"),0.111738679766465)</f>
        <v>0.1117386798</v>
      </c>
      <c r="R747" s="4">
        <f>IFERROR(__xludf.DUMMYFUNCTION("""COMPUTED_VALUE"""),0.385019227813081)</f>
        <v>0.3850192278</v>
      </c>
      <c r="S747" s="15">
        <v>5352.0</v>
      </c>
      <c r="T747" s="4"/>
      <c r="U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4" t="s">
        <v>2682</v>
      </c>
      <c r="L748" s="17">
        <f>IFERROR(__xludf.DUMMYFUNCTION("SPLIT(K:K, "" "")"),0.123875282766906)</f>
        <v>0.1238752828</v>
      </c>
      <c r="M748" s="4">
        <f>IFERROR(__xludf.DUMMYFUNCTION("""COMPUTED_VALUE"""),0.514259101484296)</f>
        <v>0.5142591015</v>
      </c>
      <c r="N748" s="15">
        <v>3576.0</v>
      </c>
      <c r="O748" s="4"/>
      <c r="P748" s="14" t="s">
        <v>2683</v>
      </c>
      <c r="Q748" s="17">
        <f>IFERROR(__xludf.DUMMYFUNCTION("SPLIT(P:P, "" "")"),0.105498360532314)</f>
        <v>0.1054983605</v>
      </c>
      <c r="R748" s="4">
        <f>IFERROR(__xludf.DUMMYFUNCTION("""COMPUTED_VALUE"""),0.379409209015797)</f>
        <v>0.379409209</v>
      </c>
      <c r="S748" s="15">
        <v>5364.0</v>
      </c>
      <c r="T748" s="4"/>
      <c r="U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4" t="s">
        <v>2684</v>
      </c>
      <c r="L749" s="17">
        <f>IFERROR(__xludf.DUMMYFUNCTION("SPLIT(K:K, "" "")"),0.119425655541918)</f>
        <v>0.1194256555</v>
      </c>
      <c r="M749" s="4">
        <f>IFERROR(__xludf.DUMMYFUNCTION("""COMPUTED_VALUE"""),0.498586247089639)</f>
        <v>0.4985862471</v>
      </c>
      <c r="N749" s="15">
        <v>3584.0</v>
      </c>
      <c r="O749" s="4"/>
      <c r="P749" s="14" t="s">
        <v>2685</v>
      </c>
      <c r="Q749" s="17">
        <f>IFERROR(__xludf.DUMMYFUNCTION("SPLIT(P:P, "" "")"),0.113623300620414)</f>
        <v>0.1136233006</v>
      </c>
      <c r="R749" s="4">
        <f>IFERROR(__xludf.DUMMYFUNCTION("""COMPUTED_VALUE"""),0.387636097719312)</f>
        <v>0.3876360977</v>
      </c>
      <c r="S749" s="15">
        <v>5376.0</v>
      </c>
      <c r="T749" s="4"/>
      <c r="U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4" t="s">
        <v>2686</v>
      </c>
      <c r="L750" s="17">
        <f>IFERROR(__xludf.DUMMYFUNCTION("SPLIT(K:K, "" "")"),0.121636840057432)</f>
        <v>0.1216368401</v>
      </c>
      <c r="M750" s="4">
        <f>IFERROR(__xludf.DUMMYFUNCTION("""COMPUTED_VALUE"""),0.496847098542943)</f>
        <v>0.4968470985</v>
      </c>
      <c r="N750" s="15">
        <v>3592.0</v>
      </c>
      <c r="O750" s="4"/>
      <c r="P750" s="14" t="s">
        <v>2687</v>
      </c>
      <c r="Q750" s="17">
        <f>IFERROR(__xludf.DUMMYFUNCTION("SPLIT(P:P, "" "")"),0.106474931925566)</f>
        <v>0.1064749319</v>
      </c>
      <c r="R750" s="4">
        <f>IFERROR(__xludf.DUMMYFUNCTION("""COMPUTED_VALUE"""),0.377966401076359)</f>
        <v>0.3779664011</v>
      </c>
      <c r="S750" s="15">
        <v>5388.0</v>
      </c>
      <c r="T750" s="4"/>
      <c r="U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4" t="s">
        <v>2688</v>
      </c>
      <c r="L751" s="17">
        <f>IFERROR(__xludf.DUMMYFUNCTION("SPLIT(K:K, "" "")"),0.120648308662014)</f>
        <v>0.1206483087</v>
      </c>
      <c r="M751" s="4">
        <f>IFERROR(__xludf.DUMMYFUNCTION("""COMPUTED_VALUE"""),0.500040817796297)</f>
        <v>0.5000408178</v>
      </c>
      <c r="N751" s="15">
        <v>3600.0</v>
      </c>
      <c r="O751" s="4"/>
      <c r="P751" s="14" t="s">
        <v>2689</v>
      </c>
      <c r="Q751" s="17">
        <f>IFERROR(__xludf.DUMMYFUNCTION("SPLIT(P:P, "" "")"),0.109375578205872)</f>
        <v>0.1093755782</v>
      </c>
      <c r="R751" s="4">
        <f>IFERROR(__xludf.DUMMYFUNCTION("""COMPUTED_VALUE"""),0.376728317609469)</f>
        <v>0.3767283176</v>
      </c>
      <c r="S751" s="15">
        <v>5400.0</v>
      </c>
      <c r="T751" s="4"/>
      <c r="U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4" t="s">
        <v>2690</v>
      </c>
      <c r="L752" s="17">
        <f>IFERROR(__xludf.DUMMYFUNCTION("SPLIT(K:K, "" "")"),0.120287187284622)</f>
        <v>0.1202871873</v>
      </c>
      <c r="M752" s="4">
        <f>IFERROR(__xludf.DUMMYFUNCTION("""COMPUTED_VALUE"""),0.496441751585156)</f>
        <v>0.4964417516</v>
      </c>
      <c r="N752" s="15">
        <v>3608.0</v>
      </c>
      <c r="O752" s="4"/>
      <c r="P752" s="14" t="s">
        <v>2691</v>
      </c>
      <c r="Q752" s="17">
        <f>IFERROR(__xludf.DUMMYFUNCTION("SPLIT(P:P, "" "")"),0.112577215871331)</f>
        <v>0.1125772159</v>
      </c>
      <c r="R752" s="4">
        <f>IFERROR(__xludf.DUMMYFUNCTION("""COMPUTED_VALUE"""),0.390874589625627)</f>
        <v>0.3908745896</v>
      </c>
      <c r="S752" s="15">
        <v>5412.0</v>
      </c>
      <c r="T752" s="4"/>
      <c r="U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4" t="s">
        <v>2692</v>
      </c>
      <c r="L753" s="17">
        <f>IFERROR(__xludf.DUMMYFUNCTION("SPLIT(K:K, "" "")"),0.122047433230749)</f>
        <v>0.1220474332</v>
      </c>
      <c r="M753" s="4">
        <f>IFERROR(__xludf.DUMMYFUNCTION("""COMPUTED_VALUE"""),0.502673914329829)</f>
        <v>0.5026739143</v>
      </c>
      <c r="N753" s="15">
        <v>3616.0</v>
      </c>
      <c r="O753" s="4"/>
      <c r="P753" s="14" t="s">
        <v>2693</v>
      </c>
      <c r="Q753" s="17">
        <f>IFERROR(__xludf.DUMMYFUNCTION("SPLIT(P:P, "" "")"),0.109200483588318)</f>
        <v>0.1092004836</v>
      </c>
      <c r="R753" s="4">
        <f>IFERROR(__xludf.DUMMYFUNCTION("""COMPUTED_VALUE"""),0.382906217955438)</f>
        <v>0.382906218</v>
      </c>
      <c r="S753" s="15">
        <v>5424.0</v>
      </c>
      <c r="T753" s="4"/>
      <c r="U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4" t="s">
        <v>2694</v>
      </c>
      <c r="L754" s="17">
        <f>IFERROR(__xludf.DUMMYFUNCTION("SPLIT(K:K, "" "")"),0.121007872158009)</f>
        <v>0.1210078722</v>
      </c>
      <c r="M754" s="4">
        <f>IFERROR(__xludf.DUMMYFUNCTION("""COMPUTED_VALUE"""),0.504310511698992)</f>
        <v>0.5043105117</v>
      </c>
      <c r="N754" s="15">
        <v>3624.0</v>
      </c>
      <c r="O754" s="4"/>
      <c r="P754" s="14" t="s">
        <v>2695</v>
      </c>
      <c r="Q754" s="17">
        <f>IFERROR(__xludf.DUMMYFUNCTION("SPLIT(P:P, "" "")"),0.108437616923303)</f>
        <v>0.1084376169</v>
      </c>
      <c r="R754" s="4">
        <f>IFERROR(__xludf.DUMMYFUNCTION("""COMPUTED_VALUE"""),0.380458909020352)</f>
        <v>0.380458909</v>
      </c>
      <c r="S754" s="15">
        <v>5436.0</v>
      </c>
      <c r="T754" s="4"/>
      <c r="U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4" t="s">
        <v>2696</v>
      </c>
      <c r="L755" s="17">
        <f>IFERROR(__xludf.DUMMYFUNCTION("SPLIT(K:K, "" "")"),0.121319941696025)</f>
        <v>0.1213199417</v>
      </c>
      <c r="M755" s="4">
        <f>IFERROR(__xludf.DUMMYFUNCTION("""COMPUTED_VALUE"""),0.508509436300945)</f>
        <v>0.5085094363</v>
      </c>
      <c r="N755" s="15">
        <v>3632.0</v>
      </c>
      <c r="O755" s="4"/>
      <c r="P755" s="14" t="s">
        <v>2697</v>
      </c>
      <c r="Q755" s="17">
        <f>IFERROR(__xludf.DUMMYFUNCTION("SPLIT(P:P, "" "")"),0.109746478558129)</f>
        <v>0.1097464786</v>
      </c>
      <c r="R755" s="4">
        <f>IFERROR(__xludf.DUMMYFUNCTION("""COMPUTED_VALUE"""),0.38257066663757)</f>
        <v>0.3825706666</v>
      </c>
      <c r="S755" s="15">
        <v>5448.0</v>
      </c>
      <c r="T755" s="4"/>
      <c r="U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4" t="s">
        <v>2698</v>
      </c>
      <c r="L756" s="17">
        <f>IFERROR(__xludf.DUMMYFUNCTION("SPLIT(K:K, "" "")"),0.124381511884619)</f>
        <v>0.1243815119</v>
      </c>
      <c r="M756" s="4">
        <f>IFERROR(__xludf.DUMMYFUNCTION("""COMPUTED_VALUE"""),0.518827545757551)</f>
        <v>0.5188275458</v>
      </c>
      <c r="N756" s="15">
        <v>3640.0</v>
      </c>
      <c r="O756" s="4"/>
      <c r="P756" s="14" t="s">
        <v>2699</v>
      </c>
      <c r="Q756" s="17">
        <f>IFERROR(__xludf.DUMMYFUNCTION("SPLIT(P:P, "" "")"),0.10757586542062)</f>
        <v>0.1075758654</v>
      </c>
      <c r="R756" s="4">
        <f>IFERROR(__xludf.DUMMYFUNCTION("""COMPUTED_VALUE"""),0.380993435250391)</f>
        <v>0.3809934353</v>
      </c>
      <c r="S756" s="15">
        <v>5460.0</v>
      </c>
      <c r="T756" s="4"/>
      <c r="U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4" t="s">
        <v>2700</v>
      </c>
      <c r="L757" s="17">
        <f>IFERROR(__xludf.DUMMYFUNCTION("SPLIT(K:K, "" "")"),0.121631712180644)</f>
        <v>0.1216317122</v>
      </c>
      <c r="M757" s="4">
        <f>IFERROR(__xludf.DUMMYFUNCTION("""COMPUTED_VALUE"""),0.509476308543799)</f>
        <v>0.5094763085</v>
      </c>
      <c r="N757" s="15">
        <v>3648.0</v>
      </c>
      <c r="O757" s="4"/>
      <c r="P757" s="14" t="s">
        <v>2701</v>
      </c>
      <c r="Q757" s="17">
        <f>IFERROR(__xludf.DUMMYFUNCTION("SPLIT(P:P, "" "")"),0.106579273593553)</f>
        <v>0.1065792736</v>
      </c>
      <c r="R757" s="4">
        <f>IFERROR(__xludf.DUMMYFUNCTION("""COMPUTED_VALUE"""),0.368682630652361)</f>
        <v>0.3686826307</v>
      </c>
      <c r="S757" s="15">
        <v>5472.0</v>
      </c>
      <c r="T757" s="4"/>
      <c r="U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4" t="s">
        <v>2702</v>
      </c>
      <c r="L758" s="17">
        <f>IFERROR(__xludf.DUMMYFUNCTION("SPLIT(K:K, "" "")"),0.121028410887556)</f>
        <v>0.1210284109</v>
      </c>
      <c r="M758" s="4">
        <f>IFERROR(__xludf.DUMMYFUNCTION("""COMPUTED_VALUE"""),0.499704652800333)</f>
        <v>0.4997046528</v>
      </c>
      <c r="N758" s="15">
        <v>3656.0</v>
      </c>
      <c r="O758" s="4"/>
      <c r="P758" s="14" t="s">
        <v>2703</v>
      </c>
      <c r="Q758" s="17">
        <f>IFERROR(__xludf.DUMMYFUNCTION("SPLIT(P:P, "" "")"),0.108633054558693)</f>
        <v>0.1086330546</v>
      </c>
      <c r="R758" s="4">
        <f>IFERROR(__xludf.DUMMYFUNCTION("""COMPUTED_VALUE"""),0.381644002650059)</f>
        <v>0.3816440027</v>
      </c>
      <c r="S758" s="15">
        <v>5484.0</v>
      </c>
      <c r="T758" s="4"/>
      <c r="U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4" t="s">
        <v>2704</v>
      </c>
      <c r="L759" s="17">
        <f>IFERROR(__xludf.DUMMYFUNCTION("SPLIT(K:K, "" "")"),0.121580851347881)</f>
        <v>0.1215808513</v>
      </c>
      <c r="M759" s="4">
        <f>IFERROR(__xludf.DUMMYFUNCTION("""COMPUTED_VALUE"""),0.500780475825833)</f>
        <v>0.5007804758</v>
      </c>
      <c r="N759" s="15">
        <v>3664.0</v>
      </c>
      <c r="O759" s="4"/>
      <c r="P759" s="14" t="s">
        <v>2705</v>
      </c>
      <c r="Q759" s="17">
        <f>IFERROR(__xludf.DUMMYFUNCTION("SPLIT(P:P, "" "")"),0.111383597059561)</f>
        <v>0.1113835971</v>
      </c>
      <c r="R759" s="4">
        <f>IFERROR(__xludf.DUMMYFUNCTION("""COMPUTED_VALUE"""),0.384234741294955)</f>
        <v>0.3842347413</v>
      </c>
      <c r="S759" s="15">
        <v>5496.0</v>
      </c>
      <c r="T759" s="4"/>
      <c r="U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4" t="s">
        <v>2706</v>
      </c>
      <c r="L760" s="17">
        <f>IFERROR(__xludf.DUMMYFUNCTION("SPLIT(K:K, "" "")"),0.12083043016229)</f>
        <v>0.1208304302</v>
      </c>
      <c r="M760" s="4">
        <f>IFERROR(__xludf.DUMMYFUNCTION("""COMPUTED_VALUE"""),0.50456234731082)</f>
        <v>0.5045623473</v>
      </c>
      <c r="N760" s="15">
        <v>3672.0</v>
      </c>
      <c r="O760" s="4"/>
      <c r="P760" s="14" t="s">
        <v>2707</v>
      </c>
      <c r="Q760" s="17">
        <f>IFERROR(__xludf.DUMMYFUNCTION("SPLIT(P:P, "" "")"),0.108820276288676)</f>
        <v>0.1088202763</v>
      </c>
      <c r="R760" s="4">
        <f>IFERROR(__xludf.DUMMYFUNCTION("""COMPUTED_VALUE"""),0.383822849874018)</f>
        <v>0.3838228499</v>
      </c>
      <c r="S760" s="15">
        <v>5508.0</v>
      </c>
      <c r="T760" s="4"/>
      <c r="U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4" t="s">
        <v>2708</v>
      </c>
      <c r="L761" s="17">
        <f>IFERROR(__xludf.DUMMYFUNCTION("SPLIT(K:K, "" "")"),0.120475741421969)</f>
        <v>0.1204757414</v>
      </c>
      <c r="M761" s="4">
        <f>IFERROR(__xludf.DUMMYFUNCTION("""COMPUTED_VALUE"""),0.500229085800502)</f>
        <v>0.5002290858</v>
      </c>
      <c r="N761" s="15">
        <v>3680.0</v>
      </c>
      <c r="O761" s="4"/>
      <c r="P761" s="14" t="s">
        <v>2709</v>
      </c>
      <c r="Q761" s="17">
        <f>IFERROR(__xludf.DUMMYFUNCTION("SPLIT(P:P, "" "")"),0.106706310064462)</f>
        <v>0.1067063101</v>
      </c>
      <c r="R761" s="4">
        <f>IFERROR(__xludf.DUMMYFUNCTION("""COMPUTED_VALUE"""),0.372737814667602)</f>
        <v>0.3727378147</v>
      </c>
      <c r="S761" s="15">
        <v>5520.0</v>
      </c>
      <c r="T761" s="4"/>
      <c r="U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4" t="s">
        <v>2710</v>
      </c>
      <c r="L762" s="17">
        <f>IFERROR(__xludf.DUMMYFUNCTION("SPLIT(K:K, "" "")"),0.117926249102435)</f>
        <v>0.1179262491</v>
      </c>
      <c r="M762" s="4">
        <f>IFERROR(__xludf.DUMMYFUNCTION("""COMPUTED_VALUE"""),0.494689521055998)</f>
        <v>0.4946895211</v>
      </c>
      <c r="N762" s="15">
        <v>3688.0</v>
      </c>
      <c r="O762" s="4"/>
      <c r="P762" s="14" t="s">
        <v>2711</v>
      </c>
      <c r="Q762" s="17">
        <f>IFERROR(__xludf.DUMMYFUNCTION("SPLIT(P:P, "" "")"),0.105639497592845)</f>
        <v>0.1056394976</v>
      </c>
      <c r="R762" s="4">
        <f>IFERROR(__xludf.DUMMYFUNCTION("""COMPUTED_VALUE"""),0.374057187968018)</f>
        <v>0.374057188</v>
      </c>
      <c r="S762" s="15">
        <v>5532.0</v>
      </c>
      <c r="T762" s="4"/>
      <c r="U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4" t="s">
        <v>2712</v>
      </c>
      <c r="L763" s="17">
        <f>IFERROR(__xludf.DUMMYFUNCTION("SPLIT(K:K, "" "")"),0.120633351864962)</f>
        <v>0.1206333519</v>
      </c>
      <c r="M763" s="4">
        <f>IFERROR(__xludf.DUMMYFUNCTION("""COMPUTED_VALUE"""),0.505096927389318)</f>
        <v>0.5050969274</v>
      </c>
      <c r="N763" s="15">
        <v>3696.0</v>
      </c>
      <c r="O763" s="4"/>
      <c r="P763" s="14" t="s">
        <v>2713</v>
      </c>
      <c r="Q763" s="17">
        <f>IFERROR(__xludf.DUMMYFUNCTION("SPLIT(P:P, "" "")"),0.10622477045898)</f>
        <v>0.1062247705</v>
      </c>
      <c r="R763" s="4">
        <f>IFERROR(__xludf.DUMMYFUNCTION("""COMPUTED_VALUE"""),0.381461299394287)</f>
        <v>0.3814612994</v>
      </c>
      <c r="S763" s="15">
        <v>5544.0</v>
      </c>
      <c r="T763" s="4"/>
      <c r="U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4" t="s">
        <v>2714</v>
      </c>
      <c r="L764" s="17">
        <f>IFERROR(__xludf.DUMMYFUNCTION("SPLIT(K:K, "" "")"),0.119556959713038)</f>
        <v>0.1195569597</v>
      </c>
      <c r="M764" s="4">
        <f>IFERROR(__xludf.DUMMYFUNCTION("""COMPUTED_VALUE"""),0.503239916476697)</f>
        <v>0.5032399165</v>
      </c>
      <c r="N764" s="15">
        <v>3704.0</v>
      </c>
      <c r="O764" s="4"/>
      <c r="P764" s="14" t="s">
        <v>2715</v>
      </c>
      <c r="Q764" s="17">
        <f>IFERROR(__xludf.DUMMYFUNCTION("SPLIT(P:P, "" "")"),0.108895743068028)</f>
        <v>0.1088957431</v>
      </c>
      <c r="R764" s="4">
        <f>IFERROR(__xludf.DUMMYFUNCTION("""COMPUTED_VALUE"""),0.372137371699972)</f>
        <v>0.3721373717</v>
      </c>
      <c r="S764" s="15">
        <v>5556.0</v>
      </c>
      <c r="T764" s="4"/>
      <c r="U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4" t="s">
        <v>2716</v>
      </c>
      <c r="L765" s="17">
        <f>IFERROR(__xludf.DUMMYFUNCTION("SPLIT(K:K, "" "")"),0.124591277113729)</f>
        <v>0.1245912771</v>
      </c>
      <c r="M765" s="4">
        <f>IFERROR(__xludf.DUMMYFUNCTION("""COMPUTED_VALUE"""),0.505347283976643)</f>
        <v>0.505347284</v>
      </c>
      <c r="N765" s="15">
        <v>3712.0</v>
      </c>
      <c r="O765" s="4"/>
      <c r="P765" s="14" t="s">
        <v>2717</v>
      </c>
      <c r="Q765" s="17">
        <f>IFERROR(__xludf.DUMMYFUNCTION("SPLIT(P:P, "" "")"),0.104804225348874)</f>
        <v>0.1048042253</v>
      </c>
      <c r="R765" s="4">
        <f>IFERROR(__xludf.DUMMYFUNCTION("""COMPUTED_VALUE"""),0.375107227441476)</f>
        <v>0.3751072274</v>
      </c>
      <c r="S765" s="15">
        <v>5568.0</v>
      </c>
      <c r="T765" s="4"/>
      <c r="U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4" t="s">
        <v>2718</v>
      </c>
      <c r="L766" s="17">
        <f>IFERROR(__xludf.DUMMYFUNCTION("SPLIT(K:K, "" "")"),0.120150200652369)</f>
        <v>0.1201502007</v>
      </c>
      <c r="M766" s="4">
        <f>IFERROR(__xludf.DUMMYFUNCTION("""COMPUTED_VALUE"""),0.507396996203696)</f>
        <v>0.5073969962</v>
      </c>
      <c r="N766" s="15">
        <v>3720.0</v>
      </c>
      <c r="O766" s="4"/>
      <c r="P766" s="14" t="s">
        <v>2719</v>
      </c>
      <c r="Q766" s="17">
        <f>IFERROR(__xludf.DUMMYFUNCTION("SPLIT(P:P, "" "")"),0.106630673182651)</f>
        <v>0.1066306732</v>
      </c>
      <c r="R766" s="4">
        <f>IFERROR(__xludf.DUMMYFUNCTION("""COMPUTED_VALUE"""),0.383000369399027)</f>
        <v>0.3830003694</v>
      </c>
      <c r="S766" s="15">
        <v>5580.0</v>
      </c>
      <c r="T766" s="4"/>
      <c r="U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4" t="s">
        <v>2720</v>
      </c>
      <c r="L767" s="17">
        <f>IFERROR(__xludf.DUMMYFUNCTION("SPLIT(K:K, "" "")"),0.117110858893129)</f>
        <v>0.1171108589</v>
      </c>
      <c r="M767" s="4">
        <f>IFERROR(__xludf.DUMMYFUNCTION("""COMPUTED_VALUE"""),0.502730521178177)</f>
        <v>0.5027305212</v>
      </c>
      <c r="N767" s="15">
        <v>3728.0</v>
      </c>
      <c r="O767" s="4"/>
      <c r="P767" s="14" t="s">
        <v>2721</v>
      </c>
      <c r="Q767" s="17">
        <f>IFERROR(__xludf.DUMMYFUNCTION("SPLIT(P:P, "" "")"),0.103430584474956)</f>
        <v>0.1034305845</v>
      </c>
      <c r="R767" s="4">
        <f>IFERROR(__xludf.DUMMYFUNCTION("""COMPUTED_VALUE"""),0.373923043478533)</f>
        <v>0.3739230435</v>
      </c>
      <c r="S767" s="15">
        <v>5592.0</v>
      </c>
      <c r="T767" s="4"/>
      <c r="U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4" t="s">
        <v>2722</v>
      </c>
      <c r="L768" s="17">
        <f>IFERROR(__xludf.DUMMYFUNCTION("SPLIT(K:K, "" "")"),0.119464466089642)</f>
        <v>0.1194644661</v>
      </c>
      <c r="M768" s="4">
        <f>IFERROR(__xludf.DUMMYFUNCTION("""COMPUTED_VALUE"""),0.494918105513544)</f>
        <v>0.4949181055</v>
      </c>
      <c r="N768" s="15">
        <v>3736.0</v>
      </c>
      <c r="O768" s="4"/>
      <c r="P768" s="14" t="s">
        <v>2723</v>
      </c>
      <c r="Q768" s="17">
        <f>IFERROR(__xludf.DUMMYFUNCTION("SPLIT(P:P, "" "")"),0.104846732155113)</f>
        <v>0.1048467322</v>
      </c>
      <c r="R768" s="4">
        <f>IFERROR(__xludf.DUMMYFUNCTION("""COMPUTED_VALUE"""),0.378547341887421)</f>
        <v>0.3785473419</v>
      </c>
      <c r="S768" s="15">
        <v>5604.0</v>
      </c>
      <c r="T768" s="4"/>
      <c r="U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4" t="s">
        <v>2724</v>
      </c>
      <c r="L769" s="17">
        <f>IFERROR(__xludf.DUMMYFUNCTION("SPLIT(K:K, "" "")"),0.116732073410088)</f>
        <v>0.1167320734</v>
      </c>
      <c r="M769" s="4">
        <f>IFERROR(__xludf.DUMMYFUNCTION("""COMPUTED_VALUE"""),0.50046232629856)</f>
        <v>0.5004623263</v>
      </c>
      <c r="N769" s="15">
        <v>3744.0</v>
      </c>
      <c r="O769" s="4"/>
      <c r="P769" s="14" t="s">
        <v>2725</v>
      </c>
      <c r="Q769" s="17">
        <f>IFERROR(__xludf.DUMMYFUNCTION("SPLIT(P:P, "" "")"),0.104677946139899)</f>
        <v>0.1046779461</v>
      </c>
      <c r="R769" s="4">
        <f>IFERROR(__xludf.DUMMYFUNCTION("""COMPUTED_VALUE"""),0.374517166756665)</f>
        <v>0.3745171668</v>
      </c>
      <c r="S769" s="15">
        <v>5616.0</v>
      </c>
      <c r="T769" s="4"/>
      <c r="U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4" t="s">
        <v>2726</v>
      </c>
      <c r="L770" s="17">
        <f>IFERROR(__xludf.DUMMYFUNCTION("SPLIT(K:K, "" "")"),0.119586325751162)</f>
        <v>0.1195863258</v>
      </c>
      <c r="M770" s="4">
        <f>IFERROR(__xludf.DUMMYFUNCTION("""COMPUTED_VALUE"""),0.507353657634702)</f>
        <v>0.5073536576</v>
      </c>
      <c r="N770" s="15">
        <v>3752.0</v>
      </c>
      <c r="O770" s="4"/>
      <c r="P770" s="14" t="s">
        <v>2727</v>
      </c>
      <c r="Q770" s="17">
        <f>IFERROR(__xludf.DUMMYFUNCTION("SPLIT(P:P, "" "")"),0.104400140116906)</f>
        <v>0.1044001401</v>
      </c>
      <c r="R770" s="4">
        <f>IFERROR(__xludf.DUMMYFUNCTION("""COMPUTED_VALUE"""),0.378575803127788)</f>
        <v>0.3785758031</v>
      </c>
      <c r="S770" s="15">
        <v>5628.0</v>
      </c>
      <c r="T770" s="4"/>
      <c r="U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4" t="s">
        <v>2728</v>
      </c>
      <c r="L771" s="17">
        <f>IFERROR(__xludf.DUMMYFUNCTION("SPLIT(K:K, "" "")"),0.117414741849378)</f>
        <v>0.1174147418</v>
      </c>
      <c r="M771" s="4">
        <f>IFERROR(__xludf.DUMMYFUNCTION("""COMPUTED_VALUE"""),0.500238474532056)</f>
        <v>0.5002384745</v>
      </c>
      <c r="N771" s="15">
        <v>3760.0</v>
      </c>
      <c r="O771" s="4"/>
      <c r="P771" s="14" t="s">
        <v>2729</v>
      </c>
      <c r="Q771" s="17">
        <f>IFERROR(__xludf.DUMMYFUNCTION("SPLIT(P:P, "" "")"),0.105328470845481)</f>
        <v>0.1053284708</v>
      </c>
      <c r="R771" s="4">
        <f>IFERROR(__xludf.DUMMYFUNCTION("""COMPUTED_VALUE"""),0.381124398217991)</f>
        <v>0.3811243982</v>
      </c>
      <c r="S771" s="15">
        <v>5640.0</v>
      </c>
      <c r="T771" s="4"/>
      <c r="U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4" t="s">
        <v>2730</v>
      </c>
      <c r="L772" s="17">
        <f>IFERROR(__xludf.DUMMYFUNCTION("SPLIT(K:K, "" "")"),0.119239869026572)</f>
        <v>0.119239869</v>
      </c>
      <c r="M772" s="4">
        <f>IFERROR(__xludf.DUMMYFUNCTION("""COMPUTED_VALUE"""),0.514169206752236)</f>
        <v>0.5141692068</v>
      </c>
      <c r="N772" s="15">
        <v>3768.0</v>
      </c>
      <c r="O772" s="4"/>
      <c r="P772" s="14" t="s">
        <v>2731</v>
      </c>
      <c r="Q772" s="17">
        <f>IFERROR(__xludf.DUMMYFUNCTION("SPLIT(P:P, "" "")"),0.10779071484767)</f>
        <v>0.1077907148</v>
      </c>
      <c r="R772" s="4">
        <f>IFERROR(__xludf.DUMMYFUNCTION("""COMPUTED_VALUE"""),0.376193936109809)</f>
        <v>0.3761939361</v>
      </c>
      <c r="S772" s="15">
        <v>5652.0</v>
      </c>
      <c r="T772" s="4"/>
      <c r="U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4" t="s">
        <v>2732</v>
      </c>
      <c r="L773" s="17">
        <f>IFERROR(__xludf.DUMMYFUNCTION("SPLIT(K:K, "" "")"),0.116244062356088)</f>
        <v>0.1162440624</v>
      </c>
      <c r="M773" s="4">
        <f>IFERROR(__xludf.DUMMYFUNCTION("""COMPUTED_VALUE"""),0.500906890838208)</f>
        <v>0.5009068908</v>
      </c>
      <c r="N773" s="15">
        <v>3776.0</v>
      </c>
      <c r="O773" s="4"/>
      <c r="P773" s="14" t="s">
        <v>2733</v>
      </c>
      <c r="Q773" s="17">
        <f>IFERROR(__xludf.DUMMYFUNCTION("SPLIT(P:P, "" "")"),0.109355390541993)</f>
        <v>0.1093553905</v>
      </c>
      <c r="R773" s="4">
        <f>IFERROR(__xludf.DUMMYFUNCTION("""COMPUTED_VALUE"""),0.386053258611155)</f>
        <v>0.3860532586</v>
      </c>
      <c r="S773" s="15">
        <v>5664.0</v>
      </c>
      <c r="T773" s="4"/>
      <c r="U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4" t="s">
        <v>2734</v>
      </c>
      <c r="L774" s="17">
        <f>IFERROR(__xludf.DUMMYFUNCTION("SPLIT(K:K, "" "")"),0.12154076421467)</f>
        <v>0.1215407642</v>
      </c>
      <c r="M774" s="4">
        <f>IFERROR(__xludf.DUMMYFUNCTION("""COMPUTED_VALUE"""),0.510987849920678)</f>
        <v>0.5109878499</v>
      </c>
      <c r="N774" s="15">
        <v>3784.0</v>
      </c>
      <c r="O774" s="4"/>
      <c r="P774" s="14" t="s">
        <v>2735</v>
      </c>
      <c r="Q774" s="17">
        <f>IFERROR(__xludf.DUMMYFUNCTION("SPLIT(P:P, "" "")"),0.104575656718062)</f>
        <v>0.1045756567</v>
      </c>
      <c r="R774" s="4">
        <f>IFERROR(__xludf.DUMMYFUNCTION("""COMPUTED_VALUE"""),0.378222665191607)</f>
        <v>0.3782226652</v>
      </c>
      <c r="S774" s="15">
        <v>5676.0</v>
      </c>
      <c r="T774" s="4"/>
      <c r="U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4" t="s">
        <v>2736</v>
      </c>
      <c r="L775" s="17">
        <f>IFERROR(__xludf.DUMMYFUNCTION("SPLIT(K:K, "" "")"),0.120821386132451)</f>
        <v>0.1208213861</v>
      </c>
      <c r="M775" s="4">
        <f>IFERROR(__xludf.DUMMYFUNCTION("""COMPUTED_VALUE"""),0.505714244080876)</f>
        <v>0.5057142441</v>
      </c>
      <c r="N775" s="15">
        <v>3792.0</v>
      </c>
      <c r="O775" s="4"/>
      <c r="P775" s="14" t="s">
        <v>2737</v>
      </c>
      <c r="Q775" s="17">
        <f>IFERROR(__xludf.DUMMYFUNCTION("SPLIT(P:P, "" "")"),0.104916296005318)</f>
        <v>0.104916296</v>
      </c>
      <c r="R775" s="4">
        <f>IFERROR(__xludf.DUMMYFUNCTION("""COMPUTED_VALUE"""),0.380276013918474)</f>
        <v>0.3802760139</v>
      </c>
      <c r="S775" s="15">
        <v>5688.0</v>
      </c>
      <c r="T775" s="4"/>
      <c r="U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4" t="s">
        <v>2738</v>
      </c>
      <c r="L776" s="17">
        <f>IFERROR(__xludf.DUMMYFUNCTION("SPLIT(K:K, "" "")"),0.119501110369975)</f>
        <v>0.1195011104</v>
      </c>
      <c r="M776" s="4">
        <f>IFERROR(__xludf.DUMMYFUNCTION("""COMPUTED_VALUE"""),0.519158404213762)</f>
        <v>0.5191584042</v>
      </c>
      <c r="N776" s="15">
        <v>3800.0</v>
      </c>
      <c r="O776" s="4"/>
      <c r="P776" s="14" t="s">
        <v>2739</v>
      </c>
      <c r="Q776" s="17">
        <f>IFERROR(__xludf.DUMMYFUNCTION("SPLIT(P:P, "" "")"),0.106869566855439)</f>
        <v>0.1068695669</v>
      </c>
      <c r="R776" s="4">
        <f>IFERROR(__xludf.DUMMYFUNCTION("""COMPUTED_VALUE"""),0.384923819805131)</f>
        <v>0.3849238198</v>
      </c>
      <c r="S776" s="15">
        <v>5700.0</v>
      </c>
      <c r="T776" s="4"/>
      <c r="U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4" t="s">
        <v>2740</v>
      </c>
      <c r="L777" s="17">
        <f>IFERROR(__xludf.DUMMYFUNCTION("SPLIT(K:K, "" "")"),0.116416225688488)</f>
        <v>0.1164162257</v>
      </c>
      <c r="M777" s="4">
        <f>IFERROR(__xludf.DUMMYFUNCTION("""COMPUTED_VALUE"""),0.50818815749626)</f>
        <v>0.5081881575</v>
      </c>
      <c r="N777" s="15">
        <v>3808.0</v>
      </c>
      <c r="O777" s="4"/>
      <c r="P777" s="14" t="s">
        <v>2741</v>
      </c>
      <c r="Q777" s="17">
        <f>IFERROR(__xludf.DUMMYFUNCTION("SPLIT(P:P, "" "")"),0.108010133328333)</f>
        <v>0.1080101333</v>
      </c>
      <c r="R777" s="4">
        <f>IFERROR(__xludf.DUMMYFUNCTION("""COMPUTED_VALUE"""),0.386407552873218)</f>
        <v>0.3864075529</v>
      </c>
      <c r="S777" s="15">
        <v>5712.0</v>
      </c>
      <c r="T777" s="4"/>
      <c r="U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4" t="s">
        <v>2742</v>
      </c>
      <c r="L778" s="17">
        <f>IFERROR(__xludf.DUMMYFUNCTION("SPLIT(K:K, "" "")"),0.115919428720837)</f>
        <v>0.1159194287</v>
      </c>
      <c r="M778" s="4">
        <f>IFERROR(__xludf.DUMMYFUNCTION("""COMPUTED_VALUE"""),0.498109496554769)</f>
        <v>0.4981094966</v>
      </c>
      <c r="N778" s="15">
        <v>3816.0</v>
      </c>
      <c r="O778" s="4"/>
      <c r="P778" s="14" t="s">
        <v>2743</v>
      </c>
      <c r="Q778" s="17">
        <f>IFERROR(__xludf.DUMMYFUNCTION("SPLIT(P:P, "" "")"),0.103943871687012)</f>
        <v>0.1039438717</v>
      </c>
      <c r="R778" s="4">
        <f>IFERROR(__xludf.DUMMYFUNCTION("""COMPUTED_VALUE"""),0.373994392738826)</f>
        <v>0.3739943927</v>
      </c>
      <c r="S778" s="15">
        <v>5724.0</v>
      </c>
      <c r="T778" s="4"/>
      <c r="U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4" t="s">
        <v>2744</v>
      </c>
      <c r="L779" s="17">
        <f>IFERROR(__xludf.DUMMYFUNCTION("SPLIT(K:K, "" "")"),0.122289123420935)</f>
        <v>0.1222891234</v>
      </c>
      <c r="M779" s="4">
        <f>IFERROR(__xludf.DUMMYFUNCTION("""COMPUTED_VALUE"""),0.518565100779614)</f>
        <v>0.5185651008</v>
      </c>
      <c r="N779" s="15">
        <v>3824.0</v>
      </c>
      <c r="O779" s="4"/>
      <c r="P779" s="14" t="s">
        <v>2745</v>
      </c>
      <c r="Q779" s="17">
        <f>IFERROR(__xludf.DUMMYFUNCTION("SPLIT(P:P, "" "")"),0.103570071032892)</f>
        <v>0.103570071</v>
      </c>
      <c r="R779" s="4">
        <f>IFERROR(__xludf.DUMMYFUNCTION("""COMPUTED_VALUE"""),0.375615927252673)</f>
        <v>0.3756159273</v>
      </c>
      <c r="S779" s="15">
        <v>5736.0</v>
      </c>
      <c r="T779" s="4"/>
      <c r="U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4" t="s">
        <v>2746</v>
      </c>
      <c r="L780" s="17">
        <f>IFERROR(__xludf.DUMMYFUNCTION("SPLIT(K:K, "" "")"),0.117539751495798)</f>
        <v>0.1175397515</v>
      </c>
      <c r="M780" s="4">
        <f>IFERROR(__xludf.DUMMYFUNCTION("""COMPUTED_VALUE"""),0.501787518366277)</f>
        <v>0.5017875184</v>
      </c>
      <c r="N780" s="15">
        <v>3832.0</v>
      </c>
      <c r="O780" s="4"/>
      <c r="P780" s="14" t="s">
        <v>2747</v>
      </c>
      <c r="Q780" s="17">
        <f>IFERROR(__xludf.DUMMYFUNCTION("SPLIT(P:P, "" "")"),0.103437059706272)</f>
        <v>0.1034370597</v>
      </c>
      <c r="R780" s="4">
        <f>IFERROR(__xludf.DUMMYFUNCTION("""COMPUTED_VALUE"""),0.369822560807055)</f>
        <v>0.3698225608</v>
      </c>
      <c r="S780" s="15">
        <v>5748.0</v>
      </c>
      <c r="T780" s="4"/>
      <c r="U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4" t="s">
        <v>2748</v>
      </c>
      <c r="L781" s="17">
        <f>IFERROR(__xludf.DUMMYFUNCTION("SPLIT(K:K, "" "")"),0.119010791998345)</f>
        <v>0.119010792</v>
      </c>
      <c r="M781" s="4">
        <f>IFERROR(__xludf.DUMMYFUNCTION("""COMPUTED_VALUE"""),0.505881458356403)</f>
        <v>0.5058814584</v>
      </c>
      <c r="N781" s="15">
        <v>3840.0</v>
      </c>
      <c r="O781" s="4"/>
      <c r="P781" s="14" t="s">
        <v>2749</v>
      </c>
      <c r="Q781" s="17">
        <f>IFERROR(__xludf.DUMMYFUNCTION("SPLIT(P:P, "" "")"),0.103462688407125)</f>
        <v>0.1034626884</v>
      </c>
      <c r="R781" s="4">
        <f>IFERROR(__xludf.DUMMYFUNCTION("""COMPUTED_VALUE"""),0.37848019556356)</f>
        <v>0.3784801956</v>
      </c>
      <c r="S781" s="15">
        <v>5760.0</v>
      </c>
      <c r="T781" s="4"/>
      <c r="U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4" t="s">
        <v>2750</v>
      </c>
      <c r="L782" s="17">
        <f>IFERROR(__xludf.DUMMYFUNCTION("SPLIT(K:K, "" "")"),0.11741321847108)</f>
        <v>0.1174132185</v>
      </c>
      <c r="M782" s="4">
        <f>IFERROR(__xludf.DUMMYFUNCTION("""COMPUTED_VALUE"""),0.503040960080347)</f>
        <v>0.5030409601</v>
      </c>
      <c r="N782" s="15">
        <v>3848.0</v>
      </c>
      <c r="O782" s="4"/>
      <c r="P782" s="14" t="s">
        <v>2751</v>
      </c>
      <c r="Q782" s="17">
        <f>IFERROR(__xludf.DUMMYFUNCTION("SPLIT(P:P, "" "")"),0.104498739279607)</f>
        <v>0.1044987393</v>
      </c>
      <c r="R782" s="4">
        <f>IFERROR(__xludf.DUMMYFUNCTION("""COMPUTED_VALUE"""),0.376190067511709)</f>
        <v>0.3761900675</v>
      </c>
      <c r="S782" s="15">
        <v>5772.0</v>
      </c>
      <c r="T782" s="4"/>
      <c r="U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4" t="s">
        <v>2752</v>
      </c>
      <c r="L783" s="17">
        <f>IFERROR(__xludf.DUMMYFUNCTION("SPLIT(K:K, "" "")"),0.117472906641235)</f>
        <v>0.1174729066</v>
      </c>
      <c r="M783" s="4">
        <f>IFERROR(__xludf.DUMMYFUNCTION("""COMPUTED_VALUE"""),0.501056322828658)</f>
        <v>0.5010563228</v>
      </c>
      <c r="N783" s="15">
        <v>3856.0</v>
      </c>
      <c r="O783" s="4"/>
      <c r="P783" s="14" t="s">
        <v>2753</v>
      </c>
      <c r="Q783" s="17">
        <f>IFERROR(__xludf.DUMMYFUNCTION("SPLIT(P:P, "" "")"),0.104379003315884)</f>
        <v>0.1043790033</v>
      </c>
      <c r="R783" s="4">
        <f>IFERROR(__xludf.DUMMYFUNCTION("""COMPUTED_VALUE"""),0.371991506671985)</f>
        <v>0.3719915067</v>
      </c>
      <c r="S783" s="15">
        <v>5784.0</v>
      </c>
      <c r="T783" s="4"/>
      <c r="U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4" t="s">
        <v>2754</v>
      </c>
      <c r="L784" s="17">
        <f>IFERROR(__xludf.DUMMYFUNCTION("SPLIT(K:K, "" "")"),0.115990980166501)</f>
        <v>0.1159909802</v>
      </c>
      <c r="M784" s="4">
        <f>IFERROR(__xludf.DUMMYFUNCTION("""COMPUTED_VALUE"""),0.504138861968596)</f>
        <v>0.504138862</v>
      </c>
      <c r="N784" s="15">
        <v>3864.0</v>
      </c>
      <c r="O784" s="4"/>
      <c r="P784" s="14" t="s">
        <v>2755</v>
      </c>
      <c r="Q784" s="17">
        <f>IFERROR(__xludf.DUMMYFUNCTION("SPLIT(P:P, "" "")"),0.104796378524335)</f>
        <v>0.1047963785</v>
      </c>
      <c r="R784" s="4">
        <f>IFERROR(__xludf.DUMMYFUNCTION("""COMPUTED_VALUE"""),0.38236403188143)</f>
        <v>0.3823640319</v>
      </c>
      <c r="S784" s="15">
        <v>5796.0</v>
      </c>
      <c r="T784" s="4"/>
      <c r="U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4" t="s">
        <v>2756</v>
      </c>
      <c r="L785" s="17">
        <f>IFERROR(__xludf.DUMMYFUNCTION("SPLIT(K:K, "" "")"),0.116527933923937)</f>
        <v>0.1165279339</v>
      </c>
      <c r="M785" s="4">
        <f>IFERROR(__xludf.DUMMYFUNCTION("""COMPUTED_VALUE"""),0.507784532172113)</f>
        <v>0.5077845322</v>
      </c>
      <c r="N785" s="15">
        <v>3872.0</v>
      </c>
      <c r="O785" s="4"/>
      <c r="P785" s="14" t="s">
        <v>2757</v>
      </c>
      <c r="Q785" s="17">
        <f>IFERROR(__xludf.DUMMYFUNCTION("SPLIT(P:P, "" "")"),0.103865686136047)</f>
        <v>0.1038656861</v>
      </c>
      <c r="R785" s="4">
        <f>IFERROR(__xludf.DUMMYFUNCTION("""COMPUTED_VALUE"""),0.377027410633834)</f>
        <v>0.3770274106</v>
      </c>
      <c r="S785" s="15">
        <v>5808.0</v>
      </c>
      <c r="T785" s="4"/>
      <c r="U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4" t="s">
        <v>2758</v>
      </c>
      <c r="L786" s="17">
        <f>IFERROR(__xludf.DUMMYFUNCTION("SPLIT(K:K, "" "")"),0.11692761522729)</f>
        <v>0.1169276152</v>
      </c>
      <c r="M786" s="4">
        <f>IFERROR(__xludf.DUMMYFUNCTION("""COMPUTED_VALUE"""),0.511513236988145)</f>
        <v>0.511513237</v>
      </c>
      <c r="N786" s="15">
        <v>3880.0</v>
      </c>
      <c r="O786" s="4"/>
      <c r="P786" s="14" t="s">
        <v>2759</v>
      </c>
      <c r="Q786" s="17">
        <f>IFERROR(__xludf.DUMMYFUNCTION("SPLIT(P:P, "" "")"),0.106263763926269)</f>
        <v>0.1062637639</v>
      </c>
      <c r="R786" s="4">
        <f>IFERROR(__xludf.DUMMYFUNCTION("""COMPUTED_VALUE"""),0.378743196706611)</f>
        <v>0.3787431967</v>
      </c>
      <c r="S786" s="15">
        <v>5820.0</v>
      </c>
      <c r="T786" s="4"/>
      <c r="U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4" t="s">
        <v>2760</v>
      </c>
      <c r="L787" s="17">
        <f>IFERROR(__xludf.DUMMYFUNCTION("SPLIT(K:K, "" "")"),0.117811610065972)</f>
        <v>0.1178116101</v>
      </c>
      <c r="M787" s="4">
        <f>IFERROR(__xludf.DUMMYFUNCTION("""COMPUTED_VALUE"""),0.514333417741413)</f>
        <v>0.5143334177</v>
      </c>
      <c r="N787" s="15">
        <v>3888.0</v>
      </c>
      <c r="O787" s="4"/>
      <c r="P787" s="14" t="s">
        <v>2761</v>
      </c>
      <c r="Q787" s="17">
        <f>IFERROR(__xludf.DUMMYFUNCTION("SPLIT(P:P, "" "")"),0.103457488916964)</f>
        <v>0.1034574889</v>
      </c>
      <c r="R787" s="4">
        <f>IFERROR(__xludf.DUMMYFUNCTION("""COMPUTED_VALUE"""),0.377736875459276)</f>
        <v>0.3777368755</v>
      </c>
      <c r="S787" s="15">
        <v>5832.0</v>
      </c>
      <c r="T787" s="4"/>
      <c r="U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4" t="s">
        <v>2762</v>
      </c>
      <c r="L788" s="17">
        <f>IFERROR(__xludf.DUMMYFUNCTION("SPLIT(K:K, "" "")"),0.116127780800033)</f>
        <v>0.1161277808</v>
      </c>
      <c r="M788" s="4">
        <f>IFERROR(__xludf.DUMMYFUNCTION("""COMPUTED_VALUE"""),0.501682278823906)</f>
        <v>0.5016822788</v>
      </c>
      <c r="N788" s="15">
        <v>3896.0</v>
      </c>
      <c r="O788" s="4"/>
      <c r="P788" s="14" t="s">
        <v>2763</v>
      </c>
      <c r="Q788" s="17">
        <f>IFERROR(__xludf.DUMMYFUNCTION("SPLIT(P:P, "" "")"),0.105062485714487)</f>
        <v>0.1050624857</v>
      </c>
      <c r="R788" s="4">
        <f>IFERROR(__xludf.DUMMYFUNCTION("""COMPUTED_VALUE"""),0.378486110298242)</f>
        <v>0.3784861103</v>
      </c>
      <c r="S788" s="15">
        <v>5844.0</v>
      </c>
      <c r="T788" s="4"/>
      <c r="U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4" t="s">
        <v>2764</v>
      </c>
      <c r="L789" s="17">
        <f>IFERROR(__xludf.DUMMYFUNCTION("SPLIT(K:K, "" "")"),0.115589217844108)</f>
        <v>0.1155892178</v>
      </c>
      <c r="M789" s="4">
        <f>IFERROR(__xludf.DUMMYFUNCTION("""COMPUTED_VALUE"""),0.503636069884985)</f>
        <v>0.5036360699</v>
      </c>
      <c r="N789" s="15">
        <v>3904.0</v>
      </c>
      <c r="O789" s="4"/>
      <c r="P789" s="14" t="s">
        <v>2765</v>
      </c>
      <c r="Q789" s="17">
        <f>IFERROR(__xludf.DUMMYFUNCTION("SPLIT(P:P, "" "")"),0.101334537156513)</f>
        <v>0.1013345372</v>
      </c>
      <c r="R789" s="4">
        <f>IFERROR(__xludf.DUMMYFUNCTION("""COMPUTED_VALUE"""),0.370795355625957)</f>
        <v>0.3707953556</v>
      </c>
      <c r="S789" s="15">
        <v>5856.0</v>
      </c>
      <c r="T789" s="4"/>
      <c r="U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4" t="s">
        <v>2766</v>
      </c>
      <c r="L790" s="17">
        <f>IFERROR(__xludf.DUMMYFUNCTION("SPLIT(K:K, "" "")"),0.115911157546798)</f>
        <v>0.1159111575</v>
      </c>
      <c r="M790" s="4">
        <f>IFERROR(__xludf.DUMMYFUNCTION("""COMPUTED_VALUE"""),0.510446146585612)</f>
        <v>0.5104461466</v>
      </c>
      <c r="N790" s="15">
        <v>3912.0</v>
      </c>
      <c r="O790" s="4"/>
      <c r="P790" s="14" t="s">
        <v>2767</v>
      </c>
      <c r="Q790" s="17">
        <f>IFERROR(__xludf.DUMMYFUNCTION("SPLIT(P:P, "" "")"),0.101050486961417)</f>
        <v>0.101050487</v>
      </c>
      <c r="R790" s="4">
        <f>IFERROR(__xludf.DUMMYFUNCTION("""COMPUTED_VALUE"""),0.371863708178009)</f>
        <v>0.3718637082</v>
      </c>
      <c r="S790" s="15">
        <v>5868.0</v>
      </c>
      <c r="T790" s="4"/>
      <c r="U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4" t="s">
        <v>2768</v>
      </c>
      <c r="L791" s="17">
        <f>IFERROR(__xludf.DUMMYFUNCTION("SPLIT(K:K, "" "")"),0.114399719139493)</f>
        <v>0.1143997191</v>
      </c>
      <c r="M791" s="4">
        <f>IFERROR(__xludf.DUMMYFUNCTION("""COMPUTED_VALUE"""),0.502458089292526)</f>
        <v>0.5024580893</v>
      </c>
      <c r="N791" s="15">
        <v>3920.0</v>
      </c>
      <c r="O791" s="4"/>
      <c r="P791" s="14" t="s">
        <v>2769</v>
      </c>
      <c r="Q791" s="17">
        <f>IFERROR(__xludf.DUMMYFUNCTION("SPLIT(P:P, "" "")"),0.103678766709648)</f>
        <v>0.1036787667</v>
      </c>
      <c r="R791" s="4">
        <f>IFERROR(__xludf.DUMMYFUNCTION("""COMPUTED_VALUE"""),0.381195317655385)</f>
        <v>0.3811953177</v>
      </c>
      <c r="S791" s="15">
        <v>5880.0</v>
      </c>
      <c r="T791" s="4"/>
      <c r="U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4" t="s">
        <v>2770</v>
      </c>
      <c r="L792" s="17">
        <f>IFERROR(__xludf.DUMMYFUNCTION("SPLIT(K:K, "" "")"),0.116485851892667)</f>
        <v>0.1164858519</v>
      </c>
      <c r="M792" s="4">
        <f>IFERROR(__xludf.DUMMYFUNCTION("""COMPUTED_VALUE"""),0.50193595193238)</f>
        <v>0.5019359519</v>
      </c>
      <c r="N792" s="15">
        <v>3928.0</v>
      </c>
      <c r="O792" s="4"/>
      <c r="P792" s="14" t="s">
        <v>2771</v>
      </c>
      <c r="Q792" s="17">
        <f>IFERROR(__xludf.DUMMYFUNCTION("SPLIT(P:P, "" "")"),0.102371002342136)</f>
        <v>0.1023710023</v>
      </c>
      <c r="R792" s="4">
        <f>IFERROR(__xludf.DUMMYFUNCTION("""COMPUTED_VALUE"""),0.381552057123416)</f>
        <v>0.3815520571</v>
      </c>
      <c r="S792" s="15">
        <v>5892.0</v>
      </c>
      <c r="T792" s="4"/>
      <c r="U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4" t="s">
        <v>2772</v>
      </c>
      <c r="L793" s="17">
        <f>IFERROR(__xludf.DUMMYFUNCTION("SPLIT(K:K, "" "")"),0.114356513465445)</f>
        <v>0.1143565135</v>
      </c>
      <c r="M793" s="4">
        <f>IFERROR(__xludf.DUMMYFUNCTION("""COMPUTED_VALUE"""),0.50372139227197)</f>
        <v>0.5037213923</v>
      </c>
      <c r="N793" s="15">
        <v>3936.0</v>
      </c>
      <c r="O793" s="4"/>
      <c r="P793" s="14" t="s">
        <v>2773</v>
      </c>
      <c r="Q793" s="17">
        <f>IFERROR(__xludf.DUMMYFUNCTION("SPLIT(P:P, "" "")"),0.102517456243236)</f>
        <v>0.1025174562</v>
      </c>
      <c r="R793" s="4">
        <f>IFERROR(__xludf.DUMMYFUNCTION("""COMPUTED_VALUE"""),0.380768988030578)</f>
        <v>0.380768988</v>
      </c>
      <c r="S793" s="15">
        <v>5904.0</v>
      </c>
      <c r="T793" s="4"/>
      <c r="U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4" t="s">
        <v>2774</v>
      </c>
      <c r="L794" s="17">
        <f>IFERROR(__xludf.DUMMYFUNCTION("SPLIT(K:K, "" "")"),0.118646709449734)</f>
        <v>0.1186467094</v>
      </c>
      <c r="M794" s="4">
        <f>IFERROR(__xludf.DUMMYFUNCTION("""COMPUTED_VALUE"""),0.509049984009116)</f>
        <v>0.509049984</v>
      </c>
      <c r="N794" s="15">
        <v>3944.0</v>
      </c>
      <c r="O794" s="4"/>
      <c r="P794" s="14" t="s">
        <v>2775</v>
      </c>
      <c r="Q794" s="17">
        <f>IFERROR(__xludf.DUMMYFUNCTION("SPLIT(P:P, "" "")"),0.101937316165392)</f>
        <v>0.1019373162</v>
      </c>
      <c r="R794" s="4">
        <f>IFERROR(__xludf.DUMMYFUNCTION("""COMPUTED_VALUE"""),0.37672620069947)</f>
        <v>0.3767262007</v>
      </c>
      <c r="S794" s="15">
        <v>5916.0</v>
      </c>
      <c r="T794" s="4"/>
      <c r="U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4" t="s">
        <v>2776</v>
      </c>
      <c r="L795" s="17">
        <f>IFERROR(__xludf.DUMMYFUNCTION("SPLIT(K:K, "" "")"),0.112643652194429)</f>
        <v>0.1126436522</v>
      </c>
      <c r="M795" s="4">
        <f>IFERROR(__xludf.DUMMYFUNCTION("""COMPUTED_VALUE"""),0.499527797101394)</f>
        <v>0.4995277971</v>
      </c>
      <c r="N795" s="15">
        <v>3952.0</v>
      </c>
      <c r="O795" s="4"/>
      <c r="P795" s="14" t="s">
        <v>2777</v>
      </c>
      <c r="Q795" s="17">
        <f>IFERROR(__xludf.DUMMYFUNCTION("SPLIT(P:P, "" "")"),0.101474733327092)</f>
        <v>0.1014747333</v>
      </c>
      <c r="R795" s="4">
        <f>IFERROR(__xludf.DUMMYFUNCTION("""COMPUTED_VALUE"""),0.369463668956034)</f>
        <v>0.369463669</v>
      </c>
      <c r="S795" s="15">
        <v>5928.0</v>
      </c>
      <c r="T795" s="4"/>
      <c r="U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4" t="s">
        <v>2778</v>
      </c>
      <c r="L796" s="17">
        <f>IFERROR(__xludf.DUMMYFUNCTION("SPLIT(K:K, "" "")"),0.113504143787103)</f>
        <v>0.1135041438</v>
      </c>
      <c r="M796" s="4">
        <f>IFERROR(__xludf.DUMMYFUNCTION("""COMPUTED_VALUE"""),0.502778634428127)</f>
        <v>0.5027786344</v>
      </c>
      <c r="N796" s="15">
        <v>3960.0</v>
      </c>
      <c r="O796" s="4"/>
      <c r="P796" s="14" t="s">
        <v>2779</v>
      </c>
      <c r="Q796" s="17">
        <f>IFERROR(__xludf.DUMMYFUNCTION("SPLIT(P:P, "" "")"),0.101028637254464)</f>
        <v>0.1010286373</v>
      </c>
      <c r="R796" s="4">
        <f>IFERROR(__xludf.DUMMYFUNCTION("""COMPUTED_VALUE"""),0.375024363589953)</f>
        <v>0.3750243636</v>
      </c>
      <c r="S796" s="15">
        <v>5940.0</v>
      </c>
      <c r="T796" s="4"/>
      <c r="U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4" t="s">
        <v>2780</v>
      </c>
      <c r="L797" s="17">
        <f>IFERROR(__xludf.DUMMYFUNCTION("SPLIT(K:K, "" "")"),0.111888003529164)</f>
        <v>0.1118880035</v>
      </c>
      <c r="M797" s="4">
        <f>IFERROR(__xludf.DUMMYFUNCTION("""COMPUTED_VALUE"""),0.50264056033939)</f>
        <v>0.5026405603</v>
      </c>
      <c r="N797" s="15">
        <v>3968.0</v>
      </c>
      <c r="O797" s="4"/>
      <c r="P797" s="14" t="s">
        <v>2781</v>
      </c>
      <c r="Q797" s="17">
        <f>IFERROR(__xludf.DUMMYFUNCTION("SPLIT(P:P, "" "")"),0.102000022682757)</f>
        <v>0.1020000227</v>
      </c>
      <c r="R797" s="4">
        <f>IFERROR(__xludf.DUMMYFUNCTION("""COMPUTED_VALUE"""),0.377680622845203)</f>
        <v>0.3776806228</v>
      </c>
      <c r="S797" s="15">
        <v>5952.0</v>
      </c>
      <c r="T797" s="4"/>
      <c r="U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4" t="s">
        <v>2782</v>
      </c>
      <c r="L798" s="17">
        <f>IFERROR(__xludf.DUMMYFUNCTION("SPLIT(K:K, "" "")"),0.115527206741343)</f>
        <v>0.1155272067</v>
      </c>
      <c r="M798" s="4">
        <f>IFERROR(__xludf.DUMMYFUNCTION("""COMPUTED_VALUE"""),0.509090346103118)</f>
        <v>0.5090903461</v>
      </c>
      <c r="N798" s="15">
        <v>3976.0</v>
      </c>
      <c r="O798" s="4"/>
      <c r="P798" s="14" t="s">
        <v>2783</v>
      </c>
      <c r="Q798" s="17">
        <f>IFERROR(__xludf.DUMMYFUNCTION("SPLIT(P:P, "" "")"),0.102241781242955)</f>
        <v>0.1022417812</v>
      </c>
      <c r="R798" s="4">
        <f>IFERROR(__xludf.DUMMYFUNCTION("""COMPUTED_VALUE"""),0.372630193254274)</f>
        <v>0.3726301933</v>
      </c>
      <c r="S798" s="15">
        <v>5964.0</v>
      </c>
      <c r="T798" s="4"/>
      <c r="U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4" t="s">
        <v>2784</v>
      </c>
      <c r="L799" s="17">
        <f>IFERROR(__xludf.DUMMYFUNCTION("SPLIT(K:K, "" "")"),0.113465327471781)</f>
        <v>0.1134653275</v>
      </c>
      <c r="M799" s="4">
        <f>IFERROR(__xludf.DUMMYFUNCTION("""COMPUTED_VALUE"""),0.503183125473088)</f>
        <v>0.5031831255</v>
      </c>
      <c r="N799" s="15">
        <v>3984.0</v>
      </c>
      <c r="O799" s="4"/>
      <c r="P799" s="14" t="s">
        <v>2785</v>
      </c>
      <c r="Q799" s="17">
        <f>IFERROR(__xludf.DUMMYFUNCTION("SPLIT(P:P, "" "")"),0.100116147153956)</f>
        <v>0.1001161472</v>
      </c>
      <c r="R799" s="4">
        <f>IFERROR(__xludf.DUMMYFUNCTION("""COMPUTED_VALUE"""),0.36573061794146)</f>
        <v>0.3657306179</v>
      </c>
      <c r="S799" s="15">
        <v>5976.0</v>
      </c>
      <c r="T799" s="4"/>
      <c r="U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4" t="s">
        <v>2786</v>
      </c>
      <c r="L800" s="17">
        <f>IFERROR(__xludf.DUMMYFUNCTION("SPLIT(K:K, "" "")"),0.114108848968609)</f>
        <v>0.114108849</v>
      </c>
      <c r="M800" s="4">
        <f>IFERROR(__xludf.DUMMYFUNCTION("""COMPUTED_VALUE"""),0.513310785634574)</f>
        <v>0.5133107856</v>
      </c>
      <c r="N800" s="15">
        <v>3992.0</v>
      </c>
      <c r="O800" s="4"/>
      <c r="P800" s="14" t="s">
        <v>2787</v>
      </c>
      <c r="Q800" s="17">
        <f>IFERROR(__xludf.DUMMYFUNCTION("SPLIT(P:P, "" "")"),0.0998211507451636)</f>
        <v>0.09982115075</v>
      </c>
      <c r="R800" s="4">
        <f>IFERROR(__xludf.DUMMYFUNCTION("""COMPUTED_VALUE"""),0.372741496480726)</f>
        <v>0.3727414965</v>
      </c>
      <c r="S800" s="15">
        <v>5988.0</v>
      </c>
      <c r="T800" s="4"/>
      <c r="U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4" t="s">
        <v>2788</v>
      </c>
      <c r="L801" s="17">
        <f>IFERROR(__xludf.DUMMYFUNCTION("SPLIT(K:K, "" "")"),0.118726590182364)</f>
        <v>0.1187265902</v>
      </c>
      <c r="M801" s="4">
        <f>IFERROR(__xludf.DUMMYFUNCTION("""COMPUTED_VALUE"""),0.503695523364498)</f>
        <v>0.5036955234</v>
      </c>
      <c r="N801" s="15">
        <v>4000.0</v>
      </c>
      <c r="O801" s="4"/>
      <c r="P801" s="14" t="s">
        <v>2789</v>
      </c>
      <c r="Q801" s="17">
        <f>IFERROR(__xludf.DUMMYFUNCTION("SPLIT(P:P, "" "")"),0.100407483231922)</f>
        <v>0.1004074832</v>
      </c>
      <c r="R801" s="4">
        <f>IFERROR(__xludf.DUMMYFUNCTION("""COMPUTED_VALUE"""),0.370308076348614)</f>
        <v>0.3703080763</v>
      </c>
      <c r="S801" s="15">
        <v>6000.0</v>
      </c>
      <c r="T801" s="4"/>
      <c r="U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4" t="s">
        <v>2790</v>
      </c>
      <c r="L802" s="17">
        <f>IFERROR(__xludf.DUMMYFUNCTION("SPLIT(K:K, "" "")"),0.118551492498739)</f>
        <v>0.1185514925</v>
      </c>
      <c r="M802" s="4">
        <f>IFERROR(__xludf.DUMMYFUNCTION("""COMPUTED_VALUE"""),0.504602832730672)</f>
        <v>0.5046028327</v>
      </c>
      <c r="N802" s="15">
        <v>4008.0</v>
      </c>
      <c r="O802" s="4"/>
      <c r="P802" s="14" t="s">
        <v>2791</v>
      </c>
      <c r="Q802" s="17">
        <f>IFERROR(__xludf.DUMMYFUNCTION("SPLIT(P:P, "" "")"),0.104992593811884)</f>
        <v>0.1049925938</v>
      </c>
      <c r="R802" s="4">
        <f>IFERROR(__xludf.DUMMYFUNCTION("""COMPUTED_VALUE"""),0.370420960433963)</f>
        <v>0.3704209604</v>
      </c>
      <c r="S802" s="15">
        <v>6012.0</v>
      </c>
      <c r="T802" s="4"/>
      <c r="U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4" t="s">
        <v>2792</v>
      </c>
      <c r="L803" s="17">
        <f>IFERROR(__xludf.DUMMYFUNCTION("SPLIT(K:K, "" "")"),0.112906727430226)</f>
        <v>0.1129067274</v>
      </c>
      <c r="M803" s="4">
        <f>IFERROR(__xludf.DUMMYFUNCTION("""COMPUTED_VALUE"""),0.514774061341101)</f>
        <v>0.5147740613</v>
      </c>
      <c r="N803" s="15">
        <v>4016.0</v>
      </c>
      <c r="O803" s="4"/>
      <c r="P803" s="14" t="s">
        <v>2793</v>
      </c>
      <c r="Q803" s="17">
        <f>IFERROR(__xludf.DUMMYFUNCTION("SPLIT(P:P, "" "")"),0.0989624160303611)</f>
        <v>0.09896241603</v>
      </c>
      <c r="R803" s="4">
        <f>IFERROR(__xludf.DUMMYFUNCTION("""COMPUTED_VALUE"""),0.370376260952953)</f>
        <v>0.370376261</v>
      </c>
      <c r="S803" s="15">
        <v>6024.0</v>
      </c>
      <c r="T803" s="4"/>
      <c r="U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4" t="s">
        <v>2794</v>
      </c>
      <c r="L804" s="17">
        <f>IFERROR(__xludf.DUMMYFUNCTION("SPLIT(K:K, "" "")"),0.112561226844213)</f>
        <v>0.1125612268</v>
      </c>
      <c r="M804" s="4">
        <f>IFERROR(__xludf.DUMMYFUNCTION("""COMPUTED_VALUE"""),0.505398420094206)</f>
        <v>0.5053984201</v>
      </c>
      <c r="N804" s="15">
        <v>4024.0</v>
      </c>
      <c r="O804" s="4"/>
      <c r="P804" s="14" t="s">
        <v>2795</v>
      </c>
      <c r="Q804" s="17">
        <f>IFERROR(__xludf.DUMMYFUNCTION("SPLIT(P:P, "" "")"),0.100491992793408)</f>
        <v>0.1004919928</v>
      </c>
      <c r="R804" s="4">
        <f>IFERROR(__xludf.DUMMYFUNCTION("""COMPUTED_VALUE"""),0.370584767140984)</f>
        <v>0.3705847671</v>
      </c>
      <c r="S804" s="15">
        <v>6036.0</v>
      </c>
      <c r="T804" s="4"/>
      <c r="U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4" t="s">
        <v>2796</v>
      </c>
      <c r="L805" s="17">
        <f>IFERROR(__xludf.DUMMYFUNCTION("SPLIT(K:K, "" "")"),0.112591121697862)</f>
        <v>0.1125911217</v>
      </c>
      <c r="M805" s="4">
        <f>IFERROR(__xludf.DUMMYFUNCTION("""COMPUTED_VALUE"""),0.501541039476054)</f>
        <v>0.5015410395</v>
      </c>
      <c r="N805" s="15">
        <v>4032.0</v>
      </c>
      <c r="O805" s="4"/>
      <c r="P805" s="14" t="s">
        <v>2797</v>
      </c>
      <c r="Q805" s="17">
        <f>IFERROR(__xludf.DUMMYFUNCTION("SPLIT(P:P, "" "")"),0.103303261903117)</f>
        <v>0.1033032619</v>
      </c>
      <c r="R805" s="4">
        <f>IFERROR(__xludf.DUMMYFUNCTION("""COMPUTED_VALUE"""),0.375187304854763)</f>
        <v>0.3751873049</v>
      </c>
      <c r="S805" s="15">
        <v>6048.0</v>
      </c>
      <c r="T805" s="4"/>
      <c r="U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4" t="s">
        <v>2798</v>
      </c>
      <c r="L806" s="17">
        <f>IFERROR(__xludf.DUMMYFUNCTION("SPLIT(K:K, "" "")"),0.111152844912827)</f>
        <v>0.1111528449</v>
      </c>
      <c r="M806" s="4">
        <f>IFERROR(__xludf.DUMMYFUNCTION("""COMPUTED_VALUE"""),0.492276175778985)</f>
        <v>0.4922761758</v>
      </c>
      <c r="N806" s="15">
        <v>4040.0</v>
      </c>
      <c r="O806" s="4"/>
      <c r="P806" s="14" t="s">
        <v>2799</v>
      </c>
      <c r="Q806" s="17">
        <f>IFERROR(__xludf.DUMMYFUNCTION("SPLIT(P:P, "" "")"),0.0988781325386694)</f>
        <v>0.09887813254</v>
      </c>
      <c r="R806" s="4">
        <f>IFERROR(__xludf.DUMMYFUNCTION("""COMPUTED_VALUE"""),0.373498179621803)</f>
        <v>0.3734981796</v>
      </c>
      <c r="S806" s="15">
        <v>6060.0</v>
      </c>
      <c r="T806" s="4"/>
      <c r="U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4" t="s">
        <v>2800</v>
      </c>
      <c r="L807" s="17">
        <f>IFERROR(__xludf.DUMMYFUNCTION("SPLIT(K:K, "" "")"),0.115773556547619)</f>
        <v>0.1157735565</v>
      </c>
      <c r="M807" s="4">
        <f>IFERROR(__xludf.DUMMYFUNCTION("""COMPUTED_VALUE"""),0.50650909925641)</f>
        <v>0.5065090993</v>
      </c>
      <c r="N807" s="15">
        <v>4048.0</v>
      </c>
      <c r="O807" s="4"/>
      <c r="P807" s="14" t="s">
        <v>2801</v>
      </c>
      <c r="Q807" s="17">
        <f>IFERROR(__xludf.DUMMYFUNCTION("SPLIT(P:P, "" "")"),0.102978879268321)</f>
        <v>0.1029788793</v>
      </c>
      <c r="R807" s="4">
        <f>IFERROR(__xludf.DUMMYFUNCTION("""COMPUTED_VALUE"""),0.375534595976774)</f>
        <v>0.375534596</v>
      </c>
      <c r="S807" s="15">
        <v>6072.0</v>
      </c>
      <c r="T807" s="4"/>
      <c r="U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4" t="s">
        <v>2802</v>
      </c>
      <c r="L808" s="17">
        <f>IFERROR(__xludf.DUMMYFUNCTION("SPLIT(K:K, "" "")"),0.112418036456956)</f>
        <v>0.1124180365</v>
      </c>
      <c r="M808" s="4">
        <f>IFERROR(__xludf.DUMMYFUNCTION("""COMPUTED_VALUE"""),0.509230974635829)</f>
        <v>0.5092309746</v>
      </c>
      <c r="N808" s="15">
        <v>4056.0</v>
      </c>
      <c r="O808" s="4"/>
      <c r="P808" s="14" t="s">
        <v>2803</v>
      </c>
      <c r="Q808" s="17">
        <f>IFERROR(__xludf.DUMMYFUNCTION("SPLIT(P:P, "" "")"),0.100911804999902)</f>
        <v>0.100911805</v>
      </c>
      <c r="R808" s="4">
        <f>IFERROR(__xludf.DUMMYFUNCTION("""COMPUTED_VALUE"""),0.382366134447892)</f>
        <v>0.3823661344</v>
      </c>
      <c r="S808" s="15">
        <v>6084.0</v>
      </c>
      <c r="T808" s="4"/>
      <c r="U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4" t="s">
        <v>2804</v>
      </c>
      <c r="L809" s="17">
        <f>IFERROR(__xludf.DUMMYFUNCTION("SPLIT(K:K, "" "")"),0.115583864654838)</f>
        <v>0.1155838647</v>
      </c>
      <c r="M809" s="4">
        <f>IFERROR(__xludf.DUMMYFUNCTION("""COMPUTED_VALUE"""),0.506694382970712)</f>
        <v>0.506694383</v>
      </c>
      <c r="N809" s="15">
        <v>4064.0</v>
      </c>
      <c r="O809" s="4"/>
      <c r="P809" s="14" t="s">
        <v>2805</v>
      </c>
      <c r="Q809" s="17">
        <f>IFERROR(__xludf.DUMMYFUNCTION("SPLIT(P:P, "" "")"),0.103023340881285)</f>
        <v>0.1030233409</v>
      </c>
      <c r="R809" s="4">
        <f>IFERROR(__xludf.DUMMYFUNCTION("""COMPUTED_VALUE"""),0.377428663895001)</f>
        <v>0.3774286639</v>
      </c>
      <c r="S809" s="15">
        <v>6096.0</v>
      </c>
      <c r="T809" s="4"/>
      <c r="U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4" t="s">
        <v>2806</v>
      </c>
      <c r="L810" s="17">
        <f>IFERROR(__xludf.DUMMYFUNCTION("SPLIT(K:K, "" "")"),0.116766685471195)</f>
        <v>0.1167666855</v>
      </c>
      <c r="M810" s="4">
        <f>IFERROR(__xludf.DUMMYFUNCTION("""COMPUTED_VALUE"""),0.502632289319978)</f>
        <v>0.5026322893</v>
      </c>
      <c r="N810" s="15">
        <v>4072.0</v>
      </c>
      <c r="O810" s="4"/>
      <c r="P810" s="14" t="s">
        <v>2807</v>
      </c>
      <c r="Q810" s="17">
        <f>IFERROR(__xludf.DUMMYFUNCTION("SPLIT(P:P, "" "")"),0.102726940303429)</f>
        <v>0.1027269403</v>
      </c>
      <c r="R810" s="4">
        <f>IFERROR(__xludf.DUMMYFUNCTION("""COMPUTED_VALUE"""),0.379372329403488)</f>
        <v>0.3793723294</v>
      </c>
      <c r="S810" s="15">
        <v>6108.0</v>
      </c>
      <c r="T810" s="4"/>
      <c r="U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4" t="s">
        <v>2808</v>
      </c>
      <c r="L811" s="17">
        <f>IFERROR(__xludf.DUMMYFUNCTION("SPLIT(K:K, "" "")"),0.114497041530461)</f>
        <v>0.1144970415</v>
      </c>
      <c r="M811" s="4">
        <f>IFERROR(__xludf.DUMMYFUNCTION("""COMPUTED_VALUE"""),0.507895779089601)</f>
        <v>0.5078957791</v>
      </c>
      <c r="N811" s="15">
        <v>4080.0</v>
      </c>
      <c r="O811" s="4"/>
      <c r="P811" s="14" t="s">
        <v>2809</v>
      </c>
      <c r="Q811" s="17">
        <f>IFERROR(__xludf.DUMMYFUNCTION("SPLIT(P:P, "" "")"),0.101427505027946)</f>
        <v>0.101427505</v>
      </c>
      <c r="R811" s="4">
        <f>IFERROR(__xludf.DUMMYFUNCTION("""COMPUTED_VALUE"""),0.376820288839263)</f>
        <v>0.3768202888</v>
      </c>
      <c r="S811" s="15">
        <v>6120.0</v>
      </c>
      <c r="T811" s="4"/>
      <c r="U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4" t="s">
        <v>2810</v>
      </c>
      <c r="L812" s="17">
        <f>IFERROR(__xludf.DUMMYFUNCTION("SPLIT(K:K, "" "")"),0.115359043595635)</f>
        <v>0.1153590436</v>
      </c>
      <c r="M812" s="4">
        <f>IFERROR(__xludf.DUMMYFUNCTION("""COMPUTED_VALUE"""),0.514701105050359)</f>
        <v>0.5147011051</v>
      </c>
      <c r="N812" s="15">
        <v>4088.0</v>
      </c>
      <c r="O812" s="4"/>
      <c r="P812" s="14" t="s">
        <v>2811</v>
      </c>
      <c r="Q812" s="17">
        <f>IFERROR(__xludf.DUMMYFUNCTION("SPLIT(P:P, "" "")"),0.10409549945912)</f>
        <v>0.1040954995</v>
      </c>
      <c r="R812" s="4">
        <f>IFERROR(__xludf.DUMMYFUNCTION("""COMPUTED_VALUE"""),0.376265634258562)</f>
        <v>0.3762656343</v>
      </c>
      <c r="S812" s="15">
        <v>6132.0</v>
      </c>
      <c r="T812" s="4"/>
      <c r="U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4" t="s">
        <v>2812</v>
      </c>
      <c r="L813" s="17">
        <f>IFERROR(__xludf.DUMMYFUNCTION("SPLIT(K:K, "" "")"),0.111034568020673)</f>
        <v>0.111034568</v>
      </c>
      <c r="M813" s="4">
        <f>IFERROR(__xludf.DUMMYFUNCTION("""COMPUTED_VALUE"""),0.500857498482064)</f>
        <v>0.5008574985</v>
      </c>
      <c r="N813" s="15">
        <v>4096.0</v>
      </c>
      <c r="O813" s="4"/>
      <c r="P813" s="14" t="s">
        <v>2813</v>
      </c>
      <c r="Q813" s="17">
        <f>IFERROR(__xludf.DUMMYFUNCTION("SPLIT(P:P, "" "")"),0.0986493190300758)</f>
        <v>0.09864931903</v>
      </c>
      <c r="R813" s="4">
        <f>IFERROR(__xludf.DUMMYFUNCTION("""COMPUTED_VALUE"""),0.37907877049034)</f>
        <v>0.3790787705</v>
      </c>
      <c r="S813" s="15">
        <v>6144.0</v>
      </c>
      <c r="T813" s="4"/>
      <c r="U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4" t="s">
        <v>2814</v>
      </c>
      <c r="L814" s="17">
        <f>IFERROR(__xludf.DUMMYFUNCTION("SPLIT(K:K, "" "")"),0.111324442792836)</f>
        <v>0.1113244428</v>
      </c>
      <c r="M814" s="4">
        <f>IFERROR(__xludf.DUMMYFUNCTION("""COMPUTED_VALUE"""),0.493917661245277)</f>
        <v>0.4939176612</v>
      </c>
      <c r="N814" s="15">
        <v>4104.0</v>
      </c>
      <c r="O814" s="4"/>
      <c r="P814" s="14" t="s">
        <v>2815</v>
      </c>
      <c r="Q814" s="17">
        <f>IFERROR(__xludf.DUMMYFUNCTION("SPLIT(P:P, "" "")"),0.100848526223275)</f>
        <v>0.1008485262</v>
      </c>
      <c r="R814" s="4">
        <f>IFERROR(__xludf.DUMMYFUNCTION("""COMPUTED_VALUE"""),0.376747538398371)</f>
        <v>0.3767475384</v>
      </c>
      <c r="S814" s="15">
        <v>6156.0</v>
      </c>
      <c r="T814" s="4"/>
      <c r="U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4" t="s">
        <v>2816</v>
      </c>
      <c r="L815" s="17">
        <f>IFERROR(__xludf.DUMMYFUNCTION("SPLIT(K:K, "" "")"),0.110121042662375)</f>
        <v>0.1101210427</v>
      </c>
      <c r="M815" s="4">
        <f>IFERROR(__xludf.DUMMYFUNCTION("""COMPUTED_VALUE"""),0.500425247209119)</f>
        <v>0.5004252472</v>
      </c>
      <c r="N815" s="15">
        <v>4112.0</v>
      </c>
      <c r="O815" s="4"/>
      <c r="P815" s="14" t="s">
        <v>2817</v>
      </c>
      <c r="Q815" s="17">
        <f>IFERROR(__xludf.DUMMYFUNCTION("SPLIT(P:P, "" "")"),0.100834593368052)</f>
        <v>0.1008345934</v>
      </c>
      <c r="R815" s="4">
        <f>IFERROR(__xludf.DUMMYFUNCTION("""COMPUTED_VALUE"""),0.378326147265489)</f>
        <v>0.3783261473</v>
      </c>
      <c r="S815" s="15">
        <v>6168.0</v>
      </c>
      <c r="T815" s="4"/>
      <c r="U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4" t="s">
        <v>2818</v>
      </c>
      <c r="L816" s="17">
        <f>IFERROR(__xludf.DUMMYFUNCTION("SPLIT(K:K, "" "")"),0.112152495636201)</f>
        <v>0.1121524956</v>
      </c>
      <c r="M816" s="4">
        <f>IFERROR(__xludf.DUMMYFUNCTION("""COMPUTED_VALUE"""),0.501088231161438)</f>
        <v>0.5010882312</v>
      </c>
      <c r="N816" s="15">
        <v>4120.0</v>
      </c>
      <c r="O816" s="4"/>
      <c r="P816" s="14" t="s">
        <v>2819</v>
      </c>
      <c r="Q816" s="17">
        <f>IFERROR(__xludf.DUMMYFUNCTION("SPLIT(P:P, "" "")"),0.0983330669533507)</f>
        <v>0.09833306695</v>
      </c>
      <c r="R816" s="4">
        <f>IFERROR(__xludf.DUMMYFUNCTION("""COMPUTED_VALUE"""),0.374897319062969)</f>
        <v>0.3748973191</v>
      </c>
      <c r="S816" s="15">
        <v>6180.0</v>
      </c>
      <c r="T816" s="4"/>
      <c r="U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4" t="s">
        <v>2820</v>
      </c>
      <c r="L817" s="17">
        <f>IFERROR(__xludf.DUMMYFUNCTION("SPLIT(K:K, "" "")"),0.112176727673313)</f>
        <v>0.1121767277</v>
      </c>
      <c r="M817" s="4">
        <f>IFERROR(__xludf.DUMMYFUNCTION("""COMPUTED_VALUE"""),0.509016899468059)</f>
        <v>0.5090168995</v>
      </c>
      <c r="N817" s="15">
        <v>4128.0</v>
      </c>
      <c r="O817" s="4"/>
      <c r="P817" s="14" t="s">
        <v>2821</v>
      </c>
      <c r="Q817" s="17">
        <f>IFERROR(__xludf.DUMMYFUNCTION("SPLIT(P:P, "" "")"),0.0978597702273513)</f>
        <v>0.09785977023</v>
      </c>
      <c r="R817" s="4">
        <f>IFERROR(__xludf.DUMMYFUNCTION("""COMPUTED_VALUE"""),0.366194187857194)</f>
        <v>0.3661941879</v>
      </c>
      <c r="S817" s="15">
        <v>6192.0</v>
      </c>
      <c r="T817" s="4"/>
      <c r="U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4" t="s">
        <v>2822</v>
      </c>
      <c r="L818" s="17">
        <f>IFERROR(__xludf.DUMMYFUNCTION("SPLIT(K:K, "" "")"),0.114214341145234)</f>
        <v>0.1142143411</v>
      </c>
      <c r="M818" s="4">
        <f>IFERROR(__xludf.DUMMYFUNCTION("""COMPUTED_VALUE"""),0.511639750244308)</f>
        <v>0.5116397502</v>
      </c>
      <c r="N818" s="15">
        <v>4136.0</v>
      </c>
      <c r="O818" s="4"/>
      <c r="P818" s="14" t="s">
        <v>2823</v>
      </c>
      <c r="Q818" s="17">
        <f>IFERROR(__xludf.DUMMYFUNCTION("SPLIT(P:P, "" "")"),0.102540560422046)</f>
        <v>0.1025405604</v>
      </c>
      <c r="R818" s="4">
        <f>IFERROR(__xludf.DUMMYFUNCTION("""COMPUTED_VALUE"""),0.381385312292408)</f>
        <v>0.3813853123</v>
      </c>
      <c r="S818" s="15">
        <v>6204.0</v>
      </c>
      <c r="T818" s="4"/>
      <c r="U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4" t="s">
        <v>2824</v>
      </c>
      <c r="L819" s="17">
        <f>IFERROR(__xludf.DUMMYFUNCTION("SPLIT(K:K, "" "")"),0.110514700142414)</f>
        <v>0.1105147001</v>
      </c>
      <c r="M819" s="4">
        <f>IFERROR(__xludf.DUMMYFUNCTION("""COMPUTED_VALUE"""),0.501401603390746)</f>
        <v>0.5014016034</v>
      </c>
      <c r="N819" s="15">
        <v>4144.0</v>
      </c>
      <c r="O819" s="4"/>
      <c r="P819" s="14" t="s">
        <v>2825</v>
      </c>
      <c r="Q819" s="17">
        <f>IFERROR(__xludf.DUMMYFUNCTION("SPLIT(P:P, "" "")"),0.0996338894730006)</f>
        <v>0.09963388947</v>
      </c>
      <c r="R819" s="4">
        <f>IFERROR(__xludf.DUMMYFUNCTION("""COMPUTED_VALUE"""),0.374798101290146)</f>
        <v>0.3747981013</v>
      </c>
      <c r="S819" s="15">
        <v>6216.0</v>
      </c>
      <c r="T819" s="4"/>
      <c r="U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4" t="s">
        <v>2826</v>
      </c>
      <c r="L820" s="17">
        <f>IFERROR(__xludf.DUMMYFUNCTION("SPLIT(K:K, "" "")"),0.110974569923749)</f>
        <v>0.1109745699</v>
      </c>
      <c r="M820" s="4">
        <f>IFERROR(__xludf.DUMMYFUNCTION("""COMPUTED_VALUE"""),0.505159138202077)</f>
        <v>0.5051591382</v>
      </c>
      <c r="N820" s="15">
        <v>4152.0</v>
      </c>
      <c r="O820" s="4"/>
      <c r="P820" s="14" t="s">
        <v>2827</v>
      </c>
      <c r="Q820" s="17">
        <f>IFERROR(__xludf.DUMMYFUNCTION("SPLIT(P:P, "" "")"),0.101660411320513)</f>
        <v>0.1016604113</v>
      </c>
      <c r="R820" s="4">
        <f>IFERROR(__xludf.DUMMYFUNCTION("""COMPUTED_VALUE"""),0.386930514888193)</f>
        <v>0.3869305149</v>
      </c>
      <c r="S820" s="15">
        <v>6228.0</v>
      </c>
      <c r="T820" s="4"/>
      <c r="U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4" t="s">
        <v>2828</v>
      </c>
      <c r="L821" s="17">
        <f>IFERROR(__xludf.DUMMYFUNCTION("SPLIT(K:K, "" "")"),0.111483720005296)</f>
        <v>0.11148372</v>
      </c>
      <c r="M821" s="4">
        <f>IFERROR(__xludf.DUMMYFUNCTION("""COMPUTED_VALUE"""),0.507108112801354)</f>
        <v>0.5071081128</v>
      </c>
      <c r="N821" s="15">
        <v>4160.0</v>
      </c>
      <c r="O821" s="4"/>
      <c r="P821" s="14" t="s">
        <v>2829</v>
      </c>
      <c r="Q821" s="17">
        <f>IFERROR(__xludf.DUMMYFUNCTION("SPLIT(P:P, "" "")"),0.0987185825217944)</f>
        <v>0.09871858252</v>
      </c>
      <c r="R821" s="4">
        <f>IFERROR(__xludf.DUMMYFUNCTION("""COMPUTED_VALUE"""),0.370390515654969)</f>
        <v>0.3703905157</v>
      </c>
      <c r="S821" s="15">
        <v>6240.0</v>
      </c>
      <c r="T821" s="4"/>
      <c r="U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4" t="s">
        <v>2830</v>
      </c>
      <c r="L822" s="17">
        <f>IFERROR(__xludf.DUMMYFUNCTION("SPLIT(K:K, "" "")"),0.112213177910129)</f>
        <v>0.1122131779</v>
      </c>
      <c r="M822" s="4">
        <f>IFERROR(__xludf.DUMMYFUNCTION("""COMPUTED_VALUE"""),0.500318964939654)</f>
        <v>0.5003189649</v>
      </c>
      <c r="N822" s="15">
        <v>4168.0</v>
      </c>
      <c r="O822" s="4"/>
      <c r="P822" s="14" t="s">
        <v>2831</v>
      </c>
      <c r="Q822" s="17">
        <f>IFERROR(__xludf.DUMMYFUNCTION("SPLIT(P:P, "" "")"),0.0981943745531581)</f>
        <v>0.09819437455</v>
      </c>
      <c r="R822" s="4">
        <f>IFERROR(__xludf.DUMMYFUNCTION("""COMPUTED_VALUE"""),0.371347072728702)</f>
        <v>0.3713470727</v>
      </c>
      <c r="S822" s="15">
        <v>6252.0</v>
      </c>
      <c r="T822" s="4"/>
      <c r="U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4" t="s">
        <v>2832</v>
      </c>
      <c r="L823" s="17">
        <f>IFERROR(__xludf.DUMMYFUNCTION("SPLIT(K:K, "" "")"),0.111073019190641)</f>
        <v>0.1110730192</v>
      </c>
      <c r="M823" s="4">
        <f>IFERROR(__xludf.DUMMYFUNCTION("""COMPUTED_VALUE"""),0.494823704244619)</f>
        <v>0.4948237042</v>
      </c>
      <c r="N823" s="15">
        <v>4176.0</v>
      </c>
      <c r="O823" s="4"/>
      <c r="P823" s="14" t="s">
        <v>2833</v>
      </c>
      <c r="Q823" s="17">
        <f>IFERROR(__xludf.DUMMYFUNCTION("SPLIT(P:P, "" "")"),0.0988865899112155)</f>
        <v>0.09888658991</v>
      </c>
      <c r="R823" s="4">
        <f>IFERROR(__xludf.DUMMYFUNCTION("""COMPUTED_VALUE"""),0.37044649362995)</f>
        <v>0.3704464936</v>
      </c>
      <c r="S823" s="15">
        <v>6264.0</v>
      </c>
      <c r="T823" s="4"/>
      <c r="U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4" t="s">
        <v>2834</v>
      </c>
      <c r="L824" s="17">
        <f>IFERROR(__xludf.DUMMYFUNCTION("SPLIT(K:K, "" "")"),0.112199538460325)</f>
        <v>0.1121995385</v>
      </c>
      <c r="M824" s="4">
        <f>IFERROR(__xludf.DUMMYFUNCTION("""COMPUTED_VALUE"""),0.499922417849799)</f>
        <v>0.4999224178</v>
      </c>
      <c r="N824" s="15">
        <v>4184.0</v>
      </c>
      <c r="O824" s="4"/>
      <c r="P824" s="14" t="s">
        <v>2835</v>
      </c>
      <c r="Q824" s="17">
        <f>IFERROR(__xludf.DUMMYFUNCTION("SPLIT(P:P, "" "")"),0.0976123112274585)</f>
        <v>0.09761231123</v>
      </c>
      <c r="R824" s="4">
        <f>IFERROR(__xludf.DUMMYFUNCTION("""COMPUTED_VALUE"""),0.36741766184508)</f>
        <v>0.3674176618</v>
      </c>
      <c r="S824" s="15">
        <v>6276.0</v>
      </c>
      <c r="T824" s="4"/>
      <c r="U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4" t="s">
        <v>2836</v>
      </c>
      <c r="L825" s="17">
        <f>IFERROR(__xludf.DUMMYFUNCTION("SPLIT(K:K, "" "")"),0.118947376353981)</f>
        <v>0.1189473764</v>
      </c>
      <c r="M825" s="4">
        <f>IFERROR(__xludf.DUMMYFUNCTION("""COMPUTED_VALUE"""),0.501792220446965)</f>
        <v>0.5017922204</v>
      </c>
      <c r="N825" s="15">
        <v>4192.0</v>
      </c>
      <c r="O825" s="4"/>
      <c r="P825" s="14" t="s">
        <v>2837</v>
      </c>
      <c r="Q825" s="17">
        <f>IFERROR(__xludf.DUMMYFUNCTION("SPLIT(P:P, "" "")"),0.0983273657621004)</f>
        <v>0.09832736576</v>
      </c>
      <c r="R825" s="4">
        <f>IFERROR(__xludf.DUMMYFUNCTION("""COMPUTED_VALUE"""),0.379891521234053)</f>
        <v>0.3798915212</v>
      </c>
      <c r="S825" s="15">
        <v>6288.0</v>
      </c>
      <c r="T825" s="4"/>
      <c r="U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4" t="s">
        <v>2838</v>
      </c>
      <c r="L826" s="17">
        <f>IFERROR(__xludf.DUMMYFUNCTION("SPLIT(K:K, "" "")"),0.108656448682395)</f>
        <v>0.1086564487</v>
      </c>
      <c r="M826" s="4">
        <f>IFERROR(__xludf.DUMMYFUNCTION("""COMPUTED_VALUE"""),0.494712282192092)</f>
        <v>0.4947122822</v>
      </c>
      <c r="N826" s="15">
        <v>4200.0</v>
      </c>
      <c r="O826" s="4"/>
      <c r="P826" s="14" t="s">
        <v>2839</v>
      </c>
      <c r="Q826" s="17">
        <f>IFERROR(__xludf.DUMMYFUNCTION("SPLIT(P:P, "" "")"),0.0987546822592593)</f>
        <v>0.09875468226</v>
      </c>
      <c r="R826" s="4">
        <f>IFERROR(__xludf.DUMMYFUNCTION("""COMPUTED_VALUE"""),0.380800914714416)</f>
        <v>0.3808009147</v>
      </c>
      <c r="S826" s="15">
        <v>6300.0</v>
      </c>
      <c r="T826" s="4"/>
      <c r="U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4" t="s">
        <v>2840</v>
      </c>
      <c r="L827" s="17">
        <f>IFERROR(__xludf.DUMMYFUNCTION("SPLIT(K:K, "" "")"),0.113510184519871)</f>
        <v>0.1135101845</v>
      </c>
      <c r="M827" s="4">
        <f>IFERROR(__xludf.DUMMYFUNCTION("""COMPUTED_VALUE"""),0.514416944347923)</f>
        <v>0.5144169443</v>
      </c>
      <c r="N827" s="15">
        <v>4208.0</v>
      </c>
      <c r="O827" s="4"/>
      <c r="P827" s="14" t="s">
        <v>2841</v>
      </c>
      <c r="Q827" s="17">
        <f>IFERROR(__xludf.DUMMYFUNCTION("SPLIT(P:P, "" "")"),0.098190467135823)</f>
        <v>0.09819046714</v>
      </c>
      <c r="R827" s="4">
        <f>IFERROR(__xludf.DUMMYFUNCTION("""COMPUTED_VALUE"""),0.368215657656823)</f>
        <v>0.3682156577</v>
      </c>
      <c r="S827" s="15">
        <v>6312.0</v>
      </c>
      <c r="T827" s="4"/>
      <c r="U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4" t="s">
        <v>2842</v>
      </c>
      <c r="L828" s="17">
        <f>IFERROR(__xludf.DUMMYFUNCTION("SPLIT(K:K, "" "")"),0.111207608177042)</f>
        <v>0.1112076082</v>
      </c>
      <c r="M828" s="4">
        <f>IFERROR(__xludf.DUMMYFUNCTION("""COMPUTED_VALUE"""),0.511523166579762)</f>
        <v>0.5115231666</v>
      </c>
      <c r="N828" s="15">
        <v>4216.0</v>
      </c>
      <c r="O828" s="4"/>
      <c r="P828" s="14" t="s">
        <v>2843</v>
      </c>
      <c r="Q828" s="17">
        <f>IFERROR(__xludf.DUMMYFUNCTION("SPLIT(P:P, "" "")"),0.0977746562071844)</f>
        <v>0.09777465621</v>
      </c>
      <c r="R828" s="4">
        <f>IFERROR(__xludf.DUMMYFUNCTION("""COMPUTED_VALUE"""),0.376024348477062)</f>
        <v>0.3760243485</v>
      </c>
      <c r="S828" s="15">
        <v>6324.0</v>
      </c>
      <c r="T828" s="4"/>
      <c r="U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4" t="s">
        <v>2844</v>
      </c>
      <c r="L829" s="17">
        <f>IFERROR(__xludf.DUMMYFUNCTION("SPLIT(K:K, "" "")"),0.11122195235366)</f>
        <v>0.1112219524</v>
      </c>
      <c r="M829" s="4">
        <f>IFERROR(__xludf.DUMMYFUNCTION("""COMPUTED_VALUE"""),0.511699977345672)</f>
        <v>0.5116999773</v>
      </c>
      <c r="N829" s="15">
        <v>4224.0</v>
      </c>
      <c r="O829" s="4"/>
      <c r="P829" s="14" t="s">
        <v>2845</v>
      </c>
      <c r="Q829" s="17">
        <f>IFERROR(__xludf.DUMMYFUNCTION("SPLIT(P:P, "" "")"),0.102212034945825)</f>
        <v>0.1022120349</v>
      </c>
      <c r="R829" s="4">
        <f>IFERROR(__xludf.DUMMYFUNCTION("""COMPUTED_VALUE"""),0.3844998862635)</f>
        <v>0.3844998863</v>
      </c>
      <c r="S829" s="15">
        <v>6336.0</v>
      </c>
      <c r="T829" s="4"/>
      <c r="U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4" t="s">
        <v>2846</v>
      </c>
      <c r="L830" s="17">
        <f>IFERROR(__xludf.DUMMYFUNCTION("SPLIT(K:K, "" "")"),0.111270479527487)</f>
        <v>0.1112704795</v>
      </c>
      <c r="M830" s="4">
        <f>IFERROR(__xludf.DUMMYFUNCTION("""COMPUTED_VALUE"""),0.498594101711401)</f>
        <v>0.4985941017</v>
      </c>
      <c r="N830" s="15">
        <v>4232.0</v>
      </c>
      <c r="O830" s="4"/>
      <c r="P830" s="14" t="s">
        <v>2847</v>
      </c>
      <c r="Q830" s="17">
        <f>IFERROR(__xludf.DUMMYFUNCTION("SPLIT(P:P, "" "")"),0.0975754637584756)</f>
        <v>0.09757546376</v>
      </c>
      <c r="R830" s="4">
        <f>IFERROR(__xludf.DUMMYFUNCTION("""COMPUTED_VALUE"""),0.373385366258512)</f>
        <v>0.3733853663</v>
      </c>
      <c r="S830" s="15">
        <v>6348.0</v>
      </c>
      <c r="T830" s="4"/>
      <c r="U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4" t="s">
        <v>2848</v>
      </c>
      <c r="L831" s="17">
        <f>IFERROR(__xludf.DUMMYFUNCTION("SPLIT(K:K, "" "")"),0.11151547012928)</f>
        <v>0.1115154701</v>
      </c>
      <c r="M831" s="4">
        <f>IFERROR(__xludf.DUMMYFUNCTION("""COMPUTED_VALUE"""),0.514299292835552)</f>
        <v>0.5142992928</v>
      </c>
      <c r="N831" s="15">
        <v>4240.0</v>
      </c>
      <c r="O831" s="4"/>
      <c r="P831" s="14" t="s">
        <v>2849</v>
      </c>
      <c r="Q831" s="17">
        <f>IFERROR(__xludf.DUMMYFUNCTION("SPLIT(P:P, "" "")"),0.0970559050424568)</f>
        <v>0.09705590504</v>
      </c>
      <c r="R831" s="4">
        <f>IFERROR(__xludf.DUMMYFUNCTION("""COMPUTED_VALUE"""),0.369953856525884)</f>
        <v>0.3699538565</v>
      </c>
      <c r="S831" s="15">
        <v>6360.0</v>
      </c>
      <c r="T831" s="4"/>
      <c r="U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4" t="s">
        <v>2850</v>
      </c>
      <c r="L832" s="17">
        <f>IFERROR(__xludf.DUMMYFUNCTION("SPLIT(K:K, "" "")"),0.111045234474349)</f>
        <v>0.1110452345</v>
      </c>
      <c r="M832" s="4">
        <f>IFERROR(__xludf.DUMMYFUNCTION("""COMPUTED_VALUE"""),0.518314869513838)</f>
        <v>0.5183148695</v>
      </c>
      <c r="N832" s="15">
        <v>4248.0</v>
      </c>
      <c r="O832" s="4"/>
      <c r="P832" s="14" t="s">
        <v>2851</v>
      </c>
      <c r="Q832" s="17">
        <f>IFERROR(__xludf.DUMMYFUNCTION("SPLIT(P:P, "" "")"),0.0967197514838514)</f>
        <v>0.09671975148</v>
      </c>
      <c r="R832" s="4">
        <f>IFERROR(__xludf.DUMMYFUNCTION("""COMPUTED_VALUE"""),0.365363975808013)</f>
        <v>0.3653639758</v>
      </c>
      <c r="S832" s="15">
        <v>6372.0</v>
      </c>
      <c r="T832" s="4"/>
      <c r="U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4" t="s">
        <v>2852</v>
      </c>
      <c r="L833" s="17">
        <f>IFERROR(__xludf.DUMMYFUNCTION("SPLIT(K:K, "" "")"),0.112059123989615)</f>
        <v>0.112059124</v>
      </c>
      <c r="M833" s="4">
        <f>IFERROR(__xludf.DUMMYFUNCTION("""COMPUTED_VALUE"""),0.502288383976052)</f>
        <v>0.502288384</v>
      </c>
      <c r="N833" s="15">
        <v>4256.0</v>
      </c>
      <c r="O833" s="4"/>
      <c r="P833" s="14" t="s">
        <v>2853</v>
      </c>
      <c r="Q833" s="17">
        <f>IFERROR(__xludf.DUMMYFUNCTION("SPLIT(P:P, "" "")"),0.0987778489256299)</f>
        <v>0.09877784893</v>
      </c>
      <c r="R833" s="4">
        <f>IFERROR(__xludf.DUMMYFUNCTION("""COMPUTED_VALUE"""),0.371442132421275)</f>
        <v>0.3714421324</v>
      </c>
      <c r="S833" s="15">
        <v>6384.0</v>
      </c>
      <c r="T833" s="4"/>
      <c r="U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4" t="s">
        <v>2854</v>
      </c>
      <c r="L834" s="17">
        <f>IFERROR(__xludf.DUMMYFUNCTION("SPLIT(K:K, "" "")"),0.112498466301828)</f>
        <v>0.1124984663</v>
      </c>
      <c r="M834" s="4">
        <f>IFERROR(__xludf.DUMMYFUNCTION("""COMPUTED_VALUE"""),0.50724063759654)</f>
        <v>0.5072406376</v>
      </c>
      <c r="N834" s="15">
        <v>4264.0</v>
      </c>
      <c r="O834" s="4"/>
      <c r="P834" s="14" t="s">
        <v>2855</v>
      </c>
      <c r="Q834" s="17">
        <f>IFERROR(__xludf.DUMMYFUNCTION("SPLIT(P:P, "" "")"),0.0967867726382325)</f>
        <v>0.09678677264</v>
      </c>
      <c r="R834" s="4">
        <f>IFERROR(__xludf.DUMMYFUNCTION("""COMPUTED_VALUE"""),0.369501330984523)</f>
        <v>0.369501331</v>
      </c>
      <c r="S834" s="15">
        <v>6396.0</v>
      </c>
      <c r="T834" s="4"/>
      <c r="U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4" t="s">
        <v>2856</v>
      </c>
      <c r="L835" s="17">
        <f>IFERROR(__xludf.DUMMYFUNCTION("SPLIT(K:K, "" "")"),0.108585826824999)</f>
        <v>0.1085858268</v>
      </c>
      <c r="M835" s="4">
        <f>IFERROR(__xludf.DUMMYFUNCTION("""COMPUTED_VALUE"""),0.498107203503825)</f>
        <v>0.4981072035</v>
      </c>
      <c r="N835" s="15">
        <v>4272.0</v>
      </c>
      <c r="O835" s="4"/>
      <c r="P835" s="14" t="s">
        <v>2857</v>
      </c>
      <c r="Q835" s="17">
        <f>IFERROR(__xludf.DUMMYFUNCTION("SPLIT(P:P, "" "")"),0.0966725307607421)</f>
        <v>0.09667253076</v>
      </c>
      <c r="R835" s="4">
        <f>IFERROR(__xludf.DUMMYFUNCTION("""COMPUTED_VALUE"""),0.366843400763219)</f>
        <v>0.3668434008</v>
      </c>
      <c r="S835" s="15">
        <v>6408.0</v>
      </c>
      <c r="T835" s="4"/>
      <c r="U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4" t="s">
        <v>2858</v>
      </c>
      <c r="L836" s="17">
        <f>IFERROR(__xludf.DUMMYFUNCTION("SPLIT(K:K, "" "")"),0.110513681592993)</f>
        <v>0.1105136816</v>
      </c>
      <c r="M836" s="4">
        <f>IFERROR(__xludf.DUMMYFUNCTION("""COMPUTED_VALUE"""),0.505832947803686)</f>
        <v>0.5058329478</v>
      </c>
      <c r="N836" s="15">
        <v>4280.0</v>
      </c>
      <c r="O836" s="4"/>
      <c r="P836" s="14" t="s">
        <v>2859</v>
      </c>
      <c r="Q836" s="17">
        <f>IFERROR(__xludf.DUMMYFUNCTION("SPLIT(P:P, "" "")"),0.0994386860356937)</f>
        <v>0.09943868604</v>
      </c>
      <c r="R836" s="4">
        <f>IFERROR(__xludf.DUMMYFUNCTION("""COMPUTED_VALUE"""),0.372895737926542)</f>
        <v>0.3728957379</v>
      </c>
      <c r="S836" s="15">
        <v>6420.0</v>
      </c>
      <c r="T836" s="4"/>
      <c r="U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4" t="s">
        <v>2860</v>
      </c>
      <c r="L837" s="17">
        <f>IFERROR(__xludf.DUMMYFUNCTION("SPLIT(K:K, "" "")"),0.10811451220088)</f>
        <v>0.1081145122</v>
      </c>
      <c r="M837" s="4">
        <f>IFERROR(__xludf.DUMMYFUNCTION("""COMPUTED_VALUE"""),0.504929229179348)</f>
        <v>0.5049292292</v>
      </c>
      <c r="N837" s="15">
        <v>4288.0</v>
      </c>
      <c r="O837" s="4"/>
      <c r="P837" s="14" t="s">
        <v>2861</v>
      </c>
      <c r="Q837" s="17">
        <f>IFERROR(__xludf.DUMMYFUNCTION("SPLIT(P:P, "" "")"),0.0964920735708255)</f>
        <v>0.09649207357</v>
      </c>
      <c r="R837" s="4">
        <f>IFERROR(__xludf.DUMMYFUNCTION("""COMPUTED_VALUE"""),0.376113211151979)</f>
        <v>0.3761132112</v>
      </c>
      <c r="S837" s="15">
        <v>6432.0</v>
      </c>
      <c r="T837" s="4"/>
      <c r="U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4" t="s">
        <v>2862</v>
      </c>
      <c r="L838" s="17">
        <f>IFERROR(__xludf.DUMMYFUNCTION("SPLIT(K:K, "" "")"),0.10970890965068)</f>
        <v>0.1097089097</v>
      </c>
      <c r="M838" s="4">
        <f>IFERROR(__xludf.DUMMYFUNCTION("""COMPUTED_VALUE"""),0.497430585264424)</f>
        <v>0.4974305853</v>
      </c>
      <c r="N838" s="15">
        <v>4296.0</v>
      </c>
      <c r="O838" s="4"/>
      <c r="P838" s="14" t="s">
        <v>2863</v>
      </c>
      <c r="Q838" s="17">
        <f>IFERROR(__xludf.DUMMYFUNCTION("SPLIT(P:P, "" "")"),0.0953108029146785)</f>
        <v>0.09531080291</v>
      </c>
      <c r="R838" s="4">
        <f>IFERROR(__xludf.DUMMYFUNCTION("""COMPUTED_VALUE"""),0.371282483878629)</f>
        <v>0.3712824839</v>
      </c>
      <c r="S838" s="15">
        <v>6444.0</v>
      </c>
      <c r="T838" s="4"/>
      <c r="U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4" t="s">
        <v>2864</v>
      </c>
      <c r="L839" s="17">
        <f>IFERROR(__xludf.DUMMYFUNCTION("SPLIT(K:K, "" "")"),0.108877571247898)</f>
        <v>0.1088775712</v>
      </c>
      <c r="M839" s="4">
        <f>IFERROR(__xludf.DUMMYFUNCTION("""COMPUTED_VALUE"""),0.506153699831625)</f>
        <v>0.5061536998</v>
      </c>
      <c r="N839" s="15">
        <v>4304.0</v>
      </c>
      <c r="O839" s="4"/>
      <c r="P839" s="14" t="s">
        <v>2865</v>
      </c>
      <c r="Q839" s="17">
        <f>IFERROR(__xludf.DUMMYFUNCTION("SPLIT(P:P, "" "")"),0.0999744710623949)</f>
        <v>0.09997447106</v>
      </c>
      <c r="R839" s="4">
        <f>IFERROR(__xludf.DUMMYFUNCTION("""COMPUTED_VALUE"""),0.373413965408711)</f>
        <v>0.3734139654</v>
      </c>
      <c r="S839" s="15">
        <v>6456.0</v>
      </c>
      <c r="T839" s="4"/>
      <c r="U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4" t="s">
        <v>2866</v>
      </c>
      <c r="L840" s="17">
        <f>IFERROR(__xludf.DUMMYFUNCTION("SPLIT(K:K, "" "")"),0.110655398571482)</f>
        <v>0.1106553986</v>
      </c>
      <c r="M840" s="4">
        <f>IFERROR(__xludf.DUMMYFUNCTION("""COMPUTED_VALUE"""),0.499708737153581)</f>
        <v>0.4997087372</v>
      </c>
      <c r="N840" s="15">
        <v>4312.0</v>
      </c>
      <c r="O840" s="4"/>
      <c r="P840" s="14" t="s">
        <v>2867</v>
      </c>
      <c r="Q840" s="17">
        <f>IFERROR(__xludf.DUMMYFUNCTION("SPLIT(P:P, "" "")"),0.0966560461391415)</f>
        <v>0.09665604614</v>
      </c>
      <c r="R840" s="4">
        <f>IFERROR(__xludf.DUMMYFUNCTION("""COMPUTED_VALUE"""),0.370018892791478)</f>
        <v>0.3700188928</v>
      </c>
      <c r="S840" s="15">
        <v>6468.0</v>
      </c>
      <c r="T840" s="4"/>
      <c r="U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14" t="s">
        <v>2868</v>
      </c>
      <c r="L841" s="17">
        <f>IFERROR(__xludf.DUMMYFUNCTION("SPLIT(K:K, "" "")"),0.109272047778851)</f>
        <v>0.1092720478</v>
      </c>
      <c r="M841" s="4">
        <f>IFERROR(__xludf.DUMMYFUNCTION("""COMPUTED_VALUE"""),0.497420497361651)</f>
        <v>0.4974204974</v>
      </c>
      <c r="N841" s="15">
        <v>4320.0</v>
      </c>
      <c r="O841" s="4"/>
      <c r="P841" s="14" t="s">
        <v>2869</v>
      </c>
      <c r="Q841" s="17">
        <f>IFERROR(__xludf.DUMMYFUNCTION("SPLIT(P:P, "" "")"),0.0963447767131551)</f>
        <v>0.09634477671</v>
      </c>
      <c r="R841" s="4">
        <f>IFERROR(__xludf.DUMMYFUNCTION("""COMPUTED_VALUE"""),0.377121424074005)</f>
        <v>0.3771214241</v>
      </c>
      <c r="S841" s="15">
        <v>6480.0</v>
      </c>
      <c r="T841" s="4"/>
      <c r="U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14" t="s">
        <v>2870</v>
      </c>
      <c r="L842" s="17">
        <f>IFERROR(__xludf.DUMMYFUNCTION("SPLIT(K:K, "" "")"),0.105955109243396)</f>
        <v>0.1059551092</v>
      </c>
      <c r="M842" s="4">
        <f>IFERROR(__xludf.DUMMYFUNCTION("""COMPUTED_VALUE"""),0.497103513590879)</f>
        <v>0.4971035136</v>
      </c>
      <c r="N842" s="15">
        <v>4328.0</v>
      </c>
      <c r="O842" s="4"/>
      <c r="P842" s="14" t="s">
        <v>2871</v>
      </c>
      <c r="Q842" s="17">
        <f>IFERROR(__xludf.DUMMYFUNCTION("SPLIT(P:P, "" "")"),0.0960933298368848)</f>
        <v>0.09609332984</v>
      </c>
      <c r="R842" s="4">
        <f>IFERROR(__xludf.DUMMYFUNCTION("""COMPUTED_VALUE"""),0.367306859038237)</f>
        <v>0.367306859</v>
      </c>
      <c r="S842" s="15">
        <v>6492.0</v>
      </c>
      <c r="T842" s="4"/>
      <c r="U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14" t="s">
        <v>2872</v>
      </c>
      <c r="L843" s="17">
        <f>IFERROR(__xludf.DUMMYFUNCTION("SPLIT(K:K, "" "")"),0.109558338182171)</f>
        <v>0.1095583382</v>
      </c>
      <c r="M843" s="4">
        <f>IFERROR(__xludf.DUMMYFUNCTION("""COMPUTED_VALUE"""),0.503856063488446)</f>
        <v>0.5038560635</v>
      </c>
      <c r="N843" s="15">
        <v>4336.0</v>
      </c>
      <c r="O843" s="4"/>
      <c r="P843" s="14" t="s">
        <v>2873</v>
      </c>
      <c r="Q843" s="17">
        <f>IFERROR(__xludf.DUMMYFUNCTION("SPLIT(P:P, "" "")"),0.097974349220564)</f>
        <v>0.09797434922</v>
      </c>
      <c r="R843" s="4">
        <f>IFERROR(__xludf.DUMMYFUNCTION("""COMPUTED_VALUE"""),0.368371273993472)</f>
        <v>0.368371274</v>
      </c>
      <c r="S843" s="15">
        <v>6504.0</v>
      </c>
      <c r="T843" s="4"/>
      <c r="U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14" t="s">
        <v>2874</v>
      </c>
      <c r="L844" s="17">
        <f>IFERROR(__xludf.DUMMYFUNCTION("SPLIT(K:K, "" "")"),0.106860475877215)</f>
        <v>0.1068604759</v>
      </c>
      <c r="M844" s="4">
        <f>IFERROR(__xludf.DUMMYFUNCTION("""COMPUTED_VALUE"""),0.506362749622219)</f>
        <v>0.5063627496</v>
      </c>
      <c r="N844" s="15">
        <v>4344.0</v>
      </c>
      <c r="O844" s="4"/>
      <c r="P844" s="14" t="s">
        <v>2875</v>
      </c>
      <c r="Q844" s="17">
        <f>IFERROR(__xludf.DUMMYFUNCTION("SPLIT(P:P, "" "")"),0.0960783137558754)</f>
        <v>0.09607831376</v>
      </c>
      <c r="R844" s="4">
        <f>IFERROR(__xludf.DUMMYFUNCTION("""COMPUTED_VALUE"""),0.366775646124082)</f>
        <v>0.3667756461</v>
      </c>
      <c r="S844" s="15">
        <v>6516.0</v>
      </c>
      <c r="T844" s="4"/>
      <c r="U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14" t="s">
        <v>2876</v>
      </c>
      <c r="L845" s="17">
        <f>IFERROR(__xludf.DUMMYFUNCTION("SPLIT(K:K, "" "")"),0.111150862954516)</f>
        <v>0.111150863</v>
      </c>
      <c r="M845" s="4">
        <f>IFERROR(__xludf.DUMMYFUNCTION("""COMPUTED_VALUE"""),0.504394311845725)</f>
        <v>0.5043943118</v>
      </c>
      <c r="N845" s="15">
        <v>4352.0</v>
      </c>
      <c r="O845" s="4"/>
      <c r="P845" s="14" t="s">
        <v>2877</v>
      </c>
      <c r="Q845" s="17">
        <f>IFERROR(__xludf.DUMMYFUNCTION("SPLIT(P:P, "" "")"),0.0957554836062204)</f>
        <v>0.09575548361</v>
      </c>
      <c r="R845" s="4">
        <f>IFERROR(__xludf.DUMMYFUNCTION("""COMPUTED_VALUE"""),0.373407369595893)</f>
        <v>0.3734073696</v>
      </c>
      <c r="S845" s="15">
        <v>6528.0</v>
      </c>
      <c r="T845" s="4"/>
      <c r="U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14" t="s">
        <v>2878</v>
      </c>
      <c r="L846" s="17">
        <f>IFERROR(__xludf.DUMMYFUNCTION("SPLIT(K:K, "" "")"),0.107595762297219)</f>
        <v>0.1075957623</v>
      </c>
      <c r="M846" s="4">
        <f>IFERROR(__xludf.DUMMYFUNCTION("""COMPUTED_VALUE"""),0.498702965911133)</f>
        <v>0.4987029659</v>
      </c>
      <c r="N846" s="15">
        <v>4360.0</v>
      </c>
      <c r="O846" s="4"/>
      <c r="P846" s="14" t="s">
        <v>2879</v>
      </c>
      <c r="Q846" s="17">
        <f>IFERROR(__xludf.DUMMYFUNCTION("SPLIT(P:P, "" "")"),0.0965887727125111)</f>
        <v>0.09658877271</v>
      </c>
      <c r="R846" s="4">
        <f>IFERROR(__xludf.DUMMYFUNCTION("""COMPUTED_VALUE"""),0.379226241945326)</f>
        <v>0.3792262419</v>
      </c>
      <c r="S846" s="15">
        <v>6540.0</v>
      </c>
      <c r="T846" s="4"/>
      <c r="U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14" t="s">
        <v>2880</v>
      </c>
      <c r="L847" s="17">
        <f>IFERROR(__xludf.DUMMYFUNCTION("SPLIT(K:K, "" "")"),0.1050438525585)</f>
        <v>0.1050438526</v>
      </c>
      <c r="M847" s="4">
        <f>IFERROR(__xludf.DUMMYFUNCTION("""COMPUTED_VALUE"""),0.497887307532227)</f>
        <v>0.4978873075</v>
      </c>
      <c r="N847" s="15">
        <v>4368.0</v>
      </c>
      <c r="O847" s="4"/>
      <c r="P847" s="14" t="s">
        <v>2881</v>
      </c>
      <c r="Q847" s="17">
        <f>IFERROR(__xludf.DUMMYFUNCTION("SPLIT(P:P, "" "")"),0.0968746947252627)</f>
        <v>0.09687469473</v>
      </c>
      <c r="R847" s="4">
        <f>IFERROR(__xludf.DUMMYFUNCTION("""COMPUTED_VALUE"""),0.375519079318739)</f>
        <v>0.3755190793</v>
      </c>
      <c r="S847" s="15">
        <v>6552.0</v>
      </c>
      <c r="T847" s="4"/>
      <c r="U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14" t="s">
        <v>2882</v>
      </c>
      <c r="L848" s="17">
        <f>IFERROR(__xludf.DUMMYFUNCTION("SPLIT(K:K, "" "")"),0.107208452752101)</f>
        <v>0.1072084528</v>
      </c>
      <c r="M848" s="4">
        <f>IFERROR(__xludf.DUMMYFUNCTION("""COMPUTED_VALUE"""),0.505197999034441)</f>
        <v>0.505197999</v>
      </c>
      <c r="N848" s="15">
        <v>4376.0</v>
      </c>
      <c r="O848" s="4"/>
      <c r="P848" s="14" t="s">
        <v>2883</v>
      </c>
      <c r="Q848" s="17">
        <f>IFERROR(__xludf.DUMMYFUNCTION("SPLIT(P:P, "" "")"),0.0932052008082786)</f>
        <v>0.09320520081</v>
      </c>
      <c r="R848" s="4">
        <f>IFERROR(__xludf.DUMMYFUNCTION("""COMPUTED_VALUE"""),0.371339039483465)</f>
        <v>0.3713390395</v>
      </c>
      <c r="S848" s="15">
        <v>6564.0</v>
      </c>
      <c r="T848" s="4"/>
      <c r="U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14" t="s">
        <v>2884</v>
      </c>
      <c r="L849" s="17">
        <f>IFERROR(__xludf.DUMMYFUNCTION("SPLIT(K:K, "" "")"),0.107525037994739)</f>
        <v>0.107525038</v>
      </c>
      <c r="M849" s="4">
        <f>IFERROR(__xludf.DUMMYFUNCTION("""COMPUTED_VALUE"""),0.50341661672312)</f>
        <v>0.5034166167</v>
      </c>
      <c r="N849" s="15">
        <v>4384.0</v>
      </c>
      <c r="O849" s="4"/>
      <c r="P849" s="14" t="s">
        <v>2885</v>
      </c>
      <c r="Q849" s="17">
        <f>IFERROR(__xludf.DUMMYFUNCTION("SPLIT(P:P, "" "")"),0.0977955632222055)</f>
        <v>0.09779556322</v>
      </c>
      <c r="R849" s="4">
        <f>IFERROR(__xludf.DUMMYFUNCTION("""COMPUTED_VALUE"""),0.382577723447835)</f>
        <v>0.3825777234</v>
      </c>
      <c r="S849" s="15">
        <v>6576.0</v>
      </c>
      <c r="T849" s="4"/>
      <c r="U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14" t="s">
        <v>2886</v>
      </c>
      <c r="L850" s="17">
        <f>IFERROR(__xludf.DUMMYFUNCTION("SPLIT(K:K, "" "")"),0.106790666893696)</f>
        <v>0.1067906669</v>
      </c>
      <c r="M850" s="4">
        <f>IFERROR(__xludf.DUMMYFUNCTION("""COMPUTED_VALUE"""),0.50246933176972)</f>
        <v>0.5024693318</v>
      </c>
      <c r="N850" s="15">
        <v>4392.0</v>
      </c>
      <c r="O850" s="4"/>
      <c r="P850" s="14" t="s">
        <v>2887</v>
      </c>
      <c r="Q850" s="17">
        <f>IFERROR(__xludf.DUMMYFUNCTION("SPLIT(P:P, "" "")"),0.0962470905943006)</f>
        <v>0.09624709059</v>
      </c>
      <c r="R850" s="4">
        <f>IFERROR(__xludf.DUMMYFUNCTION("""COMPUTED_VALUE"""),0.375910102098806)</f>
        <v>0.3759101021</v>
      </c>
      <c r="S850" s="15">
        <v>6588.0</v>
      </c>
      <c r="T850" s="4"/>
      <c r="U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14" t="s">
        <v>2888</v>
      </c>
      <c r="L851" s="17">
        <f>IFERROR(__xludf.DUMMYFUNCTION("SPLIT(K:K, "" "")"),0.106629471534844)</f>
        <v>0.1066294715</v>
      </c>
      <c r="M851" s="4">
        <f>IFERROR(__xludf.DUMMYFUNCTION("""COMPUTED_VALUE"""),0.498493926608826)</f>
        <v>0.4984939266</v>
      </c>
      <c r="N851" s="15">
        <v>4400.0</v>
      </c>
      <c r="O851" s="4"/>
      <c r="P851" s="14" t="s">
        <v>2889</v>
      </c>
      <c r="Q851" s="17">
        <f>IFERROR(__xludf.DUMMYFUNCTION("SPLIT(P:P, "" "")"),0.0938028408893371)</f>
        <v>0.09380284089</v>
      </c>
      <c r="R851" s="4">
        <f>IFERROR(__xludf.DUMMYFUNCTION("""COMPUTED_VALUE"""),0.373415701090791)</f>
        <v>0.3734157011</v>
      </c>
      <c r="S851" s="15">
        <v>6600.0</v>
      </c>
      <c r="T851" s="4"/>
      <c r="U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14" t="s">
        <v>2890</v>
      </c>
      <c r="L852" s="17">
        <f>IFERROR(__xludf.DUMMYFUNCTION("SPLIT(K:K, "" "")"),0.106299097123082)</f>
        <v>0.1062990971</v>
      </c>
      <c r="M852" s="4">
        <f>IFERROR(__xludf.DUMMYFUNCTION("""COMPUTED_VALUE"""),0.50265140099532)</f>
        <v>0.502651401</v>
      </c>
      <c r="N852" s="15">
        <v>4408.0</v>
      </c>
      <c r="O852" s="4"/>
      <c r="P852" s="14" t="s">
        <v>2891</v>
      </c>
      <c r="Q852" s="17">
        <f>IFERROR(__xludf.DUMMYFUNCTION("SPLIT(P:P, "" "")"),0.0957434043487805)</f>
        <v>0.09574340435</v>
      </c>
      <c r="R852" s="4">
        <f>IFERROR(__xludf.DUMMYFUNCTION("""COMPUTED_VALUE"""),0.373586273362749)</f>
        <v>0.3735862734</v>
      </c>
      <c r="S852" s="15">
        <v>6612.0</v>
      </c>
      <c r="T852" s="4"/>
      <c r="U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14" t="s">
        <v>2892</v>
      </c>
      <c r="L853" s="17">
        <f>IFERROR(__xludf.DUMMYFUNCTION("SPLIT(K:K, "" "")"),0.10646605365258)</f>
        <v>0.1064660537</v>
      </c>
      <c r="M853" s="4">
        <f>IFERROR(__xludf.DUMMYFUNCTION("""COMPUTED_VALUE"""),0.494385035458372)</f>
        <v>0.4943850355</v>
      </c>
      <c r="N853" s="15">
        <v>4416.0</v>
      </c>
      <c r="O853" s="4"/>
      <c r="P853" s="14" t="s">
        <v>2893</v>
      </c>
      <c r="Q853" s="17">
        <f>IFERROR(__xludf.DUMMYFUNCTION("SPLIT(P:P, "" "")"),0.0944348370627688)</f>
        <v>0.09443483706</v>
      </c>
      <c r="R853" s="4">
        <f>IFERROR(__xludf.DUMMYFUNCTION("""COMPUTED_VALUE"""),0.370989274689077)</f>
        <v>0.3709892747</v>
      </c>
      <c r="S853" s="15">
        <v>6624.0</v>
      </c>
      <c r="T853" s="4"/>
      <c r="U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14" t="s">
        <v>2894</v>
      </c>
      <c r="L854" s="17">
        <f>IFERROR(__xludf.DUMMYFUNCTION("SPLIT(K:K, "" "")"),0.106420705709259)</f>
        <v>0.1064207057</v>
      </c>
      <c r="M854" s="4">
        <f>IFERROR(__xludf.DUMMYFUNCTION("""COMPUTED_VALUE"""),0.504867827992726)</f>
        <v>0.504867828</v>
      </c>
      <c r="N854" s="15">
        <v>4424.0</v>
      </c>
      <c r="O854" s="4"/>
      <c r="P854" s="14" t="s">
        <v>2895</v>
      </c>
      <c r="Q854" s="17">
        <f>IFERROR(__xludf.DUMMYFUNCTION("SPLIT(P:P, "" "")"),0.0955614118097926)</f>
        <v>0.09556141181</v>
      </c>
      <c r="R854" s="4">
        <f>IFERROR(__xludf.DUMMYFUNCTION("""COMPUTED_VALUE"""),0.373262394841463)</f>
        <v>0.3732623948</v>
      </c>
      <c r="S854" s="15">
        <v>6636.0</v>
      </c>
      <c r="T854" s="4"/>
      <c r="U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14" t="s">
        <v>2896</v>
      </c>
      <c r="L855" s="17">
        <f>IFERROR(__xludf.DUMMYFUNCTION("SPLIT(K:K, "" "")"),0.10623627901606)</f>
        <v>0.106236279</v>
      </c>
      <c r="M855" s="4">
        <f>IFERROR(__xludf.DUMMYFUNCTION("""COMPUTED_VALUE"""),0.500262948784836)</f>
        <v>0.5002629488</v>
      </c>
      <c r="N855" s="15">
        <v>4432.0</v>
      </c>
      <c r="O855" s="4"/>
      <c r="P855" s="14" t="s">
        <v>2897</v>
      </c>
      <c r="Q855" s="17">
        <f>IFERROR(__xludf.DUMMYFUNCTION("SPLIT(P:P, "" "")"),0.0947900537319439)</f>
        <v>0.09479005373</v>
      </c>
      <c r="R855" s="4">
        <f>IFERROR(__xludf.DUMMYFUNCTION("""COMPUTED_VALUE"""),0.369410958654361)</f>
        <v>0.3694109587</v>
      </c>
      <c r="S855" s="15">
        <v>6648.0</v>
      </c>
      <c r="T855" s="4"/>
      <c r="U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14" t="s">
        <v>2898</v>
      </c>
      <c r="L856" s="17">
        <f>IFERROR(__xludf.DUMMYFUNCTION("SPLIT(K:K, "" "")"),0.10633471458526)</f>
        <v>0.1063347146</v>
      </c>
      <c r="M856" s="4">
        <f>IFERROR(__xludf.DUMMYFUNCTION("""COMPUTED_VALUE"""),0.496522434319333)</f>
        <v>0.4965224343</v>
      </c>
      <c r="N856" s="15">
        <v>4440.0</v>
      </c>
      <c r="O856" s="4"/>
      <c r="P856" s="14" t="s">
        <v>2899</v>
      </c>
      <c r="Q856" s="17">
        <f>IFERROR(__xludf.DUMMYFUNCTION("SPLIT(P:P, "" "")"),0.0928954300553194)</f>
        <v>0.09289543006</v>
      </c>
      <c r="R856" s="4">
        <f>IFERROR(__xludf.DUMMYFUNCTION("""COMPUTED_VALUE"""),0.372536869573168)</f>
        <v>0.3725368696</v>
      </c>
      <c r="S856" s="15">
        <v>6660.0</v>
      </c>
      <c r="T856" s="4"/>
      <c r="U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14" t="s">
        <v>2900</v>
      </c>
      <c r="L857" s="17">
        <f>IFERROR(__xludf.DUMMYFUNCTION("SPLIT(K:K, "" "")"),0.104729276106928)</f>
        <v>0.1047292761</v>
      </c>
      <c r="M857" s="4">
        <f>IFERROR(__xludf.DUMMYFUNCTION("""COMPUTED_VALUE"""),0.495773379643393)</f>
        <v>0.4957733796</v>
      </c>
      <c r="N857" s="15">
        <v>4448.0</v>
      </c>
      <c r="O857" s="4"/>
      <c r="P857" s="14" t="s">
        <v>2901</v>
      </c>
      <c r="Q857" s="17">
        <f>IFERROR(__xludf.DUMMYFUNCTION("SPLIT(P:P, "" "")"),0.0993915662545524)</f>
        <v>0.09939156625</v>
      </c>
      <c r="R857" s="4">
        <f>IFERROR(__xludf.DUMMYFUNCTION("""COMPUTED_VALUE"""),0.375749227508719)</f>
        <v>0.3757492275</v>
      </c>
      <c r="S857" s="15">
        <v>6672.0</v>
      </c>
      <c r="T857" s="4"/>
      <c r="U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14" t="s">
        <v>2902</v>
      </c>
      <c r="L858" s="17">
        <f>IFERROR(__xludf.DUMMYFUNCTION("SPLIT(K:K, "" "")"),0.105660345606254)</f>
        <v>0.1056603456</v>
      </c>
      <c r="M858" s="4">
        <f>IFERROR(__xludf.DUMMYFUNCTION("""COMPUTED_VALUE"""),0.494456098548194)</f>
        <v>0.4944560985</v>
      </c>
      <c r="N858" s="15">
        <v>4456.0</v>
      </c>
      <c r="O858" s="4"/>
      <c r="P858" s="14" t="s">
        <v>2903</v>
      </c>
      <c r="Q858" s="17">
        <f>IFERROR(__xludf.DUMMYFUNCTION("SPLIT(P:P, "" "")"),0.0958878056658276)</f>
        <v>0.09588780567</v>
      </c>
      <c r="R858" s="4">
        <f>IFERROR(__xludf.DUMMYFUNCTION("""COMPUTED_VALUE"""),0.378294693391016)</f>
        <v>0.3782946934</v>
      </c>
      <c r="S858" s="15">
        <v>6684.0</v>
      </c>
      <c r="T858" s="4"/>
      <c r="U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14" t="s">
        <v>2904</v>
      </c>
      <c r="L859" s="17">
        <f>IFERROR(__xludf.DUMMYFUNCTION("SPLIT(K:K, "" "")"),0.106057482882608)</f>
        <v>0.1060574829</v>
      </c>
      <c r="M859" s="4">
        <f>IFERROR(__xludf.DUMMYFUNCTION("""COMPUTED_VALUE"""),0.504070501062233)</f>
        <v>0.5040705011</v>
      </c>
      <c r="N859" s="15">
        <v>4464.0</v>
      </c>
      <c r="O859" s="4"/>
      <c r="P859" s="14" t="s">
        <v>2905</v>
      </c>
      <c r="Q859" s="17">
        <f>IFERROR(__xludf.DUMMYFUNCTION("SPLIT(P:P, "" "")"),0.0964169398472089)</f>
        <v>0.09641693985</v>
      </c>
      <c r="R859" s="4">
        <f>IFERROR(__xludf.DUMMYFUNCTION("""COMPUTED_VALUE"""),0.371981876288315)</f>
        <v>0.3719818763</v>
      </c>
      <c r="S859" s="15">
        <v>6696.0</v>
      </c>
      <c r="T859" s="4"/>
      <c r="U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14" t="s">
        <v>2906</v>
      </c>
      <c r="L860" s="17">
        <f>IFERROR(__xludf.DUMMYFUNCTION("SPLIT(K:K, "" "")"),0.108737678544755)</f>
        <v>0.1087376785</v>
      </c>
      <c r="M860" s="4">
        <f>IFERROR(__xludf.DUMMYFUNCTION("""COMPUTED_VALUE"""),0.509668374567209)</f>
        <v>0.5096683746</v>
      </c>
      <c r="N860" s="15">
        <v>4472.0</v>
      </c>
      <c r="O860" s="4"/>
      <c r="P860" s="14" t="s">
        <v>2907</v>
      </c>
      <c r="Q860" s="17">
        <f>IFERROR(__xludf.DUMMYFUNCTION("SPLIT(P:P, "" "")"),0.0944465725749225)</f>
        <v>0.09444657257</v>
      </c>
      <c r="R860" s="4">
        <f>IFERROR(__xludf.DUMMYFUNCTION("""COMPUTED_VALUE"""),0.371405909171819)</f>
        <v>0.3714059092</v>
      </c>
      <c r="S860" s="15">
        <v>6708.0</v>
      </c>
      <c r="T860" s="4"/>
      <c r="U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14" t="s">
        <v>2908</v>
      </c>
      <c r="L861" s="17">
        <f>IFERROR(__xludf.DUMMYFUNCTION("SPLIT(K:K, "" "")"),0.106480564662974)</f>
        <v>0.1064805647</v>
      </c>
      <c r="M861" s="4">
        <f>IFERROR(__xludf.DUMMYFUNCTION("""COMPUTED_VALUE"""),0.509615474970307)</f>
        <v>0.509615475</v>
      </c>
      <c r="N861" s="15">
        <v>4480.0</v>
      </c>
      <c r="O861" s="4"/>
      <c r="P861" s="14" t="s">
        <v>2909</v>
      </c>
      <c r="Q861" s="17">
        <f>IFERROR(__xludf.DUMMYFUNCTION("SPLIT(P:P, "" "")"),0.0925019921062538)</f>
        <v>0.09250199211</v>
      </c>
      <c r="R861" s="4">
        <f>IFERROR(__xludf.DUMMYFUNCTION("""COMPUTED_VALUE"""),0.370648709082177)</f>
        <v>0.3706487091</v>
      </c>
      <c r="S861" s="15">
        <v>6720.0</v>
      </c>
      <c r="T861" s="4"/>
      <c r="U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14" t="s">
        <v>2910</v>
      </c>
      <c r="L862" s="17">
        <f>IFERROR(__xludf.DUMMYFUNCTION("SPLIT(K:K, "" "")"),0.106267693570206)</f>
        <v>0.1062676936</v>
      </c>
      <c r="M862" s="4">
        <f>IFERROR(__xludf.DUMMYFUNCTION("""COMPUTED_VALUE"""),0.498971934237344)</f>
        <v>0.4989719342</v>
      </c>
      <c r="N862" s="15">
        <v>4488.0</v>
      </c>
      <c r="O862" s="4"/>
      <c r="P862" s="14" t="s">
        <v>2911</v>
      </c>
      <c r="Q862" s="17">
        <f>IFERROR(__xludf.DUMMYFUNCTION("SPLIT(P:P, "" "")"),0.0958351469949227)</f>
        <v>0.09583514699</v>
      </c>
      <c r="R862" s="4">
        <f>IFERROR(__xludf.DUMMYFUNCTION("""COMPUTED_VALUE"""),0.371685609974894)</f>
        <v>0.37168561</v>
      </c>
      <c r="S862" s="15">
        <v>6732.0</v>
      </c>
      <c r="T862" s="4"/>
      <c r="U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14" t="s">
        <v>2912</v>
      </c>
      <c r="L863" s="17">
        <f>IFERROR(__xludf.DUMMYFUNCTION("SPLIT(K:K, "" "")"),0.110286525352716)</f>
        <v>0.1102865254</v>
      </c>
      <c r="M863" s="4">
        <f>IFERROR(__xludf.DUMMYFUNCTION("""COMPUTED_VALUE"""),0.507346587660705)</f>
        <v>0.5073465877</v>
      </c>
      <c r="N863" s="15">
        <v>4496.0</v>
      </c>
      <c r="O863" s="4"/>
      <c r="P863" s="14" t="s">
        <v>2913</v>
      </c>
      <c r="Q863" s="17">
        <f>IFERROR(__xludf.DUMMYFUNCTION("SPLIT(P:P, "" "")"),0.0931523957723973)</f>
        <v>0.09315239577</v>
      </c>
      <c r="R863" s="4">
        <f>IFERROR(__xludf.DUMMYFUNCTION("""COMPUTED_VALUE"""),0.367934543257929)</f>
        <v>0.3679345433</v>
      </c>
      <c r="S863" s="15">
        <v>6744.0</v>
      </c>
      <c r="T863" s="4"/>
      <c r="U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14" t="s">
        <v>2914</v>
      </c>
      <c r="L864" s="17">
        <f>IFERROR(__xludf.DUMMYFUNCTION("SPLIT(K:K, "" "")"),0.106403204141973)</f>
        <v>0.1064032041</v>
      </c>
      <c r="M864" s="4">
        <f>IFERROR(__xludf.DUMMYFUNCTION("""COMPUTED_VALUE"""),0.493758741535495)</f>
        <v>0.4937587415</v>
      </c>
      <c r="N864" s="15">
        <v>4504.0</v>
      </c>
      <c r="O864" s="4"/>
      <c r="P864" s="14" t="s">
        <v>2915</v>
      </c>
      <c r="Q864" s="17">
        <f>IFERROR(__xludf.DUMMYFUNCTION("SPLIT(P:P, "" "")"),0.0928391099600201)</f>
        <v>0.09283910996</v>
      </c>
      <c r="R864" s="4">
        <f>IFERROR(__xludf.DUMMYFUNCTION("""COMPUTED_VALUE"""),0.366203035933135)</f>
        <v>0.3662030359</v>
      </c>
      <c r="S864" s="15">
        <v>6756.0</v>
      </c>
      <c r="T864" s="4"/>
      <c r="U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14" t="s">
        <v>2916</v>
      </c>
      <c r="L865" s="17">
        <f>IFERROR(__xludf.DUMMYFUNCTION("SPLIT(K:K, "" "")"),0.109296020377818)</f>
        <v>0.1092960204</v>
      </c>
      <c r="M865" s="4">
        <f>IFERROR(__xludf.DUMMYFUNCTION("""COMPUTED_VALUE"""),0.511504248025324)</f>
        <v>0.511504248</v>
      </c>
      <c r="N865" s="15">
        <v>4512.0</v>
      </c>
      <c r="O865" s="4"/>
      <c r="P865" s="14" t="s">
        <v>2917</v>
      </c>
      <c r="Q865" s="17">
        <f>IFERROR(__xludf.DUMMYFUNCTION("SPLIT(P:P, "" "")"),0.0934123002175619)</f>
        <v>0.09341230022</v>
      </c>
      <c r="R865" s="4">
        <f>IFERROR(__xludf.DUMMYFUNCTION("""COMPUTED_VALUE"""),0.365237885718112)</f>
        <v>0.3652378857</v>
      </c>
      <c r="S865" s="15">
        <v>6768.0</v>
      </c>
      <c r="T865" s="4"/>
      <c r="U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14" t="s">
        <v>2918</v>
      </c>
      <c r="L866" s="17">
        <f>IFERROR(__xludf.DUMMYFUNCTION("SPLIT(K:K, "" "")"),0.107495001653941)</f>
        <v>0.1074950017</v>
      </c>
      <c r="M866" s="4">
        <f>IFERROR(__xludf.DUMMYFUNCTION("""COMPUTED_VALUE"""),0.506839281810763)</f>
        <v>0.5068392818</v>
      </c>
      <c r="N866" s="15">
        <v>4520.0</v>
      </c>
      <c r="O866" s="4"/>
      <c r="P866" s="14" t="s">
        <v>2919</v>
      </c>
      <c r="Q866" s="17">
        <f>IFERROR(__xludf.DUMMYFUNCTION("SPLIT(P:P, "" "")"),0.0926079455872898)</f>
        <v>0.09260794559</v>
      </c>
      <c r="R866" s="4">
        <f>IFERROR(__xludf.DUMMYFUNCTION("""COMPUTED_VALUE"""),0.367866215964197)</f>
        <v>0.367866216</v>
      </c>
      <c r="S866" s="15">
        <v>6780.0</v>
      </c>
      <c r="T866" s="4"/>
      <c r="U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14" t="s">
        <v>2920</v>
      </c>
      <c r="L867" s="17">
        <f>IFERROR(__xludf.DUMMYFUNCTION("SPLIT(K:K, "" "")"),0.105850213095989)</f>
        <v>0.1058502131</v>
      </c>
      <c r="M867" s="4">
        <f>IFERROR(__xludf.DUMMYFUNCTION("""COMPUTED_VALUE"""),0.503499393783645)</f>
        <v>0.5034993938</v>
      </c>
      <c r="N867" s="15">
        <v>4528.0</v>
      </c>
      <c r="O867" s="4"/>
      <c r="P867" s="14" t="s">
        <v>2921</v>
      </c>
      <c r="Q867" s="17">
        <f>IFERROR(__xludf.DUMMYFUNCTION("SPLIT(P:P, "" "")"),0.0918991075952565)</f>
        <v>0.0918991076</v>
      </c>
      <c r="R867" s="4">
        <f>IFERROR(__xludf.DUMMYFUNCTION("""COMPUTED_VALUE"""),0.371576410577571)</f>
        <v>0.3715764106</v>
      </c>
      <c r="S867" s="15">
        <v>6792.0</v>
      </c>
      <c r="T867" s="4"/>
      <c r="U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14" t="s">
        <v>2922</v>
      </c>
      <c r="L868" s="17">
        <f>IFERROR(__xludf.DUMMYFUNCTION("SPLIT(K:K, "" "")"),0.103246392680872)</f>
        <v>0.1032463927</v>
      </c>
      <c r="M868" s="4">
        <f>IFERROR(__xludf.DUMMYFUNCTION("""COMPUTED_VALUE"""),0.494390434161429)</f>
        <v>0.4943904342</v>
      </c>
      <c r="N868" s="15">
        <v>4536.0</v>
      </c>
      <c r="O868" s="4"/>
      <c r="P868" s="14" t="s">
        <v>2923</v>
      </c>
      <c r="Q868" s="17">
        <f>IFERROR(__xludf.DUMMYFUNCTION("SPLIT(P:P, "" "")"),0.0934690292800078)</f>
        <v>0.09346902928</v>
      </c>
      <c r="R868" s="4">
        <f>IFERROR(__xludf.DUMMYFUNCTION("""COMPUTED_VALUE"""),0.373329689506186)</f>
        <v>0.3733296895</v>
      </c>
      <c r="S868" s="15">
        <v>6804.0</v>
      </c>
      <c r="T868" s="4"/>
      <c r="U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14" t="s">
        <v>2924</v>
      </c>
      <c r="L869" s="17">
        <f>IFERROR(__xludf.DUMMYFUNCTION("SPLIT(K:K, "" "")"),0.108193454674394)</f>
        <v>0.1081934547</v>
      </c>
      <c r="M869" s="4">
        <f>IFERROR(__xludf.DUMMYFUNCTION("""COMPUTED_VALUE"""),0.505988156866768)</f>
        <v>0.5059881569</v>
      </c>
      <c r="N869" s="15">
        <v>4544.0</v>
      </c>
      <c r="O869" s="4"/>
      <c r="P869" s="14" t="s">
        <v>2925</v>
      </c>
      <c r="Q869" s="17">
        <f>IFERROR(__xludf.DUMMYFUNCTION("SPLIT(P:P, "" "")"),0.0997032911462583)</f>
        <v>0.09970329115</v>
      </c>
      <c r="R869" s="4">
        <f>IFERROR(__xludf.DUMMYFUNCTION("""COMPUTED_VALUE"""),0.381606101033009)</f>
        <v>0.381606101</v>
      </c>
      <c r="S869" s="15">
        <v>6816.0</v>
      </c>
      <c r="T869" s="4"/>
      <c r="U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14" t="s">
        <v>2926</v>
      </c>
      <c r="L870" s="17">
        <f>IFERROR(__xludf.DUMMYFUNCTION("SPLIT(K:K, "" "")"),0.106906929637559)</f>
        <v>0.1069069296</v>
      </c>
      <c r="M870" s="4">
        <f>IFERROR(__xludf.DUMMYFUNCTION("""COMPUTED_VALUE"""),0.496427490871944)</f>
        <v>0.4964274909</v>
      </c>
      <c r="N870" s="15">
        <v>4552.0</v>
      </c>
      <c r="O870" s="4"/>
      <c r="P870" s="14" t="s">
        <v>2927</v>
      </c>
      <c r="Q870" s="17">
        <f>IFERROR(__xludf.DUMMYFUNCTION("SPLIT(P:P, "" "")"),0.0915392917824862)</f>
        <v>0.09153929178</v>
      </c>
      <c r="R870" s="4">
        <f>IFERROR(__xludf.DUMMYFUNCTION("""COMPUTED_VALUE"""),0.371213424767795)</f>
        <v>0.3712134248</v>
      </c>
      <c r="S870" s="15">
        <v>6828.0</v>
      </c>
      <c r="T870" s="4"/>
      <c r="U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14" t="s">
        <v>2928</v>
      </c>
      <c r="L871" s="17">
        <f>IFERROR(__xludf.DUMMYFUNCTION("SPLIT(K:K, "" "")"),0.105760219552832)</f>
        <v>0.1057602196</v>
      </c>
      <c r="M871" s="4">
        <f>IFERROR(__xludf.DUMMYFUNCTION("""COMPUTED_VALUE"""),0.502149786269607)</f>
        <v>0.5021497863</v>
      </c>
      <c r="N871" s="15">
        <v>4560.0</v>
      </c>
      <c r="O871" s="4"/>
      <c r="P871" s="14" t="s">
        <v>2929</v>
      </c>
      <c r="Q871" s="17">
        <f>IFERROR(__xludf.DUMMYFUNCTION("SPLIT(P:P, "" "")"),0.0920924382577256)</f>
        <v>0.09209243826</v>
      </c>
      <c r="R871" s="4">
        <f>IFERROR(__xludf.DUMMYFUNCTION("""COMPUTED_VALUE"""),0.368159390257256)</f>
        <v>0.3681593903</v>
      </c>
      <c r="S871" s="15">
        <v>6840.0</v>
      </c>
      <c r="T871" s="4"/>
      <c r="U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14" t="s">
        <v>2930</v>
      </c>
      <c r="L872" s="17">
        <f>IFERROR(__xludf.DUMMYFUNCTION("SPLIT(K:K, "" "")"),0.102524052023882)</f>
        <v>0.102524052</v>
      </c>
      <c r="M872" s="4">
        <f>IFERROR(__xludf.DUMMYFUNCTION("""COMPUTED_VALUE"""),0.499814579836079)</f>
        <v>0.4998145798</v>
      </c>
      <c r="N872" s="15">
        <v>4568.0</v>
      </c>
      <c r="O872" s="4"/>
      <c r="P872" s="14" t="s">
        <v>2931</v>
      </c>
      <c r="Q872" s="17">
        <f>IFERROR(__xludf.DUMMYFUNCTION("SPLIT(P:P, "" "")"),0.0931611751563098)</f>
        <v>0.09316117516</v>
      </c>
      <c r="R872" s="4">
        <f>IFERROR(__xludf.DUMMYFUNCTION("""COMPUTED_VALUE"""),0.374834689542181)</f>
        <v>0.3748346895</v>
      </c>
      <c r="S872" s="15">
        <v>6852.0</v>
      </c>
      <c r="T872" s="4"/>
      <c r="U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14" t="s">
        <v>2932</v>
      </c>
      <c r="L873" s="17">
        <f>IFERROR(__xludf.DUMMYFUNCTION("SPLIT(K:K, "" "")"),0.104462521244915)</f>
        <v>0.1044625212</v>
      </c>
      <c r="M873" s="4">
        <f>IFERROR(__xludf.DUMMYFUNCTION("""COMPUTED_VALUE"""),0.503586902028761)</f>
        <v>0.503586902</v>
      </c>
      <c r="N873" s="15">
        <v>4576.0</v>
      </c>
      <c r="O873" s="4"/>
      <c r="P873" s="14" t="s">
        <v>2933</v>
      </c>
      <c r="Q873" s="17">
        <f>IFERROR(__xludf.DUMMYFUNCTION("SPLIT(P:P, "" "")"),0.0930010128097398)</f>
        <v>0.09300101281</v>
      </c>
      <c r="R873" s="4">
        <f>IFERROR(__xludf.DUMMYFUNCTION("""COMPUTED_VALUE"""),0.371000042655973)</f>
        <v>0.3710000427</v>
      </c>
      <c r="S873" s="15">
        <v>6864.0</v>
      </c>
      <c r="T873" s="4"/>
      <c r="U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14" t="s">
        <v>2934</v>
      </c>
      <c r="L874" s="17">
        <f>IFERROR(__xludf.DUMMYFUNCTION("SPLIT(K:K, "" "")"),0.106990281788705)</f>
        <v>0.1069902818</v>
      </c>
      <c r="M874" s="4">
        <f>IFERROR(__xludf.DUMMYFUNCTION("""COMPUTED_VALUE"""),0.496261772435318)</f>
        <v>0.4962617724</v>
      </c>
      <c r="N874" s="15">
        <v>4584.0</v>
      </c>
      <c r="O874" s="4"/>
      <c r="P874" s="14" t="s">
        <v>2935</v>
      </c>
      <c r="Q874" s="17">
        <f>IFERROR(__xludf.DUMMYFUNCTION("SPLIT(P:P, "" "")"),0.0969829326896044)</f>
        <v>0.09698293269</v>
      </c>
      <c r="R874" s="4">
        <f>IFERROR(__xludf.DUMMYFUNCTION("""COMPUTED_VALUE"""),0.372512178353444)</f>
        <v>0.3725121784</v>
      </c>
      <c r="S874" s="15">
        <v>6876.0</v>
      </c>
      <c r="T874" s="4"/>
      <c r="U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14" t="s">
        <v>2936</v>
      </c>
      <c r="L875" s="17">
        <f>IFERROR(__xludf.DUMMYFUNCTION("SPLIT(K:K, "" "")"),0.104326769405112)</f>
        <v>0.1043267694</v>
      </c>
      <c r="M875" s="4">
        <f>IFERROR(__xludf.DUMMYFUNCTION("""COMPUTED_VALUE"""),0.497044097233418)</f>
        <v>0.4970440972</v>
      </c>
      <c r="N875" s="15">
        <v>4592.0</v>
      </c>
      <c r="O875" s="4"/>
      <c r="P875" s="14" t="s">
        <v>2937</v>
      </c>
      <c r="Q875" s="17">
        <f>IFERROR(__xludf.DUMMYFUNCTION("SPLIT(P:P, "" "")"),0.0944848095349699)</f>
        <v>0.09448480953</v>
      </c>
      <c r="R875" s="4">
        <f>IFERROR(__xludf.DUMMYFUNCTION("""COMPUTED_VALUE"""),0.3785917897767)</f>
        <v>0.3785917898</v>
      </c>
      <c r="S875" s="15">
        <v>6888.0</v>
      </c>
      <c r="T875" s="4"/>
      <c r="U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14" t="s">
        <v>2938</v>
      </c>
      <c r="L876" s="17">
        <f>IFERROR(__xludf.DUMMYFUNCTION("SPLIT(K:K, "" "")"),0.102689094782206)</f>
        <v>0.1026890948</v>
      </c>
      <c r="M876" s="4">
        <f>IFERROR(__xludf.DUMMYFUNCTION("""COMPUTED_VALUE"""),0.500105155899978)</f>
        <v>0.5001051559</v>
      </c>
      <c r="N876" s="15">
        <v>4600.0</v>
      </c>
      <c r="O876" s="4"/>
      <c r="P876" s="14" t="s">
        <v>2939</v>
      </c>
      <c r="Q876" s="17">
        <f>IFERROR(__xludf.DUMMYFUNCTION("SPLIT(P:P, "" "")"),0.0937256492425169)</f>
        <v>0.09372564924</v>
      </c>
      <c r="R876" s="4">
        <f>IFERROR(__xludf.DUMMYFUNCTION("""COMPUTED_VALUE"""),0.369728200401916)</f>
        <v>0.3697282004</v>
      </c>
      <c r="S876" s="15">
        <v>6900.0</v>
      </c>
      <c r="T876" s="4"/>
      <c r="U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14" t="s">
        <v>2940</v>
      </c>
      <c r="L877" s="17">
        <f>IFERROR(__xludf.DUMMYFUNCTION("SPLIT(K:K, "" "")"),0.102859492883546)</f>
        <v>0.1028594929</v>
      </c>
      <c r="M877" s="4">
        <f>IFERROR(__xludf.DUMMYFUNCTION("""COMPUTED_VALUE"""),0.50929522190771)</f>
        <v>0.5092952219</v>
      </c>
      <c r="N877" s="15">
        <v>4608.0</v>
      </c>
      <c r="O877" s="4"/>
      <c r="P877" s="14" t="s">
        <v>2941</v>
      </c>
      <c r="Q877" s="17">
        <f>IFERROR(__xludf.DUMMYFUNCTION("SPLIT(P:P, "" "")"),0.092891197791332)</f>
        <v>0.09289119779</v>
      </c>
      <c r="R877" s="4">
        <f>IFERROR(__xludf.DUMMYFUNCTION("""COMPUTED_VALUE"""),0.368891853410134)</f>
        <v>0.3688918534</v>
      </c>
      <c r="S877" s="15">
        <v>6912.0</v>
      </c>
      <c r="T877" s="4"/>
      <c r="U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14" t="s">
        <v>2942</v>
      </c>
      <c r="L878" s="17">
        <f>IFERROR(__xludf.DUMMYFUNCTION("SPLIT(K:K, "" "")"),0.101260566451316)</f>
        <v>0.1012605665</v>
      </c>
      <c r="M878" s="4">
        <f>IFERROR(__xludf.DUMMYFUNCTION("""COMPUTED_VALUE"""),0.496438027222704)</f>
        <v>0.4964380272</v>
      </c>
      <c r="N878" s="15">
        <v>4616.0</v>
      </c>
      <c r="O878" s="4"/>
      <c r="P878" s="14" t="s">
        <v>2943</v>
      </c>
      <c r="Q878" s="17">
        <f>IFERROR(__xludf.DUMMYFUNCTION("SPLIT(P:P, "" "")"),0.0943979804213918)</f>
        <v>0.09439798042</v>
      </c>
      <c r="R878" s="4">
        <f>IFERROR(__xludf.DUMMYFUNCTION("""COMPUTED_VALUE"""),0.372541012523322)</f>
        <v>0.3725410125</v>
      </c>
      <c r="S878" s="15">
        <v>6924.0</v>
      </c>
      <c r="T878" s="4"/>
      <c r="U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14" t="s">
        <v>2944</v>
      </c>
      <c r="L879" s="17">
        <f>IFERROR(__xludf.DUMMYFUNCTION("SPLIT(K:K, "" "")"),0.10797465178485)</f>
        <v>0.1079746518</v>
      </c>
      <c r="M879" s="4">
        <f>IFERROR(__xludf.DUMMYFUNCTION("""COMPUTED_VALUE"""),0.505121096394143)</f>
        <v>0.5051210964</v>
      </c>
      <c r="N879" s="15">
        <v>4624.0</v>
      </c>
      <c r="O879" s="4"/>
      <c r="P879" s="14" t="s">
        <v>2945</v>
      </c>
      <c r="Q879" s="17">
        <f>IFERROR(__xludf.DUMMYFUNCTION("SPLIT(P:P, "" "")"),0.0909348972781255)</f>
        <v>0.09093489728</v>
      </c>
      <c r="R879" s="4">
        <f>IFERROR(__xludf.DUMMYFUNCTION("""COMPUTED_VALUE"""),0.373118716484409)</f>
        <v>0.3731187165</v>
      </c>
      <c r="S879" s="15">
        <v>6936.0</v>
      </c>
      <c r="T879" s="4"/>
      <c r="U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14" t="s">
        <v>2946</v>
      </c>
      <c r="L880" s="17">
        <f>IFERROR(__xludf.DUMMYFUNCTION("SPLIT(K:K, "" "")"),0.102260886599103)</f>
        <v>0.1022608866</v>
      </c>
      <c r="M880" s="4">
        <f>IFERROR(__xludf.DUMMYFUNCTION("""COMPUTED_VALUE"""),0.495925103532761)</f>
        <v>0.4959251035</v>
      </c>
      <c r="N880" s="15">
        <v>4632.0</v>
      </c>
      <c r="O880" s="4"/>
      <c r="P880" s="14" t="s">
        <v>2947</v>
      </c>
      <c r="Q880" s="17">
        <f>IFERROR(__xludf.DUMMYFUNCTION("SPLIT(P:P, "" "")"),0.0941810468355014)</f>
        <v>0.09418104684</v>
      </c>
      <c r="R880" s="4">
        <f>IFERROR(__xludf.DUMMYFUNCTION("""COMPUTED_VALUE"""),0.372082402797559)</f>
        <v>0.3720824028</v>
      </c>
      <c r="S880" s="15">
        <v>6948.0</v>
      </c>
      <c r="T880" s="4"/>
      <c r="U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14" t="s">
        <v>2948</v>
      </c>
      <c r="L881" s="17">
        <f>IFERROR(__xludf.DUMMYFUNCTION("SPLIT(K:K, "" "")"),0.0998216986048576)</f>
        <v>0.0998216986</v>
      </c>
      <c r="M881" s="4">
        <f>IFERROR(__xludf.DUMMYFUNCTION("""COMPUTED_VALUE"""),0.498838157719729)</f>
        <v>0.4988381577</v>
      </c>
      <c r="N881" s="15">
        <v>4640.0</v>
      </c>
      <c r="O881" s="4"/>
      <c r="P881" s="14" t="s">
        <v>2949</v>
      </c>
      <c r="Q881" s="17">
        <f>IFERROR(__xludf.DUMMYFUNCTION("SPLIT(P:P, "" "")"),0.0937586195874411)</f>
        <v>0.09375861959</v>
      </c>
      <c r="R881" s="4">
        <f>IFERROR(__xludf.DUMMYFUNCTION("""COMPUTED_VALUE"""),0.372799322120124)</f>
        <v>0.3727993221</v>
      </c>
      <c r="S881" s="15">
        <v>6960.0</v>
      </c>
      <c r="T881" s="4"/>
      <c r="U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14" t="s">
        <v>2950</v>
      </c>
      <c r="L882" s="17">
        <f>IFERROR(__xludf.DUMMYFUNCTION("SPLIT(K:K, "" "")"),0.104460033786715)</f>
        <v>0.1044600338</v>
      </c>
      <c r="M882" s="4">
        <f>IFERROR(__xludf.DUMMYFUNCTION("""COMPUTED_VALUE"""),0.508969505138228)</f>
        <v>0.5089695051</v>
      </c>
      <c r="N882" s="15">
        <v>4648.0</v>
      </c>
      <c r="O882" s="4"/>
      <c r="P882" s="14" t="s">
        <v>2951</v>
      </c>
      <c r="Q882" s="17">
        <f>IFERROR(__xludf.DUMMYFUNCTION("SPLIT(P:P, "" "")"),0.0939223483218253)</f>
        <v>0.09392234832</v>
      </c>
      <c r="R882" s="4">
        <f>IFERROR(__xludf.DUMMYFUNCTION("""COMPUTED_VALUE"""),0.375841792270214)</f>
        <v>0.3758417923</v>
      </c>
      <c r="S882" s="15">
        <v>6972.0</v>
      </c>
      <c r="T882" s="4"/>
      <c r="U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14" t="s">
        <v>2952</v>
      </c>
      <c r="L883" s="17">
        <f>IFERROR(__xludf.DUMMYFUNCTION("SPLIT(K:K, "" "")"),0.101780152589134)</f>
        <v>0.1017801526</v>
      </c>
      <c r="M883" s="4">
        <f>IFERROR(__xludf.DUMMYFUNCTION("""COMPUTED_VALUE"""),0.494484215253764)</f>
        <v>0.4944842153</v>
      </c>
      <c r="N883" s="15">
        <v>4656.0</v>
      </c>
      <c r="O883" s="4"/>
      <c r="P883" s="14" t="s">
        <v>2953</v>
      </c>
      <c r="Q883" s="17">
        <f>IFERROR(__xludf.DUMMYFUNCTION("SPLIT(P:P, "" "")"),0.0925858738073196)</f>
        <v>0.09258587381</v>
      </c>
      <c r="R883" s="4">
        <f>IFERROR(__xludf.DUMMYFUNCTION("""COMPUTED_VALUE"""),0.366450044208957)</f>
        <v>0.3664500442</v>
      </c>
      <c r="S883" s="15">
        <v>6984.0</v>
      </c>
      <c r="T883" s="4"/>
      <c r="U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14" t="s">
        <v>2954</v>
      </c>
      <c r="L884" s="17">
        <f>IFERROR(__xludf.DUMMYFUNCTION("SPLIT(K:K, "" "")"),0.100581582781945)</f>
        <v>0.1005815828</v>
      </c>
      <c r="M884" s="4">
        <f>IFERROR(__xludf.DUMMYFUNCTION("""COMPUTED_VALUE"""),0.496937339224175)</f>
        <v>0.4969373392</v>
      </c>
      <c r="N884" s="15">
        <v>4664.0</v>
      </c>
      <c r="O884" s="4"/>
      <c r="P884" s="14" t="s">
        <v>2955</v>
      </c>
      <c r="Q884" s="17">
        <f>IFERROR(__xludf.DUMMYFUNCTION("SPLIT(P:P, "" "")"),0.0933395953544184)</f>
        <v>0.09333959535</v>
      </c>
      <c r="R884" s="4">
        <f>IFERROR(__xludf.DUMMYFUNCTION("""COMPUTED_VALUE"""),0.3682816769744)</f>
        <v>0.368281677</v>
      </c>
      <c r="S884" s="15">
        <v>6996.0</v>
      </c>
      <c r="T884" s="4"/>
      <c r="U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14" t="s">
        <v>2956</v>
      </c>
      <c r="L885" s="17">
        <f>IFERROR(__xludf.DUMMYFUNCTION("SPLIT(K:K, "" "")"),0.105378916122223)</f>
        <v>0.1053789161</v>
      </c>
      <c r="M885" s="4">
        <f>IFERROR(__xludf.DUMMYFUNCTION("""COMPUTED_VALUE"""),0.505972645186739)</f>
        <v>0.5059726452</v>
      </c>
      <c r="N885" s="15">
        <v>4672.0</v>
      </c>
      <c r="O885" s="4"/>
      <c r="P885" s="14" t="s">
        <v>2957</v>
      </c>
      <c r="Q885" s="17">
        <f>IFERROR(__xludf.DUMMYFUNCTION("SPLIT(P:P, "" "")"),0.096275667048795)</f>
        <v>0.09627566705</v>
      </c>
      <c r="R885" s="4">
        <f>IFERROR(__xludf.DUMMYFUNCTION("""COMPUTED_VALUE"""),0.371827611518793)</f>
        <v>0.3718276115</v>
      </c>
      <c r="S885" s="15">
        <v>7008.0</v>
      </c>
      <c r="T885" s="4"/>
      <c r="U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14" t="s">
        <v>2958</v>
      </c>
      <c r="L886" s="17">
        <f>IFERROR(__xludf.DUMMYFUNCTION("SPLIT(K:K, "" "")"),0.10445745410253)</f>
        <v>0.1044574541</v>
      </c>
      <c r="M886" s="4">
        <f>IFERROR(__xludf.DUMMYFUNCTION("""COMPUTED_VALUE"""),0.505235929837767)</f>
        <v>0.5052359298</v>
      </c>
      <c r="N886" s="15">
        <v>4680.0</v>
      </c>
      <c r="O886" s="4"/>
      <c r="P886" s="14" t="s">
        <v>2959</v>
      </c>
      <c r="Q886" s="17">
        <f>IFERROR(__xludf.DUMMYFUNCTION("SPLIT(P:P, "" "")"),0.0944543871491826)</f>
        <v>0.09445438715</v>
      </c>
      <c r="R886" s="4">
        <f>IFERROR(__xludf.DUMMYFUNCTION("""COMPUTED_VALUE"""),0.378884982347875)</f>
        <v>0.3788849823</v>
      </c>
      <c r="S886" s="15">
        <v>7020.0</v>
      </c>
      <c r="T886" s="4"/>
      <c r="U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14" t="s">
        <v>2960</v>
      </c>
      <c r="L887" s="17">
        <f>IFERROR(__xludf.DUMMYFUNCTION("SPLIT(K:K, "" "")"),0.101850203277426)</f>
        <v>0.1018502033</v>
      </c>
      <c r="M887" s="4">
        <f>IFERROR(__xludf.DUMMYFUNCTION("""COMPUTED_VALUE"""),0.499300715048655)</f>
        <v>0.499300715</v>
      </c>
      <c r="N887" s="15">
        <v>4688.0</v>
      </c>
      <c r="O887" s="4"/>
      <c r="P887" s="14" t="s">
        <v>2961</v>
      </c>
      <c r="Q887" s="17">
        <f>IFERROR(__xludf.DUMMYFUNCTION("SPLIT(P:P, "" "")"),0.0920318355750414)</f>
        <v>0.09203183558</v>
      </c>
      <c r="R887" s="4">
        <f>IFERROR(__xludf.DUMMYFUNCTION("""COMPUTED_VALUE"""),0.369879929056499)</f>
        <v>0.3698799291</v>
      </c>
      <c r="S887" s="15">
        <v>7032.0</v>
      </c>
      <c r="T887" s="4"/>
      <c r="U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14" t="s">
        <v>2962</v>
      </c>
      <c r="L888" s="17">
        <f>IFERROR(__xludf.DUMMYFUNCTION("SPLIT(K:K, "" "")"),0.105356456116125)</f>
        <v>0.1053564561</v>
      </c>
      <c r="M888" s="4">
        <f>IFERROR(__xludf.DUMMYFUNCTION("""COMPUTED_VALUE"""),0.509798739023275)</f>
        <v>0.509798739</v>
      </c>
      <c r="N888" s="15">
        <v>4696.0</v>
      </c>
      <c r="O888" s="4"/>
      <c r="P888" s="14" t="s">
        <v>2963</v>
      </c>
      <c r="Q888" s="17">
        <f>IFERROR(__xludf.DUMMYFUNCTION("SPLIT(P:P, "" "")"),0.0948659609007335)</f>
        <v>0.0948659609</v>
      </c>
      <c r="R888" s="4">
        <f>IFERROR(__xludf.DUMMYFUNCTION("""COMPUTED_VALUE"""),0.384362412962572)</f>
        <v>0.384362413</v>
      </c>
      <c r="S888" s="15">
        <v>7044.0</v>
      </c>
      <c r="T888" s="4"/>
      <c r="U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14" t="s">
        <v>2964</v>
      </c>
      <c r="L889" s="17">
        <f>IFERROR(__xludf.DUMMYFUNCTION("SPLIT(K:K, "" "")"),0.106370249183362)</f>
        <v>0.1063702492</v>
      </c>
      <c r="M889" s="4">
        <f>IFERROR(__xludf.DUMMYFUNCTION("""COMPUTED_VALUE"""),0.504178847758046)</f>
        <v>0.5041788478</v>
      </c>
      <c r="N889" s="15">
        <v>4704.0</v>
      </c>
      <c r="O889" s="4"/>
      <c r="P889" s="14" t="s">
        <v>2965</v>
      </c>
      <c r="Q889" s="17">
        <f>IFERROR(__xludf.DUMMYFUNCTION("SPLIT(P:P, "" "")"),0.0950717135673651)</f>
        <v>0.09507171357</v>
      </c>
      <c r="R889" s="4">
        <f>IFERROR(__xludf.DUMMYFUNCTION("""COMPUTED_VALUE"""),0.370661393729858)</f>
        <v>0.3706613937</v>
      </c>
      <c r="S889" s="15">
        <v>7056.0</v>
      </c>
      <c r="T889" s="4"/>
      <c r="U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14" t="s">
        <v>2966</v>
      </c>
      <c r="L890" s="17">
        <f>IFERROR(__xludf.DUMMYFUNCTION("SPLIT(K:K, "" "")"),0.102270020063282)</f>
        <v>0.1022700201</v>
      </c>
      <c r="M890" s="4">
        <f>IFERROR(__xludf.DUMMYFUNCTION("""COMPUTED_VALUE"""),0.500014192669342)</f>
        <v>0.5000141927</v>
      </c>
      <c r="N890" s="15">
        <v>4712.0</v>
      </c>
      <c r="O890" s="4"/>
      <c r="P890" s="14" t="s">
        <v>2967</v>
      </c>
      <c r="Q890" s="17">
        <f>IFERROR(__xludf.DUMMYFUNCTION("SPLIT(P:P, "" "")"),0.0897581484206426)</f>
        <v>0.08975814842</v>
      </c>
      <c r="R890" s="4">
        <f>IFERROR(__xludf.DUMMYFUNCTION("""COMPUTED_VALUE"""),0.365092079651443)</f>
        <v>0.3650920797</v>
      </c>
      <c r="S890" s="15">
        <v>7068.0</v>
      </c>
      <c r="T890" s="4"/>
      <c r="U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14" t="s">
        <v>2968</v>
      </c>
      <c r="L891" s="17">
        <f>IFERROR(__xludf.DUMMYFUNCTION("SPLIT(K:K, "" "")"),0.102499788162486)</f>
        <v>0.1024997882</v>
      </c>
      <c r="M891" s="4">
        <f>IFERROR(__xludf.DUMMYFUNCTION("""COMPUTED_VALUE"""),0.501060289495766)</f>
        <v>0.5010602895</v>
      </c>
      <c r="N891" s="15">
        <v>4720.0</v>
      </c>
      <c r="O891" s="4"/>
      <c r="P891" s="14" t="s">
        <v>2969</v>
      </c>
      <c r="Q891" s="17">
        <f>IFERROR(__xludf.DUMMYFUNCTION("SPLIT(P:P, "" "")"),0.0896434613606465)</f>
        <v>0.08964346136</v>
      </c>
      <c r="R891" s="4">
        <f>IFERROR(__xludf.DUMMYFUNCTION("""COMPUTED_VALUE"""),0.363043326761487)</f>
        <v>0.3630433268</v>
      </c>
      <c r="S891" s="15">
        <v>7080.0</v>
      </c>
      <c r="T891" s="4"/>
      <c r="U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14" t="s">
        <v>2970</v>
      </c>
      <c r="L892" s="17">
        <f>IFERROR(__xludf.DUMMYFUNCTION("SPLIT(K:K, "" "")"),0.101094576979002)</f>
        <v>0.101094577</v>
      </c>
      <c r="M892" s="4">
        <f>IFERROR(__xludf.DUMMYFUNCTION("""COMPUTED_VALUE"""),0.495462674830906)</f>
        <v>0.4954626748</v>
      </c>
      <c r="N892" s="15">
        <v>4728.0</v>
      </c>
      <c r="O892" s="4"/>
      <c r="P892" s="14" t="s">
        <v>2971</v>
      </c>
      <c r="Q892" s="17">
        <f>IFERROR(__xludf.DUMMYFUNCTION("SPLIT(P:P, "" "")"),0.0937574082890742)</f>
        <v>0.09375740829</v>
      </c>
      <c r="R892" s="4">
        <f>IFERROR(__xludf.DUMMYFUNCTION("""COMPUTED_VALUE"""),0.364578712126314)</f>
        <v>0.3645787121</v>
      </c>
      <c r="S892" s="15">
        <v>7092.0</v>
      </c>
      <c r="T892" s="4"/>
      <c r="U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14" t="s">
        <v>2972</v>
      </c>
      <c r="L893" s="17">
        <f>IFERROR(__xludf.DUMMYFUNCTION("SPLIT(K:K, "" "")"),0.106312410974008)</f>
        <v>0.106312411</v>
      </c>
      <c r="M893" s="4">
        <f>IFERROR(__xludf.DUMMYFUNCTION("""COMPUTED_VALUE"""),0.516312012722257)</f>
        <v>0.5163120127</v>
      </c>
      <c r="N893" s="15">
        <v>4736.0</v>
      </c>
      <c r="O893" s="4"/>
      <c r="P893" s="14" t="s">
        <v>2973</v>
      </c>
      <c r="Q893" s="17">
        <f>IFERROR(__xludf.DUMMYFUNCTION("SPLIT(P:P, "" "")"),0.0905313406716169)</f>
        <v>0.09053134067</v>
      </c>
      <c r="R893" s="4">
        <f>IFERROR(__xludf.DUMMYFUNCTION("""COMPUTED_VALUE"""),0.365902287801611)</f>
        <v>0.3659022878</v>
      </c>
      <c r="S893" s="15">
        <v>7104.0</v>
      </c>
      <c r="T893" s="4"/>
      <c r="U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14" t="s">
        <v>2974</v>
      </c>
      <c r="L894" s="17">
        <f>IFERROR(__xludf.DUMMYFUNCTION("SPLIT(K:K, "" "")"),0.101976868441168)</f>
        <v>0.1019768684</v>
      </c>
      <c r="M894" s="4">
        <f>IFERROR(__xludf.DUMMYFUNCTION("""COMPUTED_VALUE"""),0.505423119731693)</f>
        <v>0.5054231197</v>
      </c>
      <c r="N894" s="15">
        <v>4744.0</v>
      </c>
      <c r="O894" s="4"/>
      <c r="P894" s="14" t="s">
        <v>2975</v>
      </c>
      <c r="Q894" s="17">
        <f>IFERROR(__xludf.DUMMYFUNCTION("SPLIT(P:P, "" "")"),0.0911716317409224)</f>
        <v>0.09117163174</v>
      </c>
      <c r="R894" s="4">
        <f>IFERROR(__xludf.DUMMYFUNCTION("""COMPUTED_VALUE"""),0.36877380038709)</f>
        <v>0.3687738004</v>
      </c>
      <c r="S894" s="15">
        <v>7116.0</v>
      </c>
      <c r="T894" s="4"/>
      <c r="U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14" t="s">
        <v>2976</v>
      </c>
      <c r="L895" s="17">
        <f>IFERROR(__xludf.DUMMYFUNCTION("SPLIT(K:K, "" "")"),0.102341464576708)</f>
        <v>0.1023414646</v>
      </c>
      <c r="M895" s="4">
        <f>IFERROR(__xludf.DUMMYFUNCTION("""COMPUTED_VALUE"""),0.498419080898114)</f>
        <v>0.4984190809</v>
      </c>
      <c r="N895" s="15">
        <v>4752.0</v>
      </c>
      <c r="O895" s="4"/>
      <c r="P895" s="14" t="s">
        <v>2977</v>
      </c>
      <c r="Q895" s="17">
        <f>IFERROR(__xludf.DUMMYFUNCTION("SPLIT(P:P, "" "")"),0.0915461104866718)</f>
        <v>0.09154611049</v>
      </c>
      <c r="R895" s="4">
        <f>IFERROR(__xludf.DUMMYFUNCTION("""COMPUTED_VALUE"""),0.37154151733021)</f>
        <v>0.3715415173</v>
      </c>
      <c r="S895" s="15">
        <v>7128.0</v>
      </c>
      <c r="T895" s="4"/>
      <c r="U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14" t="s">
        <v>2978</v>
      </c>
      <c r="L896" s="17">
        <f>IFERROR(__xludf.DUMMYFUNCTION("SPLIT(K:K, "" "")"),0.101168173506017)</f>
        <v>0.1011681735</v>
      </c>
      <c r="M896" s="4">
        <f>IFERROR(__xludf.DUMMYFUNCTION("""COMPUTED_VALUE"""),0.492043532139575)</f>
        <v>0.4920435321</v>
      </c>
      <c r="N896" s="15">
        <v>4760.0</v>
      </c>
      <c r="O896" s="4"/>
      <c r="P896" s="14" t="s">
        <v>2979</v>
      </c>
      <c r="Q896" s="17">
        <f>IFERROR(__xludf.DUMMYFUNCTION("SPLIT(P:P, "" "")"),0.0906611346139635)</f>
        <v>0.09066113461</v>
      </c>
      <c r="R896" s="4">
        <f>IFERROR(__xludf.DUMMYFUNCTION("""COMPUTED_VALUE"""),0.365895127348522)</f>
        <v>0.3658951273</v>
      </c>
      <c r="S896" s="15">
        <v>7140.0</v>
      </c>
      <c r="T896" s="4"/>
      <c r="U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14" t="s">
        <v>2980</v>
      </c>
      <c r="L897" s="17">
        <f>IFERROR(__xludf.DUMMYFUNCTION("SPLIT(K:K, "" "")"),0.104571468115005)</f>
        <v>0.1045714681</v>
      </c>
      <c r="M897" s="4">
        <f>IFERROR(__xludf.DUMMYFUNCTION("""COMPUTED_VALUE"""),0.510495063704483)</f>
        <v>0.5104950637</v>
      </c>
      <c r="N897" s="15">
        <v>4768.0</v>
      </c>
      <c r="O897" s="4"/>
      <c r="P897" s="14" t="s">
        <v>2981</v>
      </c>
      <c r="Q897" s="17">
        <f>IFERROR(__xludf.DUMMYFUNCTION("SPLIT(P:P, "" "")"),0.0919926752352078)</f>
        <v>0.09199267524</v>
      </c>
      <c r="R897" s="4">
        <f>IFERROR(__xludf.DUMMYFUNCTION("""COMPUTED_VALUE"""),0.367117367335125)</f>
        <v>0.3671173673</v>
      </c>
      <c r="S897" s="15">
        <v>7152.0</v>
      </c>
      <c r="T897" s="4"/>
      <c r="U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14" t="s">
        <v>2982</v>
      </c>
      <c r="L898" s="17">
        <f>IFERROR(__xludf.DUMMYFUNCTION("SPLIT(K:K, "" "")"),0.103120568591358)</f>
        <v>0.1031205686</v>
      </c>
      <c r="M898" s="4">
        <f>IFERROR(__xludf.DUMMYFUNCTION("""COMPUTED_VALUE"""),0.503121509360033)</f>
        <v>0.5031215094</v>
      </c>
      <c r="N898" s="15">
        <v>4776.0</v>
      </c>
      <c r="O898" s="4"/>
      <c r="P898" s="14" t="s">
        <v>2983</v>
      </c>
      <c r="Q898" s="17">
        <f>IFERROR(__xludf.DUMMYFUNCTION("SPLIT(P:P, "" "")"),0.0978844260086595)</f>
        <v>0.09788442601</v>
      </c>
      <c r="R898" s="4">
        <f>IFERROR(__xludf.DUMMYFUNCTION("""COMPUTED_VALUE"""),0.372217552537181)</f>
        <v>0.3722175525</v>
      </c>
      <c r="S898" s="15">
        <v>7164.0</v>
      </c>
      <c r="T898" s="4"/>
      <c r="U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14" t="s">
        <v>2984</v>
      </c>
      <c r="L899" s="17">
        <f>IFERROR(__xludf.DUMMYFUNCTION("SPLIT(K:K, "" "")"),0.101859425261345)</f>
        <v>0.1018594253</v>
      </c>
      <c r="M899" s="4">
        <f>IFERROR(__xludf.DUMMYFUNCTION("""COMPUTED_VALUE"""),0.503071817603872)</f>
        <v>0.5030718176</v>
      </c>
      <c r="N899" s="15">
        <v>4784.0</v>
      </c>
      <c r="O899" s="4"/>
      <c r="P899" s="14" t="s">
        <v>2985</v>
      </c>
      <c r="Q899" s="17">
        <f>IFERROR(__xludf.DUMMYFUNCTION("SPLIT(P:P, "" "")"),0.0913653346451522)</f>
        <v>0.09136533465</v>
      </c>
      <c r="R899" s="4">
        <f>IFERROR(__xludf.DUMMYFUNCTION("""COMPUTED_VALUE"""),0.364732083630775)</f>
        <v>0.3647320836</v>
      </c>
      <c r="S899" s="15">
        <v>7176.0</v>
      </c>
      <c r="T899" s="4"/>
      <c r="U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14" t="s">
        <v>2986</v>
      </c>
      <c r="L900" s="17">
        <f>IFERROR(__xludf.DUMMYFUNCTION("SPLIT(K:K, "" "")"),0.102731456501943)</f>
        <v>0.1027314565</v>
      </c>
      <c r="M900" s="4">
        <f>IFERROR(__xludf.DUMMYFUNCTION("""COMPUTED_VALUE"""),0.509222010157753)</f>
        <v>0.5092220102</v>
      </c>
      <c r="N900" s="15">
        <v>4792.0</v>
      </c>
      <c r="O900" s="4"/>
      <c r="P900" s="14" t="s">
        <v>2987</v>
      </c>
      <c r="Q900" s="17">
        <f>IFERROR(__xludf.DUMMYFUNCTION("SPLIT(P:P, "" "")"),0.0903861741628236)</f>
        <v>0.09038617416</v>
      </c>
      <c r="R900" s="4">
        <f>IFERROR(__xludf.DUMMYFUNCTION("""COMPUTED_VALUE"""),0.367086176659672)</f>
        <v>0.3670861767</v>
      </c>
      <c r="S900" s="15">
        <v>7188.0</v>
      </c>
      <c r="T900" s="4"/>
      <c r="U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14" t="s">
        <v>2988</v>
      </c>
      <c r="L901" s="17">
        <f>IFERROR(__xludf.DUMMYFUNCTION("SPLIT(K:K, "" "")"),0.102301310210942)</f>
        <v>0.1023013102</v>
      </c>
      <c r="M901" s="4">
        <f>IFERROR(__xludf.DUMMYFUNCTION("""COMPUTED_VALUE"""),0.500911464466984)</f>
        <v>0.5009114645</v>
      </c>
      <c r="N901" s="15">
        <v>4800.0</v>
      </c>
      <c r="O901" s="4"/>
      <c r="P901" s="14" t="s">
        <v>2989</v>
      </c>
      <c r="Q901" s="17">
        <f>IFERROR(__xludf.DUMMYFUNCTION("SPLIT(P:P, "" "")"),0.0904857599962622)</f>
        <v>0.09048576</v>
      </c>
      <c r="R901" s="4">
        <f>IFERROR(__xludf.DUMMYFUNCTION("""COMPUTED_VALUE"""),0.368853724445628)</f>
        <v>0.3688537244</v>
      </c>
      <c r="S901" s="15">
        <v>7200.0</v>
      </c>
      <c r="T901" s="4"/>
      <c r="U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14" t="s">
        <v>2990</v>
      </c>
      <c r="L902" s="17">
        <f>IFERROR(__xludf.DUMMYFUNCTION("SPLIT(K:K, "" "")"),0.101079084985815)</f>
        <v>0.101079085</v>
      </c>
      <c r="M902" s="4">
        <f>IFERROR(__xludf.DUMMYFUNCTION("""COMPUTED_VALUE"""),0.497199631098669)</f>
        <v>0.4971996311</v>
      </c>
      <c r="N902" s="15">
        <v>4808.0</v>
      </c>
      <c r="O902" s="4"/>
      <c r="P902" s="14" t="s">
        <v>2991</v>
      </c>
      <c r="Q902" s="17">
        <f>IFERROR(__xludf.DUMMYFUNCTION("SPLIT(P:P, "" "")"),0.0887150200978303)</f>
        <v>0.0887150201</v>
      </c>
      <c r="R902" s="4">
        <f>IFERROR(__xludf.DUMMYFUNCTION("""COMPUTED_VALUE"""),0.368241959084781)</f>
        <v>0.3682419591</v>
      </c>
      <c r="S902" s="15">
        <v>7212.0</v>
      </c>
      <c r="T902" s="4"/>
      <c r="U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14" t="s">
        <v>2992</v>
      </c>
      <c r="L903" s="17">
        <f>IFERROR(__xludf.DUMMYFUNCTION("SPLIT(K:K, "" "")"),0.100672419505777)</f>
        <v>0.1006724195</v>
      </c>
      <c r="M903" s="4">
        <f>IFERROR(__xludf.DUMMYFUNCTION("""COMPUTED_VALUE"""),0.499350332889132)</f>
        <v>0.4993503329</v>
      </c>
      <c r="N903" s="15">
        <v>4816.0</v>
      </c>
      <c r="O903" s="4"/>
      <c r="P903" s="14" t="s">
        <v>2993</v>
      </c>
      <c r="Q903" s="17">
        <f>IFERROR(__xludf.DUMMYFUNCTION("SPLIT(P:P, "" "")"),0.0904742917671808)</f>
        <v>0.09047429177</v>
      </c>
      <c r="R903" s="4">
        <f>IFERROR(__xludf.DUMMYFUNCTION("""COMPUTED_VALUE"""),0.375135155789551)</f>
        <v>0.3751351558</v>
      </c>
      <c r="S903" s="15">
        <v>7224.0</v>
      </c>
      <c r="T903" s="4"/>
      <c r="U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14" t="s">
        <v>2994</v>
      </c>
      <c r="L904" s="17">
        <f>IFERROR(__xludf.DUMMYFUNCTION("SPLIT(K:K, "" "")"),0.098218047033058)</f>
        <v>0.09821804703</v>
      </c>
      <c r="M904" s="4">
        <f>IFERROR(__xludf.DUMMYFUNCTION("""COMPUTED_VALUE"""),0.498498792033522)</f>
        <v>0.498498792</v>
      </c>
      <c r="N904" s="15">
        <v>4824.0</v>
      </c>
      <c r="O904" s="4"/>
      <c r="P904" s="14" t="s">
        <v>2995</v>
      </c>
      <c r="Q904" s="17">
        <f>IFERROR(__xludf.DUMMYFUNCTION("SPLIT(P:P, "" "")"),0.0886695336625692)</f>
        <v>0.08866953366</v>
      </c>
      <c r="R904" s="4">
        <f>IFERROR(__xludf.DUMMYFUNCTION("""COMPUTED_VALUE"""),0.366491899900176)</f>
        <v>0.3664918999</v>
      </c>
      <c r="S904" s="15">
        <v>7236.0</v>
      </c>
      <c r="T904" s="4"/>
      <c r="U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14" t="s">
        <v>2996</v>
      </c>
      <c r="L905" s="17">
        <f>IFERROR(__xludf.DUMMYFUNCTION("SPLIT(K:K, "" "")"),0.0986264444181993)</f>
        <v>0.09862644442</v>
      </c>
      <c r="M905" s="4">
        <f>IFERROR(__xludf.DUMMYFUNCTION("""COMPUTED_VALUE"""),0.502064828851938)</f>
        <v>0.5020648289</v>
      </c>
      <c r="N905" s="15">
        <v>4832.0</v>
      </c>
      <c r="O905" s="4"/>
      <c r="P905" s="14" t="s">
        <v>2997</v>
      </c>
      <c r="Q905" s="17">
        <f>IFERROR(__xludf.DUMMYFUNCTION("SPLIT(P:P, "" "")"),0.0940049495932777)</f>
        <v>0.09400494959</v>
      </c>
      <c r="R905" s="4">
        <f>IFERROR(__xludf.DUMMYFUNCTION("""COMPUTED_VALUE"""),0.38159687722929)</f>
        <v>0.3815968772</v>
      </c>
      <c r="S905" s="15">
        <v>7248.0</v>
      </c>
      <c r="T905" s="4"/>
      <c r="U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14" t="s">
        <v>2998</v>
      </c>
      <c r="L906" s="17">
        <f>IFERROR(__xludf.DUMMYFUNCTION("SPLIT(K:K, "" "")"),0.101671870863104)</f>
        <v>0.1016718709</v>
      </c>
      <c r="M906" s="4">
        <f>IFERROR(__xludf.DUMMYFUNCTION("""COMPUTED_VALUE"""),0.504400875111403)</f>
        <v>0.5044008751</v>
      </c>
      <c r="N906" s="15">
        <v>4840.0</v>
      </c>
      <c r="O906" s="4"/>
      <c r="P906" s="14" t="s">
        <v>2999</v>
      </c>
      <c r="Q906" s="17">
        <f>IFERROR(__xludf.DUMMYFUNCTION("SPLIT(P:P, "" "")"),0.0900546609018642)</f>
        <v>0.0900546609</v>
      </c>
      <c r="R906" s="4">
        <f>IFERROR(__xludf.DUMMYFUNCTION("""COMPUTED_VALUE"""),0.37263565756612)</f>
        <v>0.3726356576</v>
      </c>
      <c r="S906" s="15">
        <v>7260.0</v>
      </c>
      <c r="T906" s="4"/>
      <c r="U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14" t="s">
        <v>3000</v>
      </c>
      <c r="L907" s="17">
        <f>IFERROR(__xludf.DUMMYFUNCTION("SPLIT(K:K, "" "")"),0.0996847567581893)</f>
        <v>0.09968475676</v>
      </c>
      <c r="M907" s="4">
        <f>IFERROR(__xludf.DUMMYFUNCTION("""COMPUTED_VALUE"""),0.503207709542295)</f>
        <v>0.5032077095</v>
      </c>
      <c r="N907" s="15">
        <v>4848.0</v>
      </c>
      <c r="O907" s="4"/>
      <c r="P907" s="14" t="s">
        <v>3001</v>
      </c>
      <c r="Q907" s="17">
        <f>IFERROR(__xludf.DUMMYFUNCTION("SPLIT(P:P, "" "")"),0.0874519445324524)</f>
        <v>0.08745194453</v>
      </c>
      <c r="R907" s="4">
        <f>IFERROR(__xludf.DUMMYFUNCTION("""COMPUTED_VALUE"""),0.362182865443101)</f>
        <v>0.3621828654</v>
      </c>
      <c r="S907" s="15">
        <v>7272.0</v>
      </c>
      <c r="T907" s="4"/>
      <c r="U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14" t="s">
        <v>3002</v>
      </c>
      <c r="L908" s="17">
        <f>IFERROR(__xludf.DUMMYFUNCTION("SPLIT(K:K, "" "")"),0.102462110962032)</f>
        <v>0.102462111</v>
      </c>
      <c r="M908" s="4">
        <f>IFERROR(__xludf.DUMMYFUNCTION("""COMPUTED_VALUE"""),0.50182208859399)</f>
        <v>0.5018220886</v>
      </c>
      <c r="N908" s="15">
        <v>4856.0</v>
      </c>
      <c r="O908" s="4"/>
      <c r="P908" s="14" t="s">
        <v>3003</v>
      </c>
      <c r="Q908" s="17">
        <f>IFERROR(__xludf.DUMMYFUNCTION("SPLIT(P:P, "" "")"),0.0884101677008305)</f>
        <v>0.0884101677</v>
      </c>
      <c r="R908" s="4">
        <f>IFERROR(__xludf.DUMMYFUNCTION("""COMPUTED_VALUE"""),0.367005157720715)</f>
        <v>0.3670051577</v>
      </c>
      <c r="S908" s="15">
        <v>7284.0</v>
      </c>
      <c r="T908" s="4"/>
      <c r="U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14" t="s">
        <v>3004</v>
      </c>
      <c r="L909" s="17">
        <f>IFERROR(__xludf.DUMMYFUNCTION("SPLIT(K:K, "" "")"),0.100103823482781)</f>
        <v>0.1001038235</v>
      </c>
      <c r="M909" s="4">
        <f>IFERROR(__xludf.DUMMYFUNCTION("""COMPUTED_VALUE"""),0.506376637492563)</f>
        <v>0.5063766375</v>
      </c>
      <c r="N909" s="15">
        <v>4864.0</v>
      </c>
      <c r="O909" s="4"/>
      <c r="P909" s="14" t="s">
        <v>3005</v>
      </c>
      <c r="Q909" s="17">
        <f>IFERROR(__xludf.DUMMYFUNCTION("SPLIT(P:P, "" "")"),0.0893946208451667)</f>
        <v>0.08939462085</v>
      </c>
      <c r="R909" s="4">
        <f>IFERROR(__xludf.DUMMYFUNCTION("""COMPUTED_VALUE"""),0.359641821823431)</f>
        <v>0.3596418218</v>
      </c>
      <c r="S909" s="15">
        <v>7296.0</v>
      </c>
      <c r="T909" s="4"/>
      <c r="U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14" t="s">
        <v>3006</v>
      </c>
      <c r="L910" s="17">
        <f>IFERROR(__xludf.DUMMYFUNCTION("SPLIT(K:K, "" "")"),0.102034731029728)</f>
        <v>0.102034731</v>
      </c>
      <c r="M910" s="4">
        <f>IFERROR(__xludf.DUMMYFUNCTION("""COMPUTED_VALUE"""),0.505341238808019)</f>
        <v>0.5053412388</v>
      </c>
      <c r="N910" s="15">
        <v>4872.0</v>
      </c>
      <c r="O910" s="4"/>
      <c r="P910" s="14" t="s">
        <v>3007</v>
      </c>
      <c r="Q910" s="17">
        <f>IFERROR(__xludf.DUMMYFUNCTION("SPLIT(P:P, "" "")"),0.0875994738807933)</f>
        <v>0.08759947388</v>
      </c>
      <c r="R910" s="4">
        <f>IFERROR(__xludf.DUMMYFUNCTION("""COMPUTED_VALUE"""),0.360436437694011)</f>
        <v>0.3604364377</v>
      </c>
      <c r="S910" s="15">
        <v>7308.0</v>
      </c>
      <c r="T910" s="4"/>
      <c r="U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14" t="s">
        <v>3008</v>
      </c>
      <c r="L911" s="17">
        <f>IFERROR(__xludf.DUMMYFUNCTION("SPLIT(K:K, "" "")"),0.0991473111633813)</f>
        <v>0.09914731116</v>
      </c>
      <c r="M911" s="4">
        <f>IFERROR(__xludf.DUMMYFUNCTION("""COMPUTED_VALUE"""),0.501541877121985)</f>
        <v>0.5015418771</v>
      </c>
      <c r="N911" s="15">
        <v>4880.0</v>
      </c>
      <c r="O911" s="4"/>
      <c r="P911" s="14" t="s">
        <v>3009</v>
      </c>
      <c r="Q911" s="17">
        <f>IFERROR(__xludf.DUMMYFUNCTION("SPLIT(P:P, "" "")"),0.0899974832438855)</f>
        <v>0.08999748324</v>
      </c>
      <c r="R911" s="4">
        <f>IFERROR(__xludf.DUMMYFUNCTION("""COMPUTED_VALUE"""),0.374282755470668)</f>
        <v>0.3742827555</v>
      </c>
      <c r="S911" s="15">
        <v>7320.0</v>
      </c>
      <c r="T911" s="4"/>
      <c r="U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14" t="s">
        <v>3010</v>
      </c>
      <c r="L912" s="17">
        <f>IFERROR(__xludf.DUMMYFUNCTION("SPLIT(K:K, "" "")"),0.0994405803007435)</f>
        <v>0.0994405803</v>
      </c>
      <c r="M912" s="4">
        <f>IFERROR(__xludf.DUMMYFUNCTION("""COMPUTED_VALUE"""),0.5028825117627)</f>
        <v>0.5028825118</v>
      </c>
      <c r="N912" s="15">
        <v>4888.0</v>
      </c>
      <c r="O912" s="4"/>
      <c r="P912" s="14" t="s">
        <v>3011</v>
      </c>
      <c r="Q912" s="17">
        <f>IFERROR(__xludf.DUMMYFUNCTION("SPLIT(P:P, "" "")"),0.0887497657299777)</f>
        <v>0.08874976573</v>
      </c>
      <c r="R912" s="4">
        <f>IFERROR(__xludf.DUMMYFUNCTION("""COMPUTED_VALUE"""),0.372805716077131)</f>
        <v>0.3728057161</v>
      </c>
      <c r="S912" s="15">
        <v>7332.0</v>
      </c>
      <c r="T912" s="4"/>
      <c r="U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14" t="s">
        <v>3012</v>
      </c>
      <c r="L913" s="17">
        <f>IFERROR(__xludf.DUMMYFUNCTION("SPLIT(K:K, "" "")"),0.099509106128356)</f>
        <v>0.09950910613</v>
      </c>
      <c r="M913" s="4">
        <f>IFERROR(__xludf.DUMMYFUNCTION("""COMPUTED_VALUE"""),0.502754151323441)</f>
        <v>0.5027541513</v>
      </c>
      <c r="N913" s="15">
        <v>4896.0</v>
      </c>
      <c r="O913" s="4"/>
      <c r="P913" s="14" t="s">
        <v>3013</v>
      </c>
      <c r="Q913" s="17">
        <f>IFERROR(__xludf.DUMMYFUNCTION("SPLIT(P:P, "" "")"),0.0877223253719079)</f>
        <v>0.08772232537</v>
      </c>
      <c r="R913" s="4">
        <f>IFERROR(__xludf.DUMMYFUNCTION("""COMPUTED_VALUE"""),0.366570906648904)</f>
        <v>0.3665709066</v>
      </c>
      <c r="S913" s="15">
        <v>7344.0</v>
      </c>
      <c r="T913" s="4"/>
      <c r="U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14" t="s">
        <v>3014</v>
      </c>
      <c r="L914" s="17">
        <f>IFERROR(__xludf.DUMMYFUNCTION("SPLIT(K:K, "" "")"),0.0988076232680966)</f>
        <v>0.09880762327</v>
      </c>
      <c r="M914" s="4">
        <f>IFERROR(__xludf.DUMMYFUNCTION("""COMPUTED_VALUE"""),0.504053397922592)</f>
        <v>0.5040533979</v>
      </c>
      <c r="N914" s="15">
        <v>4904.0</v>
      </c>
      <c r="O914" s="4"/>
      <c r="P914" s="14" t="s">
        <v>3015</v>
      </c>
      <c r="Q914" s="17">
        <f>IFERROR(__xludf.DUMMYFUNCTION("SPLIT(P:P, "" "")"),0.0899696300190382)</f>
        <v>0.08996963002</v>
      </c>
      <c r="R914" s="4">
        <f>IFERROR(__xludf.DUMMYFUNCTION("""COMPUTED_VALUE"""),0.370528232602118)</f>
        <v>0.3705282326</v>
      </c>
      <c r="S914" s="15">
        <v>7356.0</v>
      </c>
      <c r="T914" s="4"/>
      <c r="U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14" t="s">
        <v>3016</v>
      </c>
      <c r="L915" s="17">
        <f>IFERROR(__xludf.DUMMYFUNCTION("SPLIT(K:K, "" "")"),0.10251002010264)</f>
        <v>0.1025100201</v>
      </c>
      <c r="M915" s="4">
        <f>IFERROR(__xludf.DUMMYFUNCTION("""COMPUTED_VALUE"""),0.514977016066987)</f>
        <v>0.5149770161</v>
      </c>
      <c r="N915" s="15">
        <v>4912.0</v>
      </c>
      <c r="O915" s="4"/>
      <c r="P915" s="14" t="s">
        <v>3017</v>
      </c>
      <c r="Q915" s="17">
        <f>IFERROR(__xludf.DUMMYFUNCTION("SPLIT(P:P, "" "")"),0.0906037938754509)</f>
        <v>0.09060379388</v>
      </c>
      <c r="R915" s="4">
        <f>IFERROR(__xludf.DUMMYFUNCTION("""COMPUTED_VALUE"""),0.3759492824631)</f>
        <v>0.3759492825</v>
      </c>
      <c r="S915" s="15">
        <v>7368.0</v>
      </c>
      <c r="T915" s="4"/>
      <c r="U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14" t="s">
        <v>3018</v>
      </c>
      <c r="L916" s="17">
        <f>IFERROR(__xludf.DUMMYFUNCTION("SPLIT(K:K, "" "")"),0.0992866201288599)</f>
        <v>0.09928662013</v>
      </c>
      <c r="M916" s="4">
        <f>IFERROR(__xludf.DUMMYFUNCTION("""COMPUTED_VALUE"""),0.499900682645661)</f>
        <v>0.4999006826</v>
      </c>
      <c r="N916" s="15">
        <v>4920.0</v>
      </c>
      <c r="O916" s="4"/>
      <c r="P916" s="14" t="s">
        <v>3019</v>
      </c>
      <c r="Q916" s="17">
        <f>IFERROR(__xludf.DUMMYFUNCTION("SPLIT(P:P, "" "")"),0.0886405994894529)</f>
        <v>0.08864059949</v>
      </c>
      <c r="R916" s="4">
        <f>IFERROR(__xludf.DUMMYFUNCTION("""COMPUTED_VALUE"""),0.372029316663284)</f>
        <v>0.3720293167</v>
      </c>
      <c r="S916" s="15">
        <v>7380.0</v>
      </c>
      <c r="T916" s="4"/>
      <c r="U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14" t="s">
        <v>3020</v>
      </c>
      <c r="L917" s="17">
        <f>IFERROR(__xludf.DUMMYFUNCTION("SPLIT(K:K, "" "")"),0.0996134065320284)</f>
        <v>0.09961340653</v>
      </c>
      <c r="M917" s="4">
        <f>IFERROR(__xludf.DUMMYFUNCTION("""COMPUTED_VALUE"""),0.495747707559734)</f>
        <v>0.4957477076</v>
      </c>
      <c r="N917" s="15">
        <v>4928.0</v>
      </c>
      <c r="O917" s="4"/>
      <c r="P917" s="14" t="s">
        <v>3021</v>
      </c>
      <c r="Q917" s="17">
        <f>IFERROR(__xludf.DUMMYFUNCTION("SPLIT(P:P, "" "")"),0.0899260443673977)</f>
        <v>0.08992604437</v>
      </c>
      <c r="R917" s="4">
        <f>IFERROR(__xludf.DUMMYFUNCTION("""COMPUTED_VALUE"""),0.367265508282504)</f>
        <v>0.3672655083</v>
      </c>
      <c r="S917" s="15">
        <v>7392.0</v>
      </c>
      <c r="T917" s="4"/>
      <c r="U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14" t="s">
        <v>3022</v>
      </c>
      <c r="L918" s="17">
        <f>IFERROR(__xludf.DUMMYFUNCTION("SPLIT(K:K, "" "")"),0.101770002448794)</f>
        <v>0.1017700024</v>
      </c>
      <c r="M918" s="4">
        <f>IFERROR(__xludf.DUMMYFUNCTION("""COMPUTED_VALUE"""),0.49583583230363)</f>
        <v>0.4958358323</v>
      </c>
      <c r="N918" s="15">
        <v>4936.0</v>
      </c>
      <c r="O918" s="4"/>
      <c r="P918" s="14" t="s">
        <v>3023</v>
      </c>
      <c r="Q918" s="17">
        <f>IFERROR(__xludf.DUMMYFUNCTION("SPLIT(P:P, "" "")"),0.0886777721263639)</f>
        <v>0.08867777213</v>
      </c>
      <c r="R918" s="4">
        <f>IFERROR(__xludf.DUMMYFUNCTION("""COMPUTED_VALUE"""),0.370178361930166)</f>
        <v>0.3701783619</v>
      </c>
      <c r="S918" s="15">
        <v>7404.0</v>
      </c>
      <c r="T918" s="4"/>
      <c r="U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14" t="s">
        <v>3024</v>
      </c>
      <c r="L919" s="17">
        <f>IFERROR(__xludf.DUMMYFUNCTION("SPLIT(K:K, "" "")"),0.100486928632935)</f>
        <v>0.1004869286</v>
      </c>
      <c r="M919" s="4">
        <f>IFERROR(__xludf.DUMMYFUNCTION("""COMPUTED_VALUE"""),0.506479356660181)</f>
        <v>0.5064793567</v>
      </c>
      <c r="N919" s="15">
        <v>4944.0</v>
      </c>
      <c r="O919" s="4"/>
      <c r="P919" s="14" t="s">
        <v>3025</v>
      </c>
      <c r="Q919" s="17">
        <f>IFERROR(__xludf.DUMMYFUNCTION("SPLIT(P:P, "" "")"),0.0897811148896502)</f>
        <v>0.08978111489</v>
      </c>
      <c r="R919" s="4">
        <f>IFERROR(__xludf.DUMMYFUNCTION("""COMPUTED_VALUE"""),0.368068173533783)</f>
        <v>0.3680681735</v>
      </c>
      <c r="S919" s="15">
        <v>7416.0</v>
      </c>
      <c r="T919" s="4"/>
      <c r="U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14" t="s">
        <v>3026</v>
      </c>
      <c r="L920" s="17">
        <f>IFERROR(__xludf.DUMMYFUNCTION("SPLIT(K:K, "" "")"),0.0974729431254583)</f>
        <v>0.09747294313</v>
      </c>
      <c r="M920" s="4">
        <f>IFERROR(__xludf.DUMMYFUNCTION("""COMPUTED_VALUE"""),0.505526152483321)</f>
        <v>0.5055261525</v>
      </c>
      <c r="N920" s="15">
        <v>4952.0</v>
      </c>
      <c r="O920" s="4"/>
      <c r="P920" s="14" t="s">
        <v>3027</v>
      </c>
      <c r="Q920" s="17">
        <f>IFERROR(__xludf.DUMMYFUNCTION("SPLIT(P:P, "" "")"),0.0906634879575043)</f>
        <v>0.09066348796</v>
      </c>
      <c r="R920" s="4">
        <f>IFERROR(__xludf.DUMMYFUNCTION("""COMPUTED_VALUE"""),0.374793892319072)</f>
        <v>0.3747938923</v>
      </c>
      <c r="S920" s="15">
        <v>7428.0</v>
      </c>
      <c r="T920" s="4"/>
      <c r="U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14" t="s">
        <v>3028</v>
      </c>
      <c r="L921" s="17">
        <f>IFERROR(__xludf.DUMMYFUNCTION("SPLIT(K:K, "" "")"),0.0991018967833083)</f>
        <v>0.09910189678</v>
      </c>
      <c r="M921" s="4">
        <f>IFERROR(__xludf.DUMMYFUNCTION("""COMPUTED_VALUE"""),0.510093220220239)</f>
        <v>0.5100932202</v>
      </c>
      <c r="N921" s="15">
        <v>4960.0</v>
      </c>
      <c r="O921" s="4"/>
      <c r="P921" s="14" t="s">
        <v>3029</v>
      </c>
      <c r="Q921" s="17">
        <f>IFERROR(__xludf.DUMMYFUNCTION("SPLIT(P:P, "" "")"),0.0898862979409099)</f>
        <v>0.08988629794</v>
      </c>
      <c r="R921" s="4">
        <f>IFERROR(__xludf.DUMMYFUNCTION("""COMPUTED_VALUE"""),0.373482083182198)</f>
        <v>0.3734820832</v>
      </c>
      <c r="S921" s="15">
        <v>7440.0</v>
      </c>
      <c r="T921" s="4"/>
      <c r="U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14" t="s">
        <v>3030</v>
      </c>
      <c r="L922" s="17">
        <f>IFERROR(__xludf.DUMMYFUNCTION("SPLIT(K:K, "" "")"),0.0999418474645376)</f>
        <v>0.09994184746</v>
      </c>
      <c r="M922" s="4">
        <f>IFERROR(__xludf.DUMMYFUNCTION("""COMPUTED_VALUE"""),0.506340896909574)</f>
        <v>0.5063408969</v>
      </c>
      <c r="N922" s="15">
        <v>4968.0</v>
      </c>
      <c r="O922" s="4"/>
      <c r="P922" s="14" t="s">
        <v>3031</v>
      </c>
      <c r="Q922" s="17">
        <f>IFERROR(__xludf.DUMMYFUNCTION("SPLIT(P:P, "" "")"),0.0883645305751184)</f>
        <v>0.08836453058</v>
      </c>
      <c r="R922" s="4">
        <f>IFERROR(__xludf.DUMMYFUNCTION("""COMPUTED_VALUE"""),0.36753502578643)</f>
        <v>0.3675350258</v>
      </c>
      <c r="S922" s="15">
        <v>7452.0</v>
      </c>
      <c r="T922" s="4"/>
      <c r="U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14" t="s">
        <v>3032</v>
      </c>
      <c r="L923" s="17">
        <f>IFERROR(__xludf.DUMMYFUNCTION("SPLIT(K:K, "" "")"),0.0982003886048461)</f>
        <v>0.0982003886</v>
      </c>
      <c r="M923" s="4">
        <f>IFERROR(__xludf.DUMMYFUNCTION("""COMPUTED_VALUE"""),0.501436080675447)</f>
        <v>0.5014360807</v>
      </c>
      <c r="N923" s="15">
        <v>4976.0</v>
      </c>
      <c r="O923" s="4"/>
      <c r="P923" s="14" t="s">
        <v>3033</v>
      </c>
      <c r="Q923" s="17">
        <f>IFERROR(__xludf.DUMMYFUNCTION("SPLIT(P:P, "" "")"),0.0865099284138772)</f>
        <v>0.08650992841</v>
      </c>
      <c r="R923" s="4">
        <f>IFERROR(__xludf.DUMMYFUNCTION("""COMPUTED_VALUE"""),0.370765487476262)</f>
        <v>0.3707654875</v>
      </c>
      <c r="S923" s="15">
        <v>7464.0</v>
      </c>
      <c r="T923" s="4"/>
      <c r="U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14" t="s">
        <v>3034</v>
      </c>
      <c r="L924" s="17">
        <f>IFERROR(__xludf.DUMMYFUNCTION("SPLIT(K:K, "" "")"),0.100905771832396)</f>
        <v>0.1009057718</v>
      </c>
      <c r="M924" s="4">
        <f>IFERROR(__xludf.DUMMYFUNCTION("""COMPUTED_VALUE"""),0.508784630600852)</f>
        <v>0.5087846306</v>
      </c>
      <c r="N924" s="15">
        <v>4984.0</v>
      </c>
      <c r="O924" s="4"/>
      <c r="P924" s="14" t="s">
        <v>3035</v>
      </c>
      <c r="Q924" s="17">
        <f>IFERROR(__xludf.DUMMYFUNCTION("SPLIT(P:P, "" "")"),0.0894527963064515)</f>
        <v>0.08945279631</v>
      </c>
      <c r="R924" s="4">
        <f>IFERROR(__xludf.DUMMYFUNCTION("""COMPUTED_VALUE"""),0.368352711300863)</f>
        <v>0.3683527113</v>
      </c>
      <c r="S924" s="15">
        <v>7476.0</v>
      </c>
      <c r="T924" s="4"/>
      <c r="U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14" t="s">
        <v>3036</v>
      </c>
      <c r="L925" s="17">
        <f>IFERROR(__xludf.DUMMYFUNCTION("SPLIT(K:K, "" "")"),0.101400173221005)</f>
        <v>0.1014001732</v>
      </c>
      <c r="M925" s="4">
        <f>IFERROR(__xludf.DUMMYFUNCTION("""COMPUTED_VALUE"""),0.502748492188962)</f>
        <v>0.5027484922</v>
      </c>
      <c r="N925" s="15">
        <v>4992.0</v>
      </c>
      <c r="O925" s="4"/>
      <c r="P925" s="14" t="s">
        <v>3037</v>
      </c>
      <c r="Q925" s="17">
        <f>IFERROR(__xludf.DUMMYFUNCTION("SPLIT(P:P, "" "")"),0.0873314798065361)</f>
        <v>0.08733147981</v>
      </c>
      <c r="R925" s="4">
        <f>IFERROR(__xludf.DUMMYFUNCTION("""COMPUTED_VALUE"""),0.363560932021146)</f>
        <v>0.363560932</v>
      </c>
      <c r="S925" s="15">
        <v>7488.0</v>
      </c>
      <c r="T925" s="4"/>
      <c r="U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14" t="s">
        <v>3038</v>
      </c>
      <c r="L926" s="17">
        <f>IFERROR(__xludf.DUMMYFUNCTION("SPLIT(K:K, "" "")"),0.0973957540018096)</f>
        <v>0.097395754</v>
      </c>
      <c r="M926" s="4">
        <f>IFERROR(__xludf.DUMMYFUNCTION("""COMPUTED_VALUE"""),0.500573635085398)</f>
        <v>0.5005736351</v>
      </c>
      <c r="N926" s="15">
        <v>5000.0</v>
      </c>
      <c r="O926" s="4"/>
      <c r="P926" s="14" t="s">
        <v>3039</v>
      </c>
      <c r="Q926" s="17">
        <f>IFERROR(__xludf.DUMMYFUNCTION("SPLIT(P:P, "" "")"),0.0865011503452038)</f>
        <v>0.08650115035</v>
      </c>
      <c r="R926" s="4">
        <f>IFERROR(__xludf.DUMMYFUNCTION("""COMPUTED_VALUE"""),0.363526299540149)</f>
        <v>0.3635262995</v>
      </c>
      <c r="S926" s="15">
        <v>7500.0</v>
      </c>
      <c r="T926" s="4"/>
      <c r="U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14" t="s">
        <v>3040</v>
      </c>
      <c r="L927" s="17">
        <f>IFERROR(__xludf.DUMMYFUNCTION("SPLIT(K:K, "" "")"),0.0986619515383445)</f>
        <v>0.09866195154</v>
      </c>
      <c r="M927" s="4">
        <f>IFERROR(__xludf.DUMMYFUNCTION("""COMPUTED_VALUE"""),0.499728725644496)</f>
        <v>0.4997287256</v>
      </c>
      <c r="N927" s="15">
        <v>5008.0</v>
      </c>
      <c r="O927" s="4"/>
      <c r="P927" s="14" t="s">
        <v>3041</v>
      </c>
      <c r="Q927" s="17">
        <f>IFERROR(__xludf.DUMMYFUNCTION("SPLIT(P:P, "" "")"),0.0886179903188998)</f>
        <v>0.08861799032</v>
      </c>
      <c r="R927" s="4">
        <f>IFERROR(__xludf.DUMMYFUNCTION("""COMPUTED_VALUE"""),0.377491889720402)</f>
        <v>0.3774918897</v>
      </c>
      <c r="S927" s="15">
        <v>7512.0</v>
      </c>
      <c r="T927" s="4"/>
      <c r="U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14" t="s">
        <v>3042</v>
      </c>
      <c r="L928" s="17">
        <f>IFERROR(__xludf.DUMMYFUNCTION("SPLIT(K:K, "" "")"),0.0981075309006189)</f>
        <v>0.0981075309</v>
      </c>
      <c r="M928" s="4">
        <f>IFERROR(__xludf.DUMMYFUNCTION("""COMPUTED_VALUE"""),0.496998881834502)</f>
        <v>0.4969988818</v>
      </c>
      <c r="N928" s="15">
        <v>5016.0</v>
      </c>
      <c r="O928" s="4"/>
      <c r="P928" s="14" t="s">
        <v>3043</v>
      </c>
      <c r="Q928" s="17">
        <f>IFERROR(__xludf.DUMMYFUNCTION("SPLIT(P:P, "" "")"),0.0879783691369386)</f>
        <v>0.08797836914</v>
      </c>
      <c r="R928" s="4">
        <f>IFERROR(__xludf.DUMMYFUNCTION("""COMPUTED_VALUE"""),0.368129886318767)</f>
        <v>0.3681298863</v>
      </c>
      <c r="S928" s="15">
        <v>7524.0</v>
      </c>
      <c r="T928" s="4"/>
      <c r="U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14" t="s">
        <v>3044</v>
      </c>
      <c r="L929" s="17">
        <f>IFERROR(__xludf.DUMMYFUNCTION("SPLIT(K:K, "" "")"),0.0964613281680124)</f>
        <v>0.09646132817</v>
      </c>
      <c r="M929" s="4">
        <f>IFERROR(__xludf.DUMMYFUNCTION("""COMPUTED_VALUE"""),0.495483531995208)</f>
        <v>0.495483532</v>
      </c>
      <c r="N929" s="15">
        <v>5024.0</v>
      </c>
      <c r="O929" s="4"/>
      <c r="P929" s="14" t="s">
        <v>3045</v>
      </c>
      <c r="Q929" s="17">
        <f>IFERROR(__xludf.DUMMYFUNCTION("SPLIT(P:P, "" "")"),0.0901378402506636)</f>
        <v>0.09013784025</v>
      </c>
      <c r="R929" s="4">
        <f>IFERROR(__xludf.DUMMYFUNCTION("""COMPUTED_VALUE"""),0.371374240607447)</f>
        <v>0.3713742406</v>
      </c>
      <c r="S929" s="15">
        <v>7536.0</v>
      </c>
      <c r="T929" s="4"/>
      <c r="U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14" t="s">
        <v>3046</v>
      </c>
      <c r="L930" s="17">
        <f>IFERROR(__xludf.DUMMYFUNCTION("SPLIT(K:K, "" "")"),0.0980076885066586)</f>
        <v>0.09800768851</v>
      </c>
      <c r="M930" s="4">
        <f>IFERROR(__xludf.DUMMYFUNCTION("""COMPUTED_VALUE"""),0.506338527498545)</f>
        <v>0.5063385275</v>
      </c>
      <c r="N930" s="15">
        <v>5032.0</v>
      </c>
      <c r="O930" s="4"/>
      <c r="P930" s="14" t="s">
        <v>3047</v>
      </c>
      <c r="Q930" s="17">
        <f>IFERROR(__xludf.DUMMYFUNCTION("SPLIT(P:P, "" "")"),0.0897137920534497)</f>
        <v>0.08971379205</v>
      </c>
      <c r="R930" s="4">
        <f>IFERROR(__xludf.DUMMYFUNCTION("""COMPUTED_VALUE"""),0.374798776765711)</f>
        <v>0.3747987768</v>
      </c>
      <c r="S930" s="15">
        <v>7548.0</v>
      </c>
      <c r="T930" s="4"/>
      <c r="U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14" t="s">
        <v>3048</v>
      </c>
      <c r="L931" s="17">
        <f>IFERROR(__xludf.DUMMYFUNCTION("SPLIT(K:K, "" "")"),0.098559834611407)</f>
        <v>0.09855983461</v>
      </c>
      <c r="M931" s="4">
        <f>IFERROR(__xludf.DUMMYFUNCTION("""COMPUTED_VALUE"""),0.497846424753814)</f>
        <v>0.4978464248</v>
      </c>
      <c r="N931" s="15">
        <v>5040.0</v>
      </c>
      <c r="O931" s="4"/>
      <c r="P931" s="14" t="s">
        <v>3049</v>
      </c>
      <c r="Q931" s="17">
        <f>IFERROR(__xludf.DUMMYFUNCTION("SPLIT(P:P, "" "")"),0.0874791345696313)</f>
        <v>0.08747913457</v>
      </c>
      <c r="R931" s="4">
        <f>IFERROR(__xludf.DUMMYFUNCTION("""COMPUTED_VALUE"""),0.370475105659407)</f>
        <v>0.3704751057</v>
      </c>
      <c r="S931" s="15">
        <v>7560.0</v>
      </c>
      <c r="T931" s="4"/>
      <c r="U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14" t="s">
        <v>3050</v>
      </c>
      <c r="L932" s="17">
        <f>IFERROR(__xludf.DUMMYFUNCTION("SPLIT(K:K, "" "")"),0.104541888286173)</f>
        <v>0.1045418883</v>
      </c>
      <c r="M932" s="4">
        <f>IFERROR(__xludf.DUMMYFUNCTION("""COMPUTED_VALUE"""),0.511635606604759)</f>
        <v>0.5116356066</v>
      </c>
      <c r="N932" s="15">
        <v>5048.0</v>
      </c>
      <c r="O932" s="4"/>
      <c r="P932" s="14" t="s">
        <v>3051</v>
      </c>
      <c r="Q932" s="17">
        <f>IFERROR(__xludf.DUMMYFUNCTION("SPLIT(P:P, "" "")"),0.088711386121011)</f>
        <v>0.08871138612</v>
      </c>
      <c r="R932" s="4">
        <f>IFERROR(__xludf.DUMMYFUNCTION("""COMPUTED_VALUE"""),0.372138572542981)</f>
        <v>0.3721385725</v>
      </c>
      <c r="S932" s="15">
        <v>7572.0</v>
      </c>
      <c r="T932" s="4"/>
      <c r="U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14" t="s">
        <v>3052</v>
      </c>
      <c r="L933" s="17">
        <f>IFERROR(__xludf.DUMMYFUNCTION("SPLIT(K:K, "" "")"),0.0996311284660306)</f>
        <v>0.09963112847</v>
      </c>
      <c r="M933" s="4">
        <f>IFERROR(__xludf.DUMMYFUNCTION("""COMPUTED_VALUE"""),0.503518152750279)</f>
        <v>0.5035181528</v>
      </c>
      <c r="N933" s="15">
        <v>5056.0</v>
      </c>
      <c r="O933" s="4"/>
      <c r="P933" s="14" t="s">
        <v>3053</v>
      </c>
      <c r="Q933" s="17">
        <f>IFERROR(__xludf.DUMMYFUNCTION("SPLIT(P:P, "" "")"),0.0863189777999321)</f>
        <v>0.0863189778</v>
      </c>
      <c r="R933" s="4">
        <f>IFERROR(__xludf.DUMMYFUNCTION("""COMPUTED_VALUE"""),0.361931089877188)</f>
        <v>0.3619310899</v>
      </c>
      <c r="S933" s="15">
        <v>7584.0</v>
      </c>
      <c r="T933" s="4"/>
      <c r="U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14" t="s">
        <v>3054</v>
      </c>
      <c r="L934" s="17">
        <f>IFERROR(__xludf.DUMMYFUNCTION("SPLIT(K:K, "" "")"),0.0991741787045436)</f>
        <v>0.0991741787</v>
      </c>
      <c r="M934" s="4">
        <f>IFERROR(__xludf.DUMMYFUNCTION("""COMPUTED_VALUE"""),0.501463310106513)</f>
        <v>0.5014633101</v>
      </c>
      <c r="N934" s="15">
        <v>5064.0</v>
      </c>
      <c r="O934" s="4"/>
      <c r="P934" s="14" t="s">
        <v>3055</v>
      </c>
      <c r="Q934" s="17">
        <f>IFERROR(__xludf.DUMMYFUNCTION("SPLIT(P:P, "" "")"),0.0867582836279617)</f>
        <v>0.08675828363</v>
      </c>
      <c r="R934" s="4">
        <f>IFERROR(__xludf.DUMMYFUNCTION("""COMPUTED_VALUE"""),0.368336872260205)</f>
        <v>0.3683368723</v>
      </c>
      <c r="S934" s="15">
        <v>7596.0</v>
      </c>
      <c r="T934" s="4"/>
      <c r="U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14" t="s">
        <v>3056</v>
      </c>
      <c r="L935" s="17">
        <f>IFERROR(__xludf.DUMMYFUNCTION("SPLIT(K:K, "" "")"),0.0967275482136976)</f>
        <v>0.09672754821</v>
      </c>
      <c r="M935" s="4">
        <f>IFERROR(__xludf.DUMMYFUNCTION("""COMPUTED_VALUE"""),0.494213086849836)</f>
        <v>0.4942130868</v>
      </c>
      <c r="N935" s="15">
        <v>5072.0</v>
      </c>
      <c r="O935" s="4"/>
      <c r="P935" s="14" t="s">
        <v>3057</v>
      </c>
      <c r="Q935" s="17">
        <f>IFERROR(__xludf.DUMMYFUNCTION("SPLIT(P:P, "" "")"),0.0889544332685103)</f>
        <v>0.08895443327</v>
      </c>
      <c r="R935" s="4">
        <f>IFERROR(__xludf.DUMMYFUNCTION("""COMPUTED_VALUE"""),0.371993542916805)</f>
        <v>0.3719935429</v>
      </c>
      <c r="S935" s="15">
        <v>7608.0</v>
      </c>
      <c r="T935" s="4"/>
      <c r="U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14" t="s">
        <v>3058</v>
      </c>
      <c r="L936" s="17">
        <f>IFERROR(__xludf.DUMMYFUNCTION("SPLIT(K:K, "" "")"),0.0965868383617592)</f>
        <v>0.09658683836</v>
      </c>
      <c r="M936" s="4">
        <f>IFERROR(__xludf.DUMMYFUNCTION("""COMPUTED_VALUE"""),0.490670439605463)</f>
        <v>0.4906704396</v>
      </c>
      <c r="N936" s="15">
        <v>5080.0</v>
      </c>
      <c r="O936" s="4"/>
      <c r="P936" s="14" t="s">
        <v>3059</v>
      </c>
      <c r="Q936" s="17">
        <f>IFERROR(__xludf.DUMMYFUNCTION("SPLIT(P:P, "" "")"),0.0886469145263221)</f>
        <v>0.08864691453</v>
      </c>
      <c r="R936" s="4">
        <f>IFERROR(__xludf.DUMMYFUNCTION("""COMPUTED_VALUE"""),0.370291477516685)</f>
        <v>0.3702914775</v>
      </c>
      <c r="S936" s="15">
        <v>7620.0</v>
      </c>
      <c r="T936" s="4"/>
      <c r="U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14" t="s">
        <v>3060</v>
      </c>
      <c r="L937" s="17">
        <f>IFERROR(__xludf.DUMMYFUNCTION("SPLIT(K:K, "" "")"),0.104075368903512)</f>
        <v>0.1040753689</v>
      </c>
      <c r="M937" s="4">
        <f>IFERROR(__xludf.DUMMYFUNCTION("""COMPUTED_VALUE"""),0.510526750616578)</f>
        <v>0.5105267506</v>
      </c>
      <c r="N937" s="15">
        <v>5088.0</v>
      </c>
      <c r="O937" s="4"/>
      <c r="P937" s="14" t="s">
        <v>3061</v>
      </c>
      <c r="Q937" s="17">
        <f>IFERROR(__xludf.DUMMYFUNCTION("SPLIT(P:P, "" "")"),0.0864599628016758)</f>
        <v>0.0864599628</v>
      </c>
      <c r="R937" s="4">
        <f>IFERROR(__xludf.DUMMYFUNCTION("""COMPUTED_VALUE"""),0.367956982800692)</f>
        <v>0.3679569828</v>
      </c>
      <c r="S937" s="15">
        <v>7632.0</v>
      </c>
      <c r="T937" s="4"/>
      <c r="U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14" t="s">
        <v>3062</v>
      </c>
      <c r="L938" s="17">
        <f>IFERROR(__xludf.DUMMYFUNCTION("SPLIT(K:K, "" "")"),0.0961820273101096)</f>
        <v>0.09618202731</v>
      </c>
      <c r="M938" s="4">
        <f>IFERROR(__xludf.DUMMYFUNCTION("""COMPUTED_VALUE"""),0.49533388718347)</f>
        <v>0.4953338872</v>
      </c>
      <c r="N938" s="15">
        <v>5096.0</v>
      </c>
      <c r="O938" s="4"/>
      <c r="P938" s="14" t="s">
        <v>3063</v>
      </c>
      <c r="Q938" s="17">
        <f>IFERROR(__xludf.DUMMYFUNCTION("SPLIT(P:P, "" "")"),0.0870135518500483)</f>
        <v>0.08701355185</v>
      </c>
      <c r="R938" s="4">
        <f>IFERROR(__xludf.DUMMYFUNCTION("""COMPUTED_VALUE"""),0.362583704411054)</f>
        <v>0.3625837044</v>
      </c>
      <c r="S938" s="15">
        <v>7644.0</v>
      </c>
      <c r="T938" s="4"/>
      <c r="U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14" t="s">
        <v>3064</v>
      </c>
      <c r="L939" s="17">
        <f>IFERROR(__xludf.DUMMYFUNCTION("SPLIT(K:K, "" "")"),0.0957571307314761)</f>
        <v>0.09575713073</v>
      </c>
      <c r="M939" s="4">
        <f>IFERROR(__xludf.DUMMYFUNCTION("""COMPUTED_VALUE"""),0.503301903790792)</f>
        <v>0.5033019038</v>
      </c>
      <c r="N939" s="15">
        <v>5104.0</v>
      </c>
      <c r="O939" s="4"/>
      <c r="P939" s="14" t="s">
        <v>3065</v>
      </c>
      <c r="Q939" s="17">
        <f>IFERROR(__xludf.DUMMYFUNCTION("SPLIT(P:P, "" "")"),0.0980239941264062)</f>
        <v>0.09802399413</v>
      </c>
      <c r="R939" s="4">
        <f>IFERROR(__xludf.DUMMYFUNCTION("""COMPUTED_VALUE"""),0.377941148048884)</f>
        <v>0.377941148</v>
      </c>
      <c r="S939" s="15">
        <v>7656.0</v>
      </c>
      <c r="T939" s="4"/>
      <c r="U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14" t="s">
        <v>3066</v>
      </c>
      <c r="L940" s="17">
        <f>IFERROR(__xludf.DUMMYFUNCTION("SPLIT(K:K, "" "")"),0.0960323870996718)</f>
        <v>0.0960323871</v>
      </c>
      <c r="M940" s="4">
        <f>IFERROR(__xludf.DUMMYFUNCTION("""COMPUTED_VALUE"""),0.50114504178703)</f>
        <v>0.5011450418</v>
      </c>
      <c r="N940" s="15">
        <v>5112.0</v>
      </c>
      <c r="O940" s="4"/>
      <c r="P940" s="14" t="s">
        <v>3067</v>
      </c>
      <c r="Q940" s="17">
        <f>IFERROR(__xludf.DUMMYFUNCTION("SPLIT(P:P, "" "")"),0.0888205978545987)</f>
        <v>0.08882059785</v>
      </c>
      <c r="R940" s="4">
        <f>IFERROR(__xludf.DUMMYFUNCTION("""COMPUTED_VALUE"""),0.360064410986995)</f>
        <v>0.360064411</v>
      </c>
      <c r="S940" s="15">
        <v>7668.0</v>
      </c>
      <c r="T940" s="4"/>
      <c r="U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14" t="s">
        <v>3068</v>
      </c>
      <c r="L941" s="17">
        <f>IFERROR(__xludf.DUMMYFUNCTION("SPLIT(K:K, "" "")"),0.097446790144329)</f>
        <v>0.09744679014</v>
      </c>
      <c r="M941" s="4">
        <f>IFERROR(__xludf.DUMMYFUNCTION("""COMPUTED_VALUE"""),0.500169697513575)</f>
        <v>0.5001696975</v>
      </c>
      <c r="N941" s="15">
        <v>5120.0</v>
      </c>
      <c r="O941" s="4"/>
      <c r="P941" s="14" t="s">
        <v>3069</v>
      </c>
      <c r="Q941" s="17">
        <f>IFERROR(__xludf.DUMMYFUNCTION("SPLIT(P:P, "" "")"),0.0882095601343359)</f>
        <v>0.08820956013</v>
      </c>
      <c r="R941" s="4">
        <f>IFERROR(__xludf.DUMMYFUNCTION("""COMPUTED_VALUE"""),0.367535508601536)</f>
        <v>0.3675355086</v>
      </c>
      <c r="S941" s="15">
        <v>7680.0</v>
      </c>
      <c r="T941" s="4"/>
      <c r="U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14" t="s">
        <v>3070</v>
      </c>
      <c r="L942" s="17">
        <f>IFERROR(__xludf.DUMMYFUNCTION("SPLIT(K:K, "" "")"),0.0986086909070077)</f>
        <v>0.09860869091</v>
      </c>
      <c r="M942" s="4">
        <f>IFERROR(__xludf.DUMMYFUNCTION("""COMPUTED_VALUE"""),0.500353673519682)</f>
        <v>0.5003536735</v>
      </c>
      <c r="N942" s="15">
        <v>5128.0</v>
      </c>
      <c r="O942" s="4"/>
      <c r="P942" s="14" t="s">
        <v>3071</v>
      </c>
      <c r="Q942" s="17">
        <f>IFERROR(__xludf.DUMMYFUNCTION("SPLIT(P:P, "" "")"),0.0880607434302879)</f>
        <v>0.08806074343</v>
      </c>
      <c r="R942" s="4">
        <f>IFERROR(__xludf.DUMMYFUNCTION("""COMPUTED_VALUE"""),0.369358994721031)</f>
        <v>0.3693589947</v>
      </c>
      <c r="S942" s="15">
        <v>7692.0</v>
      </c>
      <c r="T942" s="4"/>
      <c r="U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14" t="s">
        <v>3072</v>
      </c>
      <c r="L943" s="17">
        <f>IFERROR(__xludf.DUMMYFUNCTION("SPLIT(K:K, "" "")"),0.0966928887373082)</f>
        <v>0.09669288874</v>
      </c>
      <c r="M943" s="4">
        <f>IFERROR(__xludf.DUMMYFUNCTION("""COMPUTED_VALUE"""),0.496407893728032)</f>
        <v>0.4964078937</v>
      </c>
      <c r="N943" s="15">
        <v>5136.0</v>
      </c>
      <c r="O943" s="4"/>
      <c r="P943" s="14" t="s">
        <v>3073</v>
      </c>
      <c r="Q943" s="17">
        <f>IFERROR(__xludf.DUMMYFUNCTION("SPLIT(P:P, "" "")"),0.0857506175151223)</f>
        <v>0.08575061752</v>
      </c>
      <c r="R943" s="4">
        <f>IFERROR(__xludf.DUMMYFUNCTION("""COMPUTED_VALUE"""),0.368215660678048)</f>
        <v>0.3682156607</v>
      </c>
      <c r="S943" s="15">
        <v>7704.0</v>
      </c>
      <c r="T943" s="4"/>
      <c r="U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14" t="s">
        <v>3074</v>
      </c>
      <c r="L944" s="17">
        <f>IFERROR(__xludf.DUMMYFUNCTION("SPLIT(K:K, "" "")"),0.0967556953209702)</f>
        <v>0.09675569532</v>
      </c>
      <c r="M944" s="4">
        <f>IFERROR(__xludf.DUMMYFUNCTION("""COMPUTED_VALUE"""),0.506654227060612)</f>
        <v>0.5066542271</v>
      </c>
      <c r="N944" s="15">
        <v>5144.0</v>
      </c>
      <c r="O944" s="4"/>
      <c r="P944" s="14" t="s">
        <v>3075</v>
      </c>
      <c r="Q944" s="17">
        <f>IFERROR(__xludf.DUMMYFUNCTION("SPLIT(P:P, "" "")"),0.0859719762013742)</f>
        <v>0.0859719762</v>
      </c>
      <c r="R944" s="4">
        <f>IFERROR(__xludf.DUMMYFUNCTION("""COMPUTED_VALUE"""),0.367462080013543)</f>
        <v>0.36746208</v>
      </c>
      <c r="S944" s="15">
        <v>7716.0</v>
      </c>
      <c r="T944" s="4"/>
      <c r="U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14" t="s">
        <v>3076</v>
      </c>
      <c r="L945" s="17">
        <f>IFERROR(__xludf.DUMMYFUNCTION("SPLIT(K:K, "" "")"),0.0980792581536021)</f>
        <v>0.09807925815</v>
      </c>
      <c r="M945" s="4">
        <f>IFERROR(__xludf.DUMMYFUNCTION("""COMPUTED_VALUE"""),0.511027817044117)</f>
        <v>0.511027817</v>
      </c>
      <c r="N945" s="15">
        <v>5152.0</v>
      </c>
      <c r="O945" s="4"/>
      <c r="P945" s="14" t="s">
        <v>3077</v>
      </c>
      <c r="Q945" s="17">
        <f>IFERROR(__xludf.DUMMYFUNCTION("SPLIT(P:P, "" "")"),0.0861017810350222)</f>
        <v>0.08610178104</v>
      </c>
      <c r="R945" s="4">
        <f>IFERROR(__xludf.DUMMYFUNCTION("""COMPUTED_VALUE"""),0.368198524457066)</f>
        <v>0.3681985245</v>
      </c>
      <c r="S945" s="15">
        <v>7728.0</v>
      </c>
      <c r="T945" s="4"/>
      <c r="U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14" t="s">
        <v>3078</v>
      </c>
      <c r="L946" s="17">
        <f>IFERROR(__xludf.DUMMYFUNCTION("SPLIT(K:K, "" "")"),0.0957401386834774)</f>
        <v>0.09574013868</v>
      </c>
      <c r="M946" s="4">
        <f>IFERROR(__xludf.DUMMYFUNCTION("""COMPUTED_VALUE"""),0.506980014659022)</f>
        <v>0.5069800147</v>
      </c>
      <c r="N946" s="15">
        <v>5160.0</v>
      </c>
      <c r="O946" s="4"/>
      <c r="P946" s="14" t="s">
        <v>3079</v>
      </c>
      <c r="Q946" s="17">
        <f>IFERROR(__xludf.DUMMYFUNCTION("SPLIT(P:P, "" "")"),0.0868549836619834)</f>
        <v>0.08685498366</v>
      </c>
      <c r="R946" s="4">
        <f>IFERROR(__xludf.DUMMYFUNCTION("""COMPUTED_VALUE"""),0.367778644132029)</f>
        <v>0.3677786441</v>
      </c>
      <c r="S946" s="15">
        <v>7740.0</v>
      </c>
      <c r="T946" s="4"/>
      <c r="U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14" t="s">
        <v>3080</v>
      </c>
      <c r="L947" s="17">
        <f>IFERROR(__xludf.DUMMYFUNCTION("SPLIT(K:K, "" "")"),0.0979444281534748)</f>
        <v>0.09794442815</v>
      </c>
      <c r="M947" s="4">
        <f>IFERROR(__xludf.DUMMYFUNCTION("""COMPUTED_VALUE"""),0.504307879232179)</f>
        <v>0.5043078792</v>
      </c>
      <c r="N947" s="15">
        <v>5168.0</v>
      </c>
      <c r="O947" s="4"/>
      <c r="P947" s="14" t="s">
        <v>3081</v>
      </c>
      <c r="Q947" s="17">
        <f>IFERROR(__xludf.DUMMYFUNCTION("SPLIT(P:P, "" "")"),0.0863068047583474)</f>
        <v>0.08630680476</v>
      </c>
      <c r="R947" s="4">
        <f>IFERROR(__xludf.DUMMYFUNCTION("""COMPUTED_VALUE"""),0.368318394969863)</f>
        <v>0.368318395</v>
      </c>
      <c r="S947" s="15">
        <v>7752.0</v>
      </c>
      <c r="T947" s="4"/>
      <c r="U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14" t="s">
        <v>3082</v>
      </c>
      <c r="L948" s="17">
        <f>IFERROR(__xludf.DUMMYFUNCTION("SPLIT(K:K, "" "")"),0.0975644059729587)</f>
        <v>0.09756440597</v>
      </c>
      <c r="M948" s="4">
        <f>IFERROR(__xludf.DUMMYFUNCTION("""COMPUTED_VALUE"""),0.503153840919951)</f>
        <v>0.5031538409</v>
      </c>
      <c r="N948" s="15">
        <v>5176.0</v>
      </c>
      <c r="O948" s="4"/>
      <c r="P948" s="14" t="s">
        <v>3083</v>
      </c>
      <c r="Q948" s="17">
        <f>IFERROR(__xludf.DUMMYFUNCTION("SPLIT(P:P, "" "")"),0.0894665753332338)</f>
        <v>0.08946657533</v>
      </c>
      <c r="R948" s="4">
        <f>IFERROR(__xludf.DUMMYFUNCTION("""COMPUTED_VALUE"""),0.376667405099354)</f>
        <v>0.3766674051</v>
      </c>
      <c r="S948" s="15">
        <v>7764.0</v>
      </c>
      <c r="T948" s="4"/>
      <c r="U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14" t="s">
        <v>3084</v>
      </c>
      <c r="L949" s="17">
        <f>IFERROR(__xludf.DUMMYFUNCTION("SPLIT(K:K, "" "")"),0.0938015523013518)</f>
        <v>0.0938015523</v>
      </c>
      <c r="M949" s="4">
        <f>IFERROR(__xludf.DUMMYFUNCTION("""COMPUTED_VALUE"""),0.498636964428956)</f>
        <v>0.4986369644</v>
      </c>
      <c r="N949" s="15">
        <v>5184.0</v>
      </c>
      <c r="O949" s="4"/>
      <c r="P949" s="14" t="s">
        <v>3085</v>
      </c>
      <c r="Q949" s="17">
        <f>IFERROR(__xludf.DUMMYFUNCTION("SPLIT(P:P, "" "")"),0.0854480276026318)</f>
        <v>0.0854480276</v>
      </c>
      <c r="R949" s="4">
        <f>IFERROR(__xludf.DUMMYFUNCTION("""COMPUTED_VALUE"""),0.367738442846212)</f>
        <v>0.3677384428</v>
      </c>
      <c r="S949" s="15">
        <v>7776.0</v>
      </c>
      <c r="T949" s="4"/>
      <c r="U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14" t="s">
        <v>3086</v>
      </c>
      <c r="L950" s="17">
        <f>IFERROR(__xludf.DUMMYFUNCTION("SPLIT(K:K, "" "")"),0.0969611442567466)</f>
        <v>0.09696114426</v>
      </c>
      <c r="M950" s="4">
        <f>IFERROR(__xludf.DUMMYFUNCTION("""COMPUTED_VALUE"""),0.49750310626682)</f>
        <v>0.4975031063</v>
      </c>
      <c r="N950" s="15">
        <v>5192.0</v>
      </c>
      <c r="O950" s="4"/>
      <c r="P950" s="14" t="s">
        <v>3087</v>
      </c>
      <c r="Q950" s="17">
        <f>IFERROR(__xludf.DUMMYFUNCTION("SPLIT(P:P, "" "")"),0.0858312725483627)</f>
        <v>0.08583127255</v>
      </c>
      <c r="R950" s="4">
        <f>IFERROR(__xludf.DUMMYFUNCTION("""COMPUTED_VALUE"""),0.365572122469251)</f>
        <v>0.3655721225</v>
      </c>
      <c r="S950" s="15">
        <v>7788.0</v>
      </c>
      <c r="T950" s="4"/>
      <c r="U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14" t="s">
        <v>3088</v>
      </c>
      <c r="L951" s="17">
        <f>IFERROR(__xludf.DUMMYFUNCTION("SPLIT(K:K, "" "")"),0.0958742591684363)</f>
        <v>0.09587425917</v>
      </c>
      <c r="M951" s="4">
        <f>IFERROR(__xludf.DUMMYFUNCTION("""COMPUTED_VALUE"""),0.503655067092916)</f>
        <v>0.5036550671</v>
      </c>
      <c r="N951" s="15">
        <v>5200.0</v>
      </c>
      <c r="O951" s="4"/>
      <c r="P951" s="14" t="s">
        <v>3089</v>
      </c>
      <c r="Q951" s="17">
        <f>IFERROR(__xludf.DUMMYFUNCTION("SPLIT(P:P, "" "")"),0.0867485641530632)</f>
        <v>0.08674856415</v>
      </c>
      <c r="R951" s="4">
        <f>IFERROR(__xludf.DUMMYFUNCTION("""COMPUTED_VALUE"""),0.371511691932426)</f>
        <v>0.3715116919</v>
      </c>
      <c r="S951" s="15">
        <v>7800.0</v>
      </c>
      <c r="T951" s="4"/>
      <c r="U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14" t="s">
        <v>3090</v>
      </c>
      <c r="L952" s="17">
        <f>IFERROR(__xludf.DUMMYFUNCTION("SPLIT(K:K, "" "")"),0.0986493973678585)</f>
        <v>0.09864939737</v>
      </c>
      <c r="M952" s="4">
        <f>IFERROR(__xludf.DUMMYFUNCTION("""COMPUTED_VALUE"""),0.511258700606975)</f>
        <v>0.5112587006</v>
      </c>
      <c r="N952" s="15">
        <v>5208.0</v>
      </c>
      <c r="O952" s="4"/>
      <c r="P952" s="14" t="s">
        <v>3091</v>
      </c>
      <c r="Q952" s="17">
        <f>IFERROR(__xludf.DUMMYFUNCTION("SPLIT(P:P, "" "")"),0.0858866501341242)</f>
        <v>0.08588665013</v>
      </c>
      <c r="R952" s="4">
        <f>IFERROR(__xludf.DUMMYFUNCTION("""COMPUTED_VALUE"""),0.370379241982338)</f>
        <v>0.370379242</v>
      </c>
      <c r="S952" s="15">
        <v>7812.0</v>
      </c>
      <c r="T952" s="4"/>
      <c r="U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14" t="s">
        <v>3092</v>
      </c>
      <c r="L953" s="17">
        <f>IFERROR(__xludf.DUMMYFUNCTION("SPLIT(K:K, "" "")"),0.0956333165951008)</f>
        <v>0.0956333166</v>
      </c>
      <c r="M953" s="4">
        <f>IFERROR(__xludf.DUMMYFUNCTION("""COMPUTED_VALUE"""),0.504492594088324)</f>
        <v>0.5044925941</v>
      </c>
      <c r="N953" s="15">
        <v>5216.0</v>
      </c>
      <c r="O953" s="4"/>
      <c r="P953" s="14" t="s">
        <v>3093</v>
      </c>
      <c r="Q953" s="17">
        <f>IFERROR(__xludf.DUMMYFUNCTION("SPLIT(P:P, "" "")"),0.0868467794013048)</f>
        <v>0.0868467794</v>
      </c>
      <c r="R953" s="4">
        <f>IFERROR(__xludf.DUMMYFUNCTION("""COMPUTED_VALUE"""),0.370808582917352)</f>
        <v>0.3708085829</v>
      </c>
      <c r="S953" s="15">
        <v>7824.0</v>
      </c>
      <c r="T953" s="4"/>
      <c r="U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14" t="s">
        <v>3094</v>
      </c>
      <c r="L954" s="17">
        <f>IFERROR(__xludf.DUMMYFUNCTION("SPLIT(K:K, "" "")"),0.0987110379478193)</f>
        <v>0.09871103795</v>
      </c>
      <c r="M954" s="4">
        <f>IFERROR(__xludf.DUMMYFUNCTION("""COMPUTED_VALUE"""),0.505446953412226)</f>
        <v>0.5054469534</v>
      </c>
      <c r="N954" s="15">
        <v>5224.0</v>
      </c>
      <c r="O954" s="4"/>
      <c r="P954" s="14" t="s">
        <v>3095</v>
      </c>
      <c r="Q954" s="17">
        <f>IFERROR(__xludf.DUMMYFUNCTION("SPLIT(P:P, "" "")"),0.091004349106433)</f>
        <v>0.09100434911</v>
      </c>
      <c r="R954" s="4">
        <f>IFERROR(__xludf.DUMMYFUNCTION("""COMPUTED_VALUE"""),0.366015076922874)</f>
        <v>0.3660150769</v>
      </c>
      <c r="S954" s="15">
        <v>7836.0</v>
      </c>
      <c r="T954" s="4"/>
      <c r="U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14" t="s">
        <v>3096</v>
      </c>
      <c r="L955" s="17">
        <f>IFERROR(__xludf.DUMMYFUNCTION("SPLIT(K:K, "" "")"),0.095067166862126)</f>
        <v>0.09506716686</v>
      </c>
      <c r="M955" s="4">
        <f>IFERROR(__xludf.DUMMYFUNCTION("""COMPUTED_VALUE"""),0.501280517682564)</f>
        <v>0.5012805177</v>
      </c>
      <c r="N955" s="15">
        <v>5232.0</v>
      </c>
      <c r="O955" s="4"/>
      <c r="P955" s="14" t="s">
        <v>3097</v>
      </c>
      <c r="Q955" s="17">
        <f>IFERROR(__xludf.DUMMYFUNCTION("SPLIT(P:P, "" "")"),0.0867843648914371)</f>
        <v>0.08678436489</v>
      </c>
      <c r="R955" s="4">
        <f>IFERROR(__xludf.DUMMYFUNCTION("""COMPUTED_VALUE"""),0.368863110415962)</f>
        <v>0.3688631104</v>
      </c>
      <c r="S955" s="15">
        <v>7848.0</v>
      </c>
      <c r="T955" s="4"/>
      <c r="U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14" t="s">
        <v>3098</v>
      </c>
      <c r="L956" s="17">
        <f>IFERROR(__xludf.DUMMYFUNCTION("SPLIT(K:K, "" "")"),0.103080067816474)</f>
        <v>0.1030800678</v>
      </c>
      <c r="M956" s="4">
        <f>IFERROR(__xludf.DUMMYFUNCTION("""COMPUTED_VALUE"""),0.526399444418119)</f>
        <v>0.5263994444</v>
      </c>
      <c r="N956" s="15">
        <v>5240.0</v>
      </c>
      <c r="O956" s="4"/>
      <c r="P956" s="14" t="s">
        <v>3099</v>
      </c>
      <c r="Q956" s="17">
        <f>IFERROR(__xludf.DUMMYFUNCTION("SPLIT(P:P, "" "")"),0.0859900946349912)</f>
        <v>0.08599009463</v>
      </c>
      <c r="R956" s="4">
        <f>IFERROR(__xludf.DUMMYFUNCTION("""COMPUTED_VALUE"""),0.364596074517943)</f>
        <v>0.3645960745</v>
      </c>
      <c r="S956" s="15">
        <v>7860.0</v>
      </c>
      <c r="T956" s="4"/>
      <c r="U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14" t="s">
        <v>3100</v>
      </c>
      <c r="L957" s="17">
        <f>IFERROR(__xludf.DUMMYFUNCTION("SPLIT(K:K, "" "")"),0.0995705478049762)</f>
        <v>0.0995705478</v>
      </c>
      <c r="M957" s="4">
        <f>IFERROR(__xludf.DUMMYFUNCTION("""COMPUTED_VALUE"""),0.508088359851931)</f>
        <v>0.5080883599</v>
      </c>
      <c r="N957" s="15">
        <v>5248.0</v>
      </c>
      <c r="O957" s="4"/>
      <c r="P957" s="14" t="s">
        <v>3101</v>
      </c>
      <c r="Q957" s="17">
        <f>IFERROR(__xludf.DUMMYFUNCTION("SPLIT(P:P, "" "")"),0.0850963445326159)</f>
        <v>0.08509634453</v>
      </c>
      <c r="R957" s="4">
        <f>IFERROR(__xludf.DUMMYFUNCTION("""COMPUTED_VALUE"""),0.366434107211118)</f>
        <v>0.3664341072</v>
      </c>
      <c r="S957" s="15">
        <v>7872.0</v>
      </c>
      <c r="T957" s="4"/>
      <c r="U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14" t="s">
        <v>3102</v>
      </c>
      <c r="L958" s="17">
        <f>IFERROR(__xludf.DUMMYFUNCTION("SPLIT(K:K, "" "")"),0.0965610828590084)</f>
        <v>0.09656108286</v>
      </c>
      <c r="M958" s="4">
        <f>IFERROR(__xludf.DUMMYFUNCTION("""COMPUTED_VALUE"""),0.502413693543951)</f>
        <v>0.5024136935</v>
      </c>
      <c r="N958" s="15">
        <v>5256.0</v>
      </c>
      <c r="O958" s="4"/>
      <c r="P958" s="14" t="s">
        <v>3103</v>
      </c>
      <c r="Q958" s="17">
        <f>IFERROR(__xludf.DUMMYFUNCTION("SPLIT(P:P, "" "")"),0.0863272869747268)</f>
        <v>0.08632728697</v>
      </c>
      <c r="R958" s="4">
        <f>IFERROR(__xludf.DUMMYFUNCTION("""COMPUTED_VALUE"""),0.367279933601547)</f>
        <v>0.3672799336</v>
      </c>
      <c r="S958" s="15">
        <v>7884.0</v>
      </c>
      <c r="T958" s="4"/>
      <c r="U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14" t="s">
        <v>3104</v>
      </c>
      <c r="L959" s="17">
        <f>IFERROR(__xludf.DUMMYFUNCTION("SPLIT(K:K, "" "")"),0.0956804445454098)</f>
        <v>0.09568044455</v>
      </c>
      <c r="M959" s="4">
        <f>IFERROR(__xludf.DUMMYFUNCTION("""COMPUTED_VALUE"""),0.505043545421217)</f>
        <v>0.5050435454</v>
      </c>
      <c r="N959" s="15">
        <v>5264.0</v>
      </c>
      <c r="O959" s="4"/>
      <c r="P959" s="14" t="s">
        <v>3105</v>
      </c>
      <c r="Q959" s="17">
        <f>IFERROR(__xludf.DUMMYFUNCTION("SPLIT(P:P, "" "")"),0.0845588853985381)</f>
        <v>0.0845588854</v>
      </c>
      <c r="R959" s="4">
        <f>IFERROR(__xludf.DUMMYFUNCTION("""COMPUTED_VALUE"""),0.361953836806465)</f>
        <v>0.3619538368</v>
      </c>
      <c r="S959" s="15">
        <v>7896.0</v>
      </c>
      <c r="T959" s="4"/>
      <c r="U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14" t="s">
        <v>3106</v>
      </c>
      <c r="L960" s="17">
        <f>IFERROR(__xludf.DUMMYFUNCTION("SPLIT(K:K, "" "")"),0.0982390662334297)</f>
        <v>0.09823906623</v>
      </c>
      <c r="M960" s="4">
        <f>IFERROR(__xludf.DUMMYFUNCTION("""COMPUTED_VALUE"""),0.505144734450155)</f>
        <v>0.5051447345</v>
      </c>
      <c r="N960" s="15">
        <v>5272.0</v>
      </c>
      <c r="O960" s="4"/>
      <c r="P960" s="14" t="s">
        <v>3107</v>
      </c>
      <c r="Q960" s="17">
        <f>IFERROR(__xludf.DUMMYFUNCTION("SPLIT(P:P, "" "")"),0.0859806286083467)</f>
        <v>0.08598062861</v>
      </c>
      <c r="R960" s="4">
        <f>IFERROR(__xludf.DUMMYFUNCTION("""COMPUTED_VALUE"""),0.365081661431872)</f>
        <v>0.3650816614</v>
      </c>
      <c r="S960" s="15">
        <v>7908.0</v>
      </c>
      <c r="T960" s="4"/>
      <c r="U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14" t="s">
        <v>3108</v>
      </c>
      <c r="L961" s="17">
        <f>IFERROR(__xludf.DUMMYFUNCTION("SPLIT(K:K, "" "")"),0.0959039796248712)</f>
        <v>0.09590397962</v>
      </c>
      <c r="M961" s="4">
        <f>IFERROR(__xludf.DUMMYFUNCTION("""COMPUTED_VALUE"""),0.50408199295206)</f>
        <v>0.504081993</v>
      </c>
      <c r="N961" s="15">
        <v>5280.0</v>
      </c>
      <c r="O961" s="4"/>
      <c r="P961" s="14" t="s">
        <v>3109</v>
      </c>
      <c r="Q961" s="17">
        <f>IFERROR(__xludf.DUMMYFUNCTION("SPLIT(P:P, "" "")"),0.0874151870985349)</f>
        <v>0.0874151871</v>
      </c>
      <c r="R961" s="4">
        <f>IFERROR(__xludf.DUMMYFUNCTION("""COMPUTED_VALUE"""),0.364262765621116)</f>
        <v>0.3642627656</v>
      </c>
      <c r="S961" s="15">
        <v>7920.0</v>
      </c>
      <c r="T961" s="4"/>
      <c r="U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14" t="s">
        <v>3110</v>
      </c>
      <c r="L962" s="17">
        <f>IFERROR(__xludf.DUMMYFUNCTION("SPLIT(K:K, "" "")"),0.0935230243017633)</f>
        <v>0.0935230243</v>
      </c>
      <c r="M962" s="4">
        <f>IFERROR(__xludf.DUMMYFUNCTION("""COMPUTED_VALUE"""),0.502500719596525)</f>
        <v>0.5025007196</v>
      </c>
      <c r="N962" s="15">
        <v>5288.0</v>
      </c>
      <c r="O962" s="4"/>
      <c r="P962" s="14" t="s">
        <v>3111</v>
      </c>
      <c r="Q962" s="17">
        <f>IFERROR(__xludf.DUMMYFUNCTION("SPLIT(P:P, "" "")"),0.0850587377473115)</f>
        <v>0.08505873775</v>
      </c>
      <c r="R962" s="4">
        <f>IFERROR(__xludf.DUMMYFUNCTION("""COMPUTED_VALUE"""),0.368104088973428)</f>
        <v>0.368104089</v>
      </c>
      <c r="S962" s="15">
        <v>7932.0</v>
      </c>
      <c r="T962" s="4"/>
      <c r="U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14" t="s">
        <v>3112</v>
      </c>
      <c r="L963" s="17">
        <f>IFERROR(__xludf.DUMMYFUNCTION("SPLIT(K:K, "" "")"),0.0940210882497266)</f>
        <v>0.09402108825</v>
      </c>
      <c r="M963" s="4">
        <f>IFERROR(__xludf.DUMMYFUNCTION("""COMPUTED_VALUE"""),0.49871342740601)</f>
        <v>0.4987134274</v>
      </c>
      <c r="N963" s="15">
        <v>5296.0</v>
      </c>
      <c r="O963" s="4"/>
      <c r="P963" s="14" t="s">
        <v>3113</v>
      </c>
      <c r="Q963" s="17">
        <f>IFERROR(__xludf.DUMMYFUNCTION("SPLIT(P:P, "" "")"),0.0858951851181791)</f>
        <v>0.08589518512</v>
      </c>
      <c r="R963" s="4">
        <f>IFERROR(__xludf.DUMMYFUNCTION("""COMPUTED_VALUE"""),0.370926020025756)</f>
        <v>0.37092602</v>
      </c>
      <c r="S963" s="15">
        <v>7944.0</v>
      </c>
      <c r="T963" s="4"/>
      <c r="U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14" t="s">
        <v>3114</v>
      </c>
      <c r="L964" s="17">
        <f>IFERROR(__xludf.DUMMYFUNCTION("SPLIT(K:K, "" "")"),0.0949510152672322)</f>
        <v>0.09495101527</v>
      </c>
      <c r="M964" s="4">
        <f>IFERROR(__xludf.DUMMYFUNCTION("""COMPUTED_VALUE"""),0.498485526517074)</f>
        <v>0.4984855265</v>
      </c>
      <c r="N964" s="15">
        <v>5304.0</v>
      </c>
      <c r="O964" s="4"/>
      <c r="P964" s="14" t="s">
        <v>3115</v>
      </c>
      <c r="Q964" s="17">
        <f>IFERROR(__xludf.DUMMYFUNCTION("SPLIT(P:P, "" "")"),0.0844308250536801)</f>
        <v>0.08443082505</v>
      </c>
      <c r="R964" s="4">
        <f>IFERROR(__xludf.DUMMYFUNCTION("""COMPUTED_VALUE"""),0.363651715337122)</f>
        <v>0.3636517153</v>
      </c>
      <c r="S964" s="15">
        <v>7956.0</v>
      </c>
      <c r="T964" s="4"/>
      <c r="U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14" t="s">
        <v>3116</v>
      </c>
      <c r="L965" s="17">
        <f>IFERROR(__xludf.DUMMYFUNCTION("SPLIT(K:K, "" "")"),0.0937823952093689)</f>
        <v>0.09378239521</v>
      </c>
      <c r="M965" s="4">
        <f>IFERROR(__xludf.DUMMYFUNCTION("""COMPUTED_VALUE"""),0.501832712180013)</f>
        <v>0.5018327122</v>
      </c>
      <c r="N965" s="15">
        <v>5312.0</v>
      </c>
      <c r="O965" s="4"/>
      <c r="P965" s="14" t="s">
        <v>3117</v>
      </c>
      <c r="Q965" s="17">
        <f>IFERROR(__xludf.DUMMYFUNCTION("SPLIT(P:P, "" "")"),0.0835353891628088)</f>
        <v>0.08353538916</v>
      </c>
      <c r="R965" s="4">
        <f>IFERROR(__xludf.DUMMYFUNCTION("""COMPUTED_VALUE"""),0.362630795069765)</f>
        <v>0.3626307951</v>
      </c>
      <c r="S965" s="15">
        <v>7968.0</v>
      </c>
      <c r="T965" s="4"/>
      <c r="U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14" t="s">
        <v>3118</v>
      </c>
      <c r="L966" s="17">
        <f>IFERROR(__xludf.DUMMYFUNCTION("SPLIT(K:K, "" "")"),0.0945429398571339)</f>
        <v>0.09454293986</v>
      </c>
      <c r="M966" s="4">
        <f>IFERROR(__xludf.DUMMYFUNCTION("""COMPUTED_VALUE"""),0.502735810710348)</f>
        <v>0.5027358107</v>
      </c>
      <c r="N966" s="15">
        <v>5320.0</v>
      </c>
      <c r="O966" s="4"/>
      <c r="P966" s="14" t="s">
        <v>3119</v>
      </c>
      <c r="Q966" s="17">
        <f>IFERROR(__xludf.DUMMYFUNCTION("SPLIT(P:P, "" "")"),0.0847312740107057)</f>
        <v>0.08473127401</v>
      </c>
      <c r="R966" s="4">
        <f>IFERROR(__xludf.DUMMYFUNCTION("""COMPUTED_VALUE"""),0.36729092401527)</f>
        <v>0.367290924</v>
      </c>
      <c r="S966" s="15">
        <v>7980.0</v>
      </c>
      <c r="T966" s="4"/>
      <c r="U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14" t="s">
        <v>3120</v>
      </c>
      <c r="L967" s="17">
        <f>IFERROR(__xludf.DUMMYFUNCTION("SPLIT(K:K, "" "")"),0.0945492884873702)</f>
        <v>0.09454928849</v>
      </c>
      <c r="M967" s="4">
        <f>IFERROR(__xludf.DUMMYFUNCTION("""COMPUTED_VALUE"""),0.509814721356995)</f>
        <v>0.5098147214</v>
      </c>
      <c r="N967" s="15">
        <v>5328.0</v>
      </c>
      <c r="O967" s="4"/>
      <c r="P967" s="14" t="s">
        <v>3121</v>
      </c>
      <c r="Q967" s="17">
        <f>IFERROR(__xludf.DUMMYFUNCTION("SPLIT(P:P, "" "")"),0.084897941052882)</f>
        <v>0.08489794105</v>
      </c>
      <c r="R967" s="4">
        <f>IFERROR(__xludf.DUMMYFUNCTION("""COMPUTED_VALUE"""),0.366242207518781)</f>
        <v>0.3662422075</v>
      </c>
      <c r="S967" s="15">
        <v>7992.0</v>
      </c>
      <c r="T967" s="4"/>
      <c r="U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14" t="s">
        <v>3122</v>
      </c>
      <c r="L968" s="17">
        <f>IFERROR(__xludf.DUMMYFUNCTION("SPLIT(K:K, "" "")"),0.0945625253141619)</f>
        <v>0.09456252531</v>
      </c>
      <c r="M968" s="4">
        <f>IFERROR(__xludf.DUMMYFUNCTION("""COMPUTED_VALUE"""),0.504474244749713)</f>
        <v>0.5044742447</v>
      </c>
      <c r="N968" s="15">
        <v>5336.0</v>
      </c>
      <c r="O968" s="4"/>
      <c r="P968" s="14" t="s">
        <v>3123</v>
      </c>
      <c r="Q968" s="17">
        <f>IFERROR(__xludf.DUMMYFUNCTION("SPLIT(P:P, "" "")"),0.0833696211294139)</f>
        <v>0.08336962113</v>
      </c>
      <c r="R968" s="4">
        <f>IFERROR(__xludf.DUMMYFUNCTION("""COMPUTED_VALUE"""),0.364239168043844)</f>
        <v>0.364239168</v>
      </c>
      <c r="S968" s="15">
        <v>8004.0</v>
      </c>
      <c r="T968" s="4"/>
      <c r="U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14" t="s">
        <v>3124</v>
      </c>
      <c r="L969" s="17">
        <f>IFERROR(__xludf.DUMMYFUNCTION("SPLIT(K:K, "" "")"),0.0943574369012982)</f>
        <v>0.0943574369</v>
      </c>
      <c r="M969" s="4">
        <f>IFERROR(__xludf.DUMMYFUNCTION("""COMPUTED_VALUE"""),0.503881281293687)</f>
        <v>0.5038812813</v>
      </c>
      <c r="N969" s="15">
        <v>5344.0</v>
      </c>
      <c r="O969" s="4"/>
      <c r="P969" s="14" t="s">
        <v>3125</v>
      </c>
      <c r="Q969" s="17">
        <f>IFERROR(__xludf.DUMMYFUNCTION("SPLIT(P:P, "" "")"),0.0840715218496507)</f>
        <v>0.08407152185</v>
      </c>
      <c r="R969" s="4">
        <f>IFERROR(__xludf.DUMMYFUNCTION("""COMPUTED_VALUE"""),0.36739540739275)</f>
        <v>0.3673954074</v>
      </c>
      <c r="S969" s="15">
        <v>8016.0</v>
      </c>
      <c r="T969" s="4"/>
      <c r="U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14" t="s">
        <v>3126</v>
      </c>
      <c r="L970" s="17">
        <f>IFERROR(__xludf.DUMMYFUNCTION("SPLIT(K:K, "" "")"),0.0936578114221149)</f>
        <v>0.09365781142</v>
      </c>
      <c r="M970" s="4">
        <f>IFERROR(__xludf.DUMMYFUNCTION("""COMPUTED_VALUE"""),0.500674338747991)</f>
        <v>0.5006743387</v>
      </c>
      <c r="N970" s="15">
        <v>5352.0</v>
      </c>
      <c r="O970" s="4"/>
      <c r="P970" s="14" t="s">
        <v>3127</v>
      </c>
      <c r="Q970" s="17">
        <f>IFERROR(__xludf.DUMMYFUNCTION("SPLIT(P:P, "" "")"),0.0847666061050272)</f>
        <v>0.08476660611</v>
      </c>
      <c r="R970" s="4">
        <f>IFERROR(__xludf.DUMMYFUNCTION("""COMPUTED_VALUE"""),0.365486668915456)</f>
        <v>0.3654866689</v>
      </c>
      <c r="S970" s="15">
        <v>8028.0</v>
      </c>
      <c r="T970" s="4"/>
      <c r="U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14" t="s">
        <v>3128</v>
      </c>
      <c r="L971" s="17">
        <f>IFERROR(__xludf.DUMMYFUNCTION("SPLIT(K:K, "" "")"),0.0948678718421917)</f>
        <v>0.09486787184</v>
      </c>
      <c r="M971" s="4">
        <f>IFERROR(__xludf.DUMMYFUNCTION("""COMPUTED_VALUE"""),0.503324760332179)</f>
        <v>0.5033247603</v>
      </c>
      <c r="N971" s="15">
        <v>5360.0</v>
      </c>
      <c r="O971" s="4"/>
      <c r="P971" s="14" t="s">
        <v>3129</v>
      </c>
      <c r="Q971" s="17">
        <f>IFERROR(__xludf.DUMMYFUNCTION("SPLIT(P:P, "" "")"),0.0879011448763977)</f>
        <v>0.08790114488</v>
      </c>
      <c r="R971" s="4">
        <f>IFERROR(__xludf.DUMMYFUNCTION("""COMPUTED_VALUE"""),0.374876934033756)</f>
        <v>0.374876934</v>
      </c>
      <c r="S971" s="15">
        <v>8040.0</v>
      </c>
      <c r="T971" s="4"/>
      <c r="U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14" t="s">
        <v>3130</v>
      </c>
      <c r="L972" s="17">
        <f>IFERROR(__xludf.DUMMYFUNCTION("SPLIT(K:K, "" "")"),0.0959949364575466)</f>
        <v>0.09599493646</v>
      </c>
      <c r="M972" s="4">
        <f>IFERROR(__xludf.DUMMYFUNCTION("""COMPUTED_VALUE"""),0.50482758260675)</f>
        <v>0.5048275826</v>
      </c>
      <c r="N972" s="15">
        <v>5368.0</v>
      </c>
      <c r="O972" s="4"/>
      <c r="P972" s="14" t="s">
        <v>3131</v>
      </c>
      <c r="Q972" s="17">
        <f>IFERROR(__xludf.DUMMYFUNCTION("SPLIT(P:P, "" "")"),0.0844142842528801)</f>
        <v>0.08441428425</v>
      </c>
      <c r="R972" s="4">
        <f>IFERROR(__xludf.DUMMYFUNCTION("""COMPUTED_VALUE"""),0.36620881970029)</f>
        <v>0.3662088197</v>
      </c>
      <c r="S972" s="15">
        <v>8052.0</v>
      </c>
      <c r="T972" s="4"/>
      <c r="U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14" t="s">
        <v>3132</v>
      </c>
      <c r="L973" s="17">
        <f>IFERROR(__xludf.DUMMYFUNCTION("SPLIT(K:K, "" "")"),0.0935592650853533)</f>
        <v>0.09355926509</v>
      </c>
      <c r="M973" s="4">
        <f>IFERROR(__xludf.DUMMYFUNCTION("""COMPUTED_VALUE"""),0.496833892281337)</f>
        <v>0.4968338923</v>
      </c>
      <c r="N973" s="15">
        <v>5376.0</v>
      </c>
      <c r="O973" s="4"/>
      <c r="P973" s="14" t="s">
        <v>3133</v>
      </c>
      <c r="Q973" s="17">
        <f>IFERROR(__xludf.DUMMYFUNCTION("SPLIT(P:P, "" "")"),0.0849848139657795)</f>
        <v>0.08498481397</v>
      </c>
      <c r="R973" s="4">
        <f>IFERROR(__xludf.DUMMYFUNCTION("""COMPUTED_VALUE"""),0.367907227254274)</f>
        <v>0.3679072273</v>
      </c>
      <c r="S973" s="15">
        <v>8064.0</v>
      </c>
      <c r="T973" s="4"/>
      <c r="U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14" t="s">
        <v>3134</v>
      </c>
      <c r="L974" s="17">
        <f>IFERROR(__xludf.DUMMYFUNCTION("SPLIT(K:K, "" "")"),0.0963456872542424)</f>
        <v>0.09634568725</v>
      </c>
      <c r="M974" s="4">
        <f>IFERROR(__xludf.DUMMYFUNCTION("""COMPUTED_VALUE"""),0.502647442069044)</f>
        <v>0.5026474421</v>
      </c>
      <c r="N974" s="15">
        <v>5384.0</v>
      </c>
      <c r="O974" s="4"/>
      <c r="P974" s="14" t="s">
        <v>3135</v>
      </c>
      <c r="Q974" s="17">
        <f>IFERROR(__xludf.DUMMYFUNCTION("SPLIT(P:P, "" "")"),0.0827501006446976)</f>
        <v>0.08275010064</v>
      </c>
      <c r="R974" s="4">
        <f>IFERROR(__xludf.DUMMYFUNCTION("""COMPUTED_VALUE"""),0.356896369260946)</f>
        <v>0.3568963693</v>
      </c>
      <c r="S974" s="15">
        <v>8076.0</v>
      </c>
      <c r="T974" s="4"/>
      <c r="U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14" t="s">
        <v>3136</v>
      </c>
      <c r="L975" s="17">
        <f>IFERROR(__xludf.DUMMYFUNCTION("SPLIT(K:K, "" "")"),0.0941897645015039)</f>
        <v>0.0941897645</v>
      </c>
      <c r="M975" s="4">
        <f>IFERROR(__xludf.DUMMYFUNCTION("""COMPUTED_VALUE"""),0.504370984193978)</f>
        <v>0.5043709842</v>
      </c>
      <c r="N975" s="15">
        <v>5392.0</v>
      </c>
      <c r="O975" s="4"/>
      <c r="P975" s="14" t="s">
        <v>3137</v>
      </c>
      <c r="Q975" s="17">
        <f>IFERROR(__xludf.DUMMYFUNCTION("SPLIT(P:P, "" "")"),0.0840362261074459)</f>
        <v>0.08403622611</v>
      </c>
      <c r="R975" s="4">
        <f>IFERROR(__xludf.DUMMYFUNCTION("""COMPUTED_VALUE"""),0.364255968231782)</f>
        <v>0.3642559682</v>
      </c>
      <c r="S975" s="15">
        <v>8088.0</v>
      </c>
      <c r="T975" s="4"/>
      <c r="U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14" t="s">
        <v>3138</v>
      </c>
      <c r="L976" s="17">
        <f>IFERROR(__xludf.DUMMYFUNCTION("SPLIT(K:K, "" "")"),0.0940054502255235)</f>
        <v>0.09400545023</v>
      </c>
      <c r="M976" s="4">
        <f>IFERROR(__xludf.DUMMYFUNCTION("""COMPUTED_VALUE"""),0.50488171726494)</f>
        <v>0.5048817173</v>
      </c>
      <c r="N976" s="15">
        <v>5400.0</v>
      </c>
      <c r="O976" s="4"/>
      <c r="P976" s="14" t="s">
        <v>3139</v>
      </c>
      <c r="Q976" s="17">
        <f>IFERROR(__xludf.DUMMYFUNCTION("SPLIT(P:P, "" "")"),0.0836896124266696)</f>
        <v>0.08368961243</v>
      </c>
      <c r="R976" s="4">
        <f>IFERROR(__xludf.DUMMYFUNCTION("""COMPUTED_VALUE"""),0.369151922022913)</f>
        <v>0.369151922</v>
      </c>
      <c r="S976" s="15">
        <v>8100.0</v>
      </c>
      <c r="T976" s="4"/>
      <c r="U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14" t="s">
        <v>3140</v>
      </c>
      <c r="L977" s="17">
        <f>IFERROR(__xludf.DUMMYFUNCTION("SPLIT(K:K, "" "")"),0.0930535328624463)</f>
        <v>0.09305353286</v>
      </c>
      <c r="M977" s="4">
        <f>IFERROR(__xludf.DUMMYFUNCTION("""COMPUTED_VALUE"""),0.503325061829837)</f>
        <v>0.5033250618</v>
      </c>
      <c r="N977" s="15">
        <v>5408.0</v>
      </c>
      <c r="O977" s="4"/>
      <c r="P977" s="14" t="s">
        <v>3141</v>
      </c>
      <c r="Q977" s="17">
        <f>IFERROR(__xludf.DUMMYFUNCTION("SPLIT(P:P, "" "")"),0.084486171729103)</f>
        <v>0.08448617173</v>
      </c>
      <c r="R977" s="4">
        <f>IFERROR(__xludf.DUMMYFUNCTION("""COMPUTED_VALUE"""),0.36204220319395)</f>
        <v>0.3620422032</v>
      </c>
      <c r="S977" s="15">
        <v>8112.0</v>
      </c>
      <c r="T977" s="4"/>
      <c r="U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14" t="s">
        <v>3142</v>
      </c>
      <c r="L978" s="17">
        <f>IFERROR(__xludf.DUMMYFUNCTION("SPLIT(K:K, "" "")"),0.0948610986757458)</f>
        <v>0.09486109868</v>
      </c>
      <c r="M978" s="4">
        <f>IFERROR(__xludf.DUMMYFUNCTION("""COMPUTED_VALUE"""),0.510870203493678)</f>
        <v>0.5108702035</v>
      </c>
      <c r="N978" s="15">
        <v>5416.0</v>
      </c>
      <c r="O978" s="4"/>
      <c r="P978" s="14" t="s">
        <v>3143</v>
      </c>
      <c r="Q978" s="17">
        <f>IFERROR(__xludf.DUMMYFUNCTION("SPLIT(P:P, "" "")"),0.0836806601258517)</f>
        <v>0.08368066013</v>
      </c>
      <c r="R978" s="4">
        <f>IFERROR(__xludf.DUMMYFUNCTION("""COMPUTED_VALUE"""),0.36360646201898)</f>
        <v>0.363606462</v>
      </c>
      <c r="S978" s="15">
        <v>8124.0</v>
      </c>
      <c r="T978" s="4"/>
      <c r="U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14" t="s">
        <v>3144</v>
      </c>
      <c r="L979" s="17">
        <f>IFERROR(__xludf.DUMMYFUNCTION("SPLIT(K:K, "" "")"),0.0964478898851027)</f>
        <v>0.09644788989</v>
      </c>
      <c r="M979" s="4">
        <f>IFERROR(__xludf.DUMMYFUNCTION("""COMPUTED_VALUE"""),0.5002333321852)</f>
        <v>0.5002333322</v>
      </c>
      <c r="N979" s="15">
        <v>5424.0</v>
      </c>
      <c r="O979" s="4"/>
      <c r="P979" s="14" t="s">
        <v>3145</v>
      </c>
      <c r="Q979" s="17">
        <f>IFERROR(__xludf.DUMMYFUNCTION("SPLIT(P:P, "" "")"),0.0825092478519899)</f>
        <v>0.08250924785</v>
      </c>
      <c r="R979" s="4">
        <f>IFERROR(__xludf.DUMMYFUNCTION("""COMPUTED_VALUE"""),0.359337116608847)</f>
        <v>0.3593371166</v>
      </c>
      <c r="S979" s="15">
        <v>8136.0</v>
      </c>
      <c r="T979" s="4"/>
      <c r="U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14" t="s">
        <v>3146</v>
      </c>
      <c r="L980" s="17">
        <f>IFERROR(__xludf.DUMMYFUNCTION("SPLIT(K:K, "" "")"),0.0948153999834133)</f>
        <v>0.09481539998</v>
      </c>
      <c r="M980" s="4">
        <f>IFERROR(__xludf.DUMMYFUNCTION("""COMPUTED_VALUE"""),0.500934742747469)</f>
        <v>0.5009347427</v>
      </c>
      <c r="N980" s="15">
        <v>5432.0</v>
      </c>
      <c r="O980" s="4"/>
      <c r="P980" s="14" t="s">
        <v>3147</v>
      </c>
      <c r="Q980" s="17">
        <f>IFERROR(__xludf.DUMMYFUNCTION("SPLIT(P:P, "" "")"),0.0823761612034492)</f>
        <v>0.0823761612</v>
      </c>
      <c r="R980" s="4">
        <f>IFERROR(__xludf.DUMMYFUNCTION("""COMPUTED_VALUE"""),0.363319489181939)</f>
        <v>0.3633194892</v>
      </c>
      <c r="S980" s="15">
        <v>8148.0</v>
      </c>
      <c r="T980" s="4"/>
      <c r="U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14" t="s">
        <v>3148</v>
      </c>
      <c r="L981" s="17">
        <f>IFERROR(__xludf.DUMMYFUNCTION("SPLIT(K:K, "" "")"),0.0927113477572195)</f>
        <v>0.09271134776</v>
      </c>
      <c r="M981" s="4">
        <f>IFERROR(__xludf.DUMMYFUNCTION("""COMPUTED_VALUE"""),0.50262211082247)</f>
        <v>0.5026221108</v>
      </c>
      <c r="N981" s="15">
        <v>5440.0</v>
      </c>
      <c r="O981" s="4"/>
      <c r="P981" s="14" t="s">
        <v>3149</v>
      </c>
      <c r="Q981" s="17">
        <f>IFERROR(__xludf.DUMMYFUNCTION("SPLIT(P:P, "" "")"),0.0862755620082688)</f>
        <v>0.08627556201</v>
      </c>
      <c r="R981" s="4">
        <f>IFERROR(__xludf.DUMMYFUNCTION("""COMPUTED_VALUE"""),0.370156940357587)</f>
        <v>0.3701569404</v>
      </c>
      <c r="S981" s="15">
        <v>8160.0</v>
      </c>
      <c r="T981" s="4"/>
      <c r="U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14" t="s">
        <v>3150</v>
      </c>
      <c r="L982" s="17">
        <f>IFERROR(__xludf.DUMMYFUNCTION("SPLIT(K:K, "" "")"),0.0991556781258849)</f>
        <v>0.09915567813</v>
      </c>
      <c r="M982" s="4">
        <f>IFERROR(__xludf.DUMMYFUNCTION("""COMPUTED_VALUE"""),0.50889819009878)</f>
        <v>0.5088981901</v>
      </c>
      <c r="N982" s="15">
        <v>5448.0</v>
      </c>
      <c r="O982" s="4"/>
      <c r="P982" s="14" t="s">
        <v>3151</v>
      </c>
      <c r="Q982" s="17">
        <f>IFERROR(__xludf.DUMMYFUNCTION("SPLIT(P:P, "" "")"),0.0828787982282314)</f>
        <v>0.08287879823</v>
      </c>
      <c r="R982" s="4">
        <f>IFERROR(__xludf.DUMMYFUNCTION("""COMPUTED_VALUE"""),0.359517591483813)</f>
        <v>0.3595175915</v>
      </c>
      <c r="S982" s="15">
        <v>8172.0</v>
      </c>
      <c r="T982" s="4"/>
      <c r="U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14" t="s">
        <v>3152</v>
      </c>
      <c r="L983" s="17">
        <f>IFERROR(__xludf.DUMMYFUNCTION("SPLIT(K:K, "" "")"),0.0949093578644192)</f>
        <v>0.09490935786</v>
      </c>
      <c r="M983" s="4">
        <f>IFERROR(__xludf.DUMMYFUNCTION("""COMPUTED_VALUE"""),0.503117077087639)</f>
        <v>0.5031170771</v>
      </c>
      <c r="N983" s="15">
        <v>5456.0</v>
      </c>
      <c r="O983" s="4"/>
      <c r="P983" s="14" t="s">
        <v>3153</v>
      </c>
      <c r="Q983" s="17">
        <f>IFERROR(__xludf.DUMMYFUNCTION("SPLIT(P:P, "" "")"),0.0894920229330429)</f>
        <v>0.08949202293</v>
      </c>
      <c r="R983" s="4">
        <f>IFERROR(__xludf.DUMMYFUNCTION("""COMPUTED_VALUE"""),0.363783428635497)</f>
        <v>0.3637834286</v>
      </c>
      <c r="S983" s="15">
        <v>8184.0</v>
      </c>
      <c r="T983" s="4"/>
      <c r="U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14" t="s">
        <v>3154</v>
      </c>
      <c r="L984" s="17">
        <f>IFERROR(__xludf.DUMMYFUNCTION("SPLIT(K:K, "" "")"),0.0934939505716897)</f>
        <v>0.09349395057</v>
      </c>
      <c r="M984" s="4">
        <f>IFERROR(__xludf.DUMMYFUNCTION("""COMPUTED_VALUE"""),0.499363003870801)</f>
        <v>0.4993630039</v>
      </c>
      <c r="N984" s="15">
        <v>5464.0</v>
      </c>
      <c r="O984" s="4"/>
      <c r="P984" s="14" t="s">
        <v>3155</v>
      </c>
      <c r="Q984" s="17">
        <f>IFERROR(__xludf.DUMMYFUNCTION("SPLIT(P:P, "" "")"),0.0855951022470148)</f>
        <v>0.08559510225</v>
      </c>
      <c r="R984" s="4">
        <f>IFERROR(__xludf.DUMMYFUNCTION("""COMPUTED_VALUE"""),0.368312228816597)</f>
        <v>0.3683122288</v>
      </c>
      <c r="S984" s="15">
        <v>8196.0</v>
      </c>
      <c r="T984" s="4"/>
      <c r="U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14" t="s">
        <v>3156</v>
      </c>
      <c r="L985" s="17">
        <f>IFERROR(__xludf.DUMMYFUNCTION("SPLIT(K:K, "" "")"),0.0948396887711461)</f>
        <v>0.09483968877</v>
      </c>
      <c r="M985" s="4">
        <f>IFERROR(__xludf.DUMMYFUNCTION("""COMPUTED_VALUE"""),0.503377801426478)</f>
        <v>0.5033778014</v>
      </c>
      <c r="N985" s="15">
        <v>5472.0</v>
      </c>
      <c r="O985" s="4"/>
      <c r="P985" s="14" t="s">
        <v>3157</v>
      </c>
      <c r="Q985" s="17">
        <f>IFERROR(__xludf.DUMMYFUNCTION("SPLIT(P:P, "" "")"),0.0838362629486239)</f>
        <v>0.08383626295</v>
      </c>
      <c r="R985" s="4">
        <f>IFERROR(__xludf.DUMMYFUNCTION("""COMPUTED_VALUE"""),0.362426463911537)</f>
        <v>0.3624264639</v>
      </c>
      <c r="S985" s="15">
        <v>8208.0</v>
      </c>
      <c r="T985" s="4"/>
      <c r="U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14" t="s">
        <v>3158</v>
      </c>
      <c r="L986" s="17">
        <f>IFERROR(__xludf.DUMMYFUNCTION("SPLIT(K:K, "" "")"),0.0952847770274801)</f>
        <v>0.09528477703</v>
      </c>
      <c r="M986" s="4">
        <f>IFERROR(__xludf.DUMMYFUNCTION("""COMPUTED_VALUE"""),0.509181611921034)</f>
        <v>0.5091816119</v>
      </c>
      <c r="N986" s="15">
        <v>5480.0</v>
      </c>
      <c r="O986" s="4"/>
      <c r="P986" s="14" t="s">
        <v>3159</v>
      </c>
      <c r="Q986" s="17">
        <f>IFERROR(__xludf.DUMMYFUNCTION("SPLIT(P:P, "" "")"),0.0830188880226033)</f>
        <v>0.08301888802</v>
      </c>
      <c r="R986" s="4">
        <f>IFERROR(__xludf.DUMMYFUNCTION("""COMPUTED_VALUE"""),0.360890700269878)</f>
        <v>0.3608907003</v>
      </c>
      <c r="S986" s="15">
        <v>8220.0</v>
      </c>
      <c r="T986" s="4"/>
      <c r="U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14" t="s">
        <v>3160</v>
      </c>
      <c r="L987" s="17">
        <f>IFERROR(__xludf.DUMMYFUNCTION("SPLIT(K:K, "" "")"),0.0932412975189946)</f>
        <v>0.09324129752</v>
      </c>
      <c r="M987" s="4">
        <f>IFERROR(__xludf.DUMMYFUNCTION("""COMPUTED_VALUE"""),0.50825030949141)</f>
        <v>0.5082503095</v>
      </c>
      <c r="N987" s="15">
        <v>5488.0</v>
      </c>
      <c r="O987" s="4"/>
      <c r="P987" s="14" t="s">
        <v>3161</v>
      </c>
      <c r="Q987" s="17">
        <f>IFERROR(__xludf.DUMMYFUNCTION("SPLIT(P:P, "" "")"),0.0834519487732226)</f>
        <v>0.08345194877</v>
      </c>
      <c r="R987" s="4">
        <f>IFERROR(__xludf.DUMMYFUNCTION("""COMPUTED_VALUE"""),0.360606707697376)</f>
        <v>0.3606067077</v>
      </c>
      <c r="S987" s="15">
        <v>8232.0</v>
      </c>
      <c r="T987" s="4"/>
      <c r="U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14" t="s">
        <v>3162</v>
      </c>
      <c r="L988" s="17">
        <f>IFERROR(__xludf.DUMMYFUNCTION("SPLIT(K:K, "" "")"),0.0930114528082111)</f>
        <v>0.09301145281</v>
      </c>
      <c r="M988" s="4">
        <f>IFERROR(__xludf.DUMMYFUNCTION("""COMPUTED_VALUE"""),0.513521548226257)</f>
        <v>0.5135215482</v>
      </c>
      <c r="N988" s="15">
        <v>5496.0</v>
      </c>
      <c r="O988" s="4"/>
      <c r="P988" s="14" t="s">
        <v>3163</v>
      </c>
      <c r="Q988" s="17">
        <f>IFERROR(__xludf.DUMMYFUNCTION("SPLIT(P:P, "" "")"),0.0835099802705277)</f>
        <v>0.08350998027</v>
      </c>
      <c r="R988" s="4">
        <f>IFERROR(__xludf.DUMMYFUNCTION("""COMPUTED_VALUE"""),0.360979319595122)</f>
        <v>0.3609793196</v>
      </c>
      <c r="S988" s="15">
        <v>8244.0</v>
      </c>
      <c r="T988" s="4"/>
      <c r="U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14" t="s">
        <v>3164</v>
      </c>
      <c r="L989" s="17">
        <f>IFERROR(__xludf.DUMMYFUNCTION("SPLIT(K:K, "" "")"),0.0921565148202024)</f>
        <v>0.09215651482</v>
      </c>
      <c r="M989" s="4">
        <f>IFERROR(__xludf.DUMMYFUNCTION("""COMPUTED_VALUE"""),0.497616689989445)</f>
        <v>0.49761669</v>
      </c>
      <c r="N989" s="15">
        <v>5504.0</v>
      </c>
      <c r="O989" s="4"/>
      <c r="P989" s="14" t="s">
        <v>3165</v>
      </c>
      <c r="Q989" s="17">
        <f>IFERROR(__xludf.DUMMYFUNCTION("SPLIT(P:P, "" "")"),0.0823856566694137)</f>
        <v>0.08238565667</v>
      </c>
      <c r="R989" s="4">
        <f>IFERROR(__xludf.DUMMYFUNCTION("""COMPUTED_VALUE"""),0.363229165395585)</f>
        <v>0.3632291654</v>
      </c>
      <c r="S989" s="15">
        <v>8256.0</v>
      </c>
      <c r="T989" s="4"/>
      <c r="U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14" t="s">
        <v>3166</v>
      </c>
      <c r="L990" s="17">
        <f>IFERROR(__xludf.DUMMYFUNCTION("SPLIT(K:K, "" "")"),0.091499338109529)</f>
        <v>0.09149933811</v>
      </c>
      <c r="M990" s="4">
        <f>IFERROR(__xludf.DUMMYFUNCTION("""COMPUTED_VALUE"""),0.505572146989526)</f>
        <v>0.505572147</v>
      </c>
      <c r="N990" s="15">
        <v>5512.0</v>
      </c>
      <c r="O990" s="4"/>
      <c r="P990" s="14" t="s">
        <v>3167</v>
      </c>
      <c r="Q990" s="17">
        <f>IFERROR(__xludf.DUMMYFUNCTION("SPLIT(P:P, "" "")"),0.0830983434940425)</f>
        <v>0.08309834349</v>
      </c>
      <c r="R990" s="4">
        <f>IFERROR(__xludf.DUMMYFUNCTION("""COMPUTED_VALUE"""),0.366059389786571)</f>
        <v>0.3660593898</v>
      </c>
      <c r="S990" s="15">
        <v>8268.0</v>
      </c>
      <c r="T990" s="4"/>
      <c r="U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14" t="s">
        <v>3168</v>
      </c>
      <c r="L991" s="17">
        <f>IFERROR(__xludf.DUMMYFUNCTION("SPLIT(K:K, "" "")"),0.092061531931278)</f>
        <v>0.09206153193</v>
      </c>
      <c r="M991" s="4">
        <f>IFERROR(__xludf.DUMMYFUNCTION("""COMPUTED_VALUE"""),0.497299291010355)</f>
        <v>0.497299291</v>
      </c>
      <c r="N991" s="15">
        <v>5520.0</v>
      </c>
      <c r="O991" s="4"/>
      <c r="P991" s="14" t="s">
        <v>3169</v>
      </c>
      <c r="Q991" s="17">
        <f>IFERROR(__xludf.DUMMYFUNCTION("SPLIT(P:P, "" "")"),0.0829247820897657)</f>
        <v>0.08292478209</v>
      </c>
      <c r="R991" s="4">
        <f>IFERROR(__xludf.DUMMYFUNCTION("""COMPUTED_VALUE"""),0.360372255825846)</f>
        <v>0.3603722558</v>
      </c>
      <c r="S991" s="15">
        <v>8280.0</v>
      </c>
      <c r="T991" s="4"/>
      <c r="U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14" t="s">
        <v>3170</v>
      </c>
      <c r="L992" s="17">
        <f>IFERROR(__xludf.DUMMYFUNCTION("SPLIT(K:K, "" "")"),0.0934397704032192)</f>
        <v>0.0934397704</v>
      </c>
      <c r="M992" s="4">
        <f>IFERROR(__xludf.DUMMYFUNCTION("""COMPUTED_VALUE"""),0.508366400266006)</f>
        <v>0.5083664003</v>
      </c>
      <c r="N992" s="15">
        <v>5528.0</v>
      </c>
      <c r="O992" s="4"/>
      <c r="P992" s="14" t="s">
        <v>3171</v>
      </c>
      <c r="Q992" s="17">
        <f>IFERROR(__xludf.DUMMYFUNCTION("SPLIT(P:P, "" "")"),0.0825234144604441)</f>
        <v>0.08252341446</v>
      </c>
      <c r="R992" s="4">
        <f>IFERROR(__xludf.DUMMYFUNCTION("""COMPUTED_VALUE"""),0.361065505065242)</f>
        <v>0.3610655051</v>
      </c>
      <c r="S992" s="15">
        <v>8292.0</v>
      </c>
      <c r="T992" s="4"/>
      <c r="U992" s="4"/>
    </row>
    <row r="993">
      <c r="A993" s="4"/>
      <c r="B993" s="17"/>
      <c r="C993" s="4"/>
      <c r="D993" s="4"/>
      <c r="E993" s="4"/>
      <c r="F993" s="4"/>
      <c r="G993" s="17"/>
      <c r="H993" s="4"/>
      <c r="I993" s="4"/>
      <c r="J993" s="4"/>
      <c r="K993" s="14" t="s">
        <v>3172</v>
      </c>
      <c r="L993" s="17">
        <f>IFERROR(__xludf.DUMMYFUNCTION("SPLIT(K:K, "" "")"),0.0907249317768636)</f>
        <v>0.09072493178</v>
      </c>
      <c r="M993" s="4">
        <f>IFERROR(__xludf.DUMMYFUNCTION("""COMPUTED_VALUE"""),0.503375527359944)</f>
        <v>0.5033755274</v>
      </c>
      <c r="N993" s="15">
        <v>5536.0</v>
      </c>
      <c r="O993" s="4"/>
      <c r="P993" s="14" t="s">
        <v>3173</v>
      </c>
      <c r="Q993" s="17">
        <f>IFERROR(__xludf.DUMMYFUNCTION("SPLIT(P:P, "" "")"),0.0816419802041659)</f>
        <v>0.0816419802</v>
      </c>
      <c r="R993" s="4">
        <f>IFERROR(__xludf.DUMMYFUNCTION("""COMPUTED_VALUE"""),0.360197969567798)</f>
        <v>0.3601979696</v>
      </c>
      <c r="S993" s="15">
        <v>8304.0</v>
      </c>
      <c r="T993" s="4"/>
      <c r="U993" s="4"/>
    </row>
    <row r="994">
      <c r="A994" s="4"/>
      <c r="B994" s="17"/>
      <c r="C994" s="4"/>
      <c r="D994" s="4"/>
      <c r="E994" s="4"/>
      <c r="F994" s="4"/>
      <c r="G994" s="17"/>
      <c r="H994" s="4"/>
      <c r="I994" s="4"/>
      <c r="J994" s="4"/>
      <c r="K994" s="14" t="s">
        <v>3174</v>
      </c>
      <c r="L994" s="17">
        <f>IFERROR(__xludf.DUMMYFUNCTION("SPLIT(K:K, "" "")"),0.0913021642524401)</f>
        <v>0.09130216425</v>
      </c>
      <c r="M994" s="4">
        <f>IFERROR(__xludf.DUMMYFUNCTION("""COMPUTED_VALUE"""),0.507900828792465)</f>
        <v>0.5079008288</v>
      </c>
      <c r="N994" s="15">
        <v>5544.0</v>
      </c>
      <c r="O994" s="4"/>
      <c r="P994" s="14" t="s">
        <v>3175</v>
      </c>
      <c r="Q994" s="17">
        <f>IFERROR(__xludf.DUMMYFUNCTION("SPLIT(P:P, "" "")"),0.0837098146428444)</f>
        <v>0.08370981464</v>
      </c>
      <c r="R994" s="4">
        <f>IFERROR(__xludf.DUMMYFUNCTION("""COMPUTED_VALUE"""),0.362899434578364)</f>
        <v>0.3628994346</v>
      </c>
      <c r="S994" s="15">
        <v>8316.0</v>
      </c>
      <c r="T994" s="4"/>
      <c r="U994" s="4"/>
    </row>
    <row r="995">
      <c r="A995" s="4"/>
      <c r="B995" s="17"/>
      <c r="C995" s="4"/>
      <c r="D995" s="4"/>
      <c r="E995" s="4"/>
      <c r="F995" s="4"/>
      <c r="G995" s="17"/>
      <c r="H995" s="4"/>
      <c r="I995" s="4"/>
      <c r="J995" s="4"/>
      <c r="K995" s="14" t="s">
        <v>3176</v>
      </c>
      <c r="L995" s="17">
        <f>IFERROR(__xludf.DUMMYFUNCTION("SPLIT(K:K, "" "")"),0.0919276076558362)</f>
        <v>0.09192760766</v>
      </c>
      <c r="M995" s="4">
        <f>IFERROR(__xludf.DUMMYFUNCTION("""COMPUTED_VALUE"""),0.498911479148025)</f>
        <v>0.4989114791</v>
      </c>
      <c r="N995" s="15">
        <v>5552.0</v>
      </c>
      <c r="O995" s="4"/>
      <c r="P995" s="14" t="s">
        <v>3177</v>
      </c>
      <c r="Q995" s="17">
        <f>IFERROR(__xludf.DUMMYFUNCTION("SPLIT(P:P, "" "")"),0.083421135182885)</f>
        <v>0.08342113518</v>
      </c>
      <c r="R995" s="4">
        <f>IFERROR(__xludf.DUMMYFUNCTION("""COMPUTED_VALUE"""),0.369995525257719)</f>
        <v>0.3699955253</v>
      </c>
      <c r="S995" s="15">
        <v>8328.0</v>
      </c>
      <c r="T995" s="4"/>
      <c r="U995" s="4"/>
    </row>
    <row r="996">
      <c r="A996" s="4"/>
      <c r="B996" s="17"/>
      <c r="C996" s="4"/>
      <c r="D996" s="4"/>
      <c r="E996" s="4"/>
      <c r="F996" s="4"/>
      <c r="G996" s="17"/>
      <c r="H996" s="4"/>
      <c r="I996" s="4"/>
      <c r="J996" s="4"/>
      <c r="K996" s="14" t="s">
        <v>3178</v>
      </c>
      <c r="L996" s="17">
        <f>IFERROR(__xludf.DUMMYFUNCTION("SPLIT(K:K, "" "")"),0.0938554440919188)</f>
        <v>0.09385544409</v>
      </c>
      <c r="M996" s="4">
        <f>IFERROR(__xludf.DUMMYFUNCTION("""COMPUTED_VALUE"""),0.510960592647405)</f>
        <v>0.5109605926</v>
      </c>
      <c r="N996" s="15">
        <v>5560.0</v>
      </c>
      <c r="O996" s="4"/>
      <c r="P996" s="14" t="s">
        <v>3179</v>
      </c>
      <c r="Q996" s="17">
        <f>IFERROR(__xludf.DUMMYFUNCTION("SPLIT(P:P, "" "")"),0.0823889136036876)</f>
        <v>0.0823889136</v>
      </c>
      <c r="R996" s="4">
        <f>IFERROR(__xludf.DUMMYFUNCTION("""COMPUTED_VALUE"""),0.36373959878956)</f>
        <v>0.3637395988</v>
      </c>
      <c r="S996" s="15">
        <v>8340.0</v>
      </c>
      <c r="T996" s="4"/>
      <c r="U996" s="4"/>
    </row>
    <row r="997">
      <c r="A997" s="4"/>
      <c r="B997" s="17"/>
      <c r="C997" s="4"/>
      <c r="D997" s="4"/>
      <c r="E997" s="4"/>
      <c r="F997" s="4"/>
      <c r="G997" s="17"/>
      <c r="H997" s="4"/>
      <c r="I997" s="4"/>
      <c r="J997" s="4"/>
      <c r="K997" s="14" t="s">
        <v>3180</v>
      </c>
      <c r="L997" s="17">
        <f>IFERROR(__xludf.DUMMYFUNCTION("SPLIT(K:K, "" "")"),0.0909211461823368)</f>
        <v>0.09092114618</v>
      </c>
      <c r="M997" s="4">
        <f>IFERROR(__xludf.DUMMYFUNCTION("""COMPUTED_VALUE"""),0.503406276314986)</f>
        <v>0.5034062763</v>
      </c>
      <c r="N997" s="15">
        <v>5568.0</v>
      </c>
      <c r="O997" s="4"/>
      <c r="P997" s="14" t="s">
        <v>3181</v>
      </c>
      <c r="Q997" s="17">
        <f>IFERROR(__xludf.DUMMYFUNCTION("SPLIT(P:P, "" "")"),0.0821651763206589)</f>
        <v>0.08216517632</v>
      </c>
      <c r="R997" s="4">
        <f>IFERROR(__xludf.DUMMYFUNCTION("""COMPUTED_VALUE"""),0.358313191217813)</f>
        <v>0.3583131912</v>
      </c>
      <c r="S997" s="15">
        <v>8352.0</v>
      </c>
      <c r="T997" s="4"/>
      <c r="U997" s="4"/>
    </row>
    <row r="998">
      <c r="A998" s="4"/>
      <c r="B998" s="17"/>
      <c r="C998" s="4"/>
      <c r="D998" s="4"/>
      <c r="E998" s="4"/>
      <c r="F998" s="4"/>
      <c r="G998" s="17"/>
      <c r="H998" s="4"/>
      <c r="I998" s="4"/>
      <c r="J998" s="4"/>
      <c r="K998" s="14" t="s">
        <v>3182</v>
      </c>
      <c r="L998" s="17">
        <f>IFERROR(__xludf.DUMMYFUNCTION("SPLIT(K:K, "" "")"),0.0928119523903599)</f>
        <v>0.09281195239</v>
      </c>
      <c r="M998" s="4">
        <f>IFERROR(__xludf.DUMMYFUNCTION("""COMPUTED_VALUE"""),0.502726337608059)</f>
        <v>0.5027263376</v>
      </c>
      <c r="N998" s="15">
        <v>5576.0</v>
      </c>
      <c r="O998" s="4"/>
      <c r="P998" s="14" t="s">
        <v>3183</v>
      </c>
      <c r="Q998" s="17">
        <f>IFERROR(__xludf.DUMMYFUNCTION("SPLIT(P:P, "" "")"),0.0843248393864389)</f>
        <v>0.08432483939</v>
      </c>
      <c r="R998" s="4">
        <f>IFERROR(__xludf.DUMMYFUNCTION("""COMPUTED_VALUE"""),0.363363990051399)</f>
        <v>0.3633639901</v>
      </c>
      <c r="S998" s="15">
        <v>8364.0</v>
      </c>
      <c r="T998" s="4"/>
      <c r="U998" s="4"/>
    </row>
    <row r="999">
      <c r="A999" s="4"/>
      <c r="B999" s="17"/>
      <c r="C999" s="4"/>
      <c r="D999" s="4"/>
      <c r="E999" s="4"/>
      <c r="F999" s="4"/>
      <c r="G999" s="17"/>
      <c r="H999" s="4"/>
      <c r="I999" s="4"/>
      <c r="J999" s="4"/>
      <c r="K999" s="14" t="s">
        <v>3184</v>
      </c>
      <c r="L999" s="17">
        <f>IFERROR(__xludf.DUMMYFUNCTION("SPLIT(K:K, "" "")"),0.092275258137761)</f>
        <v>0.09227525814</v>
      </c>
      <c r="M999" s="4">
        <f>IFERROR(__xludf.DUMMYFUNCTION("""COMPUTED_VALUE"""),0.504872669747146)</f>
        <v>0.5048726697</v>
      </c>
      <c r="N999" s="15">
        <v>5584.0</v>
      </c>
      <c r="O999" s="4"/>
      <c r="P999" s="14" t="s">
        <v>3185</v>
      </c>
      <c r="Q999" s="17">
        <f>IFERROR(__xludf.DUMMYFUNCTION("SPLIT(P:P, "" "")"),0.0845696404106198)</f>
        <v>0.08456964041</v>
      </c>
      <c r="R999" s="4">
        <f>IFERROR(__xludf.DUMMYFUNCTION("""COMPUTED_VALUE"""),0.364386741936072)</f>
        <v>0.3643867419</v>
      </c>
      <c r="S999" s="15">
        <v>8376.0</v>
      </c>
      <c r="T999" s="4"/>
      <c r="U999" s="4"/>
    </row>
    <row r="1000">
      <c r="A1000" s="4"/>
      <c r="B1000" s="17"/>
      <c r="C1000" s="4"/>
      <c r="D1000" s="4"/>
      <c r="E1000" s="4"/>
      <c r="F1000" s="4"/>
      <c r="G1000" s="17"/>
      <c r="H1000" s="4"/>
      <c r="I1000" s="4"/>
      <c r="J1000" s="4"/>
      <c r="K1000" s="14" t="s">
        <v>3186</v>
      </c>
      <c r="L1000" s="17">
        <f>IFERROR(__xludf.DUMMYFUNCTION("SPLIT(K:K, "" "")"),0.0904918972963701)</f>
        <v>0.0904918973</v>
      </c>
      <c r="M1000" s="4">
        <f>IFERROR(__xludf.DUMMYFUNCTION("""COMPUTED_VALUE"""),0.502745362761432)</f>
        <v>0.5027453628</v>
      </c>
      <c r="N1000" s="15">
        <v>5592.0</v>
      </c>
      <c r="O1000" s="4"/>
      <c r="P1000" s="14" t="s">
        <v>3187</v>
      </c>
      <c r="Q1000" s="17">
        <f>IFERROR(__xludf.DUMMYFUNCTION("SPLIT(P:P, "" "")"),0.0833126427909678)</f>
        <v>0.08331264279</v>
      </c>
      <c r="R1000" s="4">
        <f>IFERROR(__xludf.DUMMYFUNCTION("""COMPUTED_VALUE"""),0.371128107367601)</f>
        <v>0.3711281074</v>
      </c>
      <c r="S1000" s="15">
        <v>8388.0</v>
      </c>
      <c r="T1000" s="4"/>
      <c r="U1000" s="4"/>
    </row>
    <row r="1001">
      <c r="A1001" s="4"/>
      <c r="B1001" s="17"/>
      <c r="C1001" s="4"/>
      <c r="D1001" s="4"/>
      <c r="E1001" s="4"/>
      <c r="F1001" s="4"/>
      <c r="G1001" s="17"/>
      <c r="H1001" s="4"/>
      <c r="I1001" s="4"/>
      <c r="J1001" s="4"/>
      <c r="K1001" s="14" t="s">
        <v>3188</v>
      </c>
      <c r="L1001" s="17">
        <f>IFERROR(__xludf.DUMMYFUNCTION("SPLIT(K:K, "" "")"),0.0913582938395316)</f>
        <v>0.09135829384</v>
      </c>
      <c r="M1001" s="4">
        <f>IFERROR(__xludf.DUMMYFUNCTION("""COMPUTED_VALUE"""),0.500659286304419)</f>
        <v>0.5006592863</v>
      </c>
      <c r="N1001" s="15">
        <v>5600.0</v>
      </c>
      <c r="O1001" s="4"/>
      <c r="P1001" s="14" t="s">
        <v>3189</v>
      </c>
      <c r="Q1001" s="17">
        <f>IFERROR(__xludf.DUMMYFUNCTION("SPLIT(P:P, "" "")"),0.0836399045102664)</f>
        <v>0.08363990451</v>
      </c>
      <c r="R1001" s="4">
        <f>IFERROR(__xludf.DUMMYFUNCTION("""COMPUTED_VALUE"""),0.368133678923808)</f>
        <v>0.3681336789</v>
      </c>
      <c r="S1001" s="15">
        <v>8400.0</v>
      </c>
      <c r="T1001" s="4"/>
      <c r="U1001" s="4"/>
    </row>
    <row r="1002">
      <c r="A1002" s="4"/>
      <c r="B1002" s="17"/>
      <c r="C1002" s="4"/>
      <c r="D1002" s="4"/>
      <c r="E1002" s="4"/>
      <c r="F1002" s="4"/>
      <c r="G1002" s="17"/>
      <c r="H1002" s="4"/>
      <c r="I1002" s="4"/>
      <c r="J1002" s="4"/>
      <c r="K1002" s="14" t="s">
        <v>3190</v>
      </c>
      <c r="L1002" s="17">
        <f>IFERROR(__xludf.DUMMYFUNCTION("SPLIT(K:K, "" "")"),0.0903704152981566)</f>
        <v>0.0903704153</v>
      </c>
      <c r="M1002" s="4">
        <f>IFERROR(__xludf.DUMMYFUNCTION("""COMPUTED_VALUE"""),0.505824977213402)</f>
        <v>0.5058249772</v>
      </c>
      <c r="N1002" s="15">
        <v>5608.0</v>
      </c>
      <c r="O1002" s="4"/>
      <c r="P1002" s="14" t="s">
        <v>3191</v>
      </c>
      <c r="Q1002" s="17">
        <f>IFERROR(__xludf.DUMMYFUNCTION("SPLIT(P:P, "" "")"),0.0821519074907796)</f>
        <v>0.08215190749</v>
      </c>
      <c r="R1002" s="4">
        <f>IFERROR(__xludf.DUMMYFUNCTION("""COMPUTED_VALUE"""),0.367378015645944)</f>
        <v>0.3673780156</v>
      </c>
      <c r="S1002" s="15">
        <v>8412.0</v>
      </c>
      <c r="T1002" s="4"/>
      <c r="U1002" s="4"/>
    </row>
    <row r="1003">
      <c r="A1003" s="4"/>
      <c r="B1003" s="17"/>
      <c r="C1003" s="4"/>
      <c r="D1003" s="4"/>
      <c r="E1003" s="4"/>
      <c r="F1003" s="4"/>
      <c r="G1003" s="17"/>
      <c r="H1003" s="4"/>
      <c r="I1003" s="4"/>
      <c r="J1003" s="4"/>
      <c r="K1003" s="14" t="s">
        <v>3192</v>
      </c>
      <c r="L1003" s="17">
        <f>IFERROR(__xludf.DUMMYFUNCTION("SPLIT(K:K, "" "")"),0.0913601821545287)</f>
        <v>0.09136018215</v>
      </c>
      <c r="M1003" s="4">
        <f>IFERROR(__xludf.DUMMYFUNCTION("""COMPUTED_VALUE"""),0.500131303394079)</f>
        <v>0.5001313034</v>
      </c>
      <c r="N1003" s="15">
        <v>5616.0</v>
      </c>
      <c r="O1003" s="4"/>
      <c r="P1003" s="14" t="s">
        <v>3193</v>
      </c>
      <c r="Q1003" s="17">
        <f>IFERROR(__xludf.DUMMYFUNCTION("SPLIT(P:P, "" "")"),0.0820401726105681)</f>
        <v>0.08204017261</v>
      </c>
      <c r="R1003" s="4">
        <f>IFERROR(__xludf.DUMMYFUNCTION("""COMPUTED_VALUE"""),0.362705148077177)</f>
        <v>0.3627051481</v>
      </c>
      <c r="S1003" s="15">
        <v>8424.0</v>
      </c>
      <c r="T1003" s="4"/>
      <c r="U1003" s="4"/>
    </row>
    <row r="1004">
      <c r="A1004" s="4"/>
      <c r="B1004" s="17"/>
      <c r="C1004" s="4"/>
      <c r="D1004" s="4"/>
      <c r="E1004" s="4"/>
      <c r="F1004" s="4"/>
      <c r="G1004" s="17"/>
      <c r="H1004" s="4"/>
      <c r="I1004" s="4"/>
      <c r="J1004" s="4"/>
      <c r="K1004" s="14" t="s">
        <v>3194</v>
      </c>
      <c r="L1004" s="17">
        <f>IFERROR(__xludf.DUMMYFUNCTION("SPLIT(K:K, "" "")"),0.0907637974133356)</f>
        <v>0.09076379741</v>
      </c>
      <c r="M1004" s="4">
        <f>IFERROR(__xludf.DUMMYFUNCTION("""COMPUTED_VALUE"""),0.506843181551021)</f>
        <v>0.5068431816</v>
      </c>
      <c r="N1004" s="15">
        <v>5624.0</v>
      </c>
      <c r="O1004" s="4"/>
      <c r="P1004" s="14" t="s">
        <v>3195</v>
      </c>
      <c r="Q1004" s="17">
        <f>IFERROR(__xludf.DUMMYFUNCTION("SPLIT(P:P, "" "")"),0.0820363331034691)</f>
        <v>0.0820363331</v>
      </c>
      <c r="R1004" s="4">
        <f>IFERROR(__xludf.DUMMYFUNCTION("""COMPUTED_VALUE"""),0.35824672013035)</f>
        <v>0.3582467201</v>
      </c>
      <c r="S1004" s="15">
        <v>8436.0</v>
      </c>
      <c r="T1004" s="4"/>
      <c r="U1004" s="4"/>
    </row>
    <row r="1005">
      <c r="A1005" s="4"/>
      <c r="B1005" s="17"/>
      <c r="C1005" s="4"/>
      <c r="D1005" s="4"/>
      <c r="E1005" s="4"/>
      <c r="F1005" s="4"/>
      <c r="G1005" s="17"/>
      <c r="H1005" s="4"/>
      <c r="I1005" s="4"/>
      <c r="J1005" s="4"/>
      <c r="K1005" s="14" t="s">
        <v>3196</v>
      </c>
      <c r="L1005" s="17">
        <f>IFERROR(__xludf.DUMMYFUNCTION("SPLIT(K:K, "" "")"),0.0923121034977303)</f>
        <v>0.0923121035</v>
      </c>
      <c r="M1005" s="4">
        <f>IFERROR(__xludf.DUMMYFUNCTION("""COMPUTED_VALUE"""),0.508147368200047)</f>
        <v>0.5081473682</v>
      </c>
      <c r="N1005" s="15">
        <v>5632.0</v>
      </c>
      <c r="O1005" s="4"/>
      <c r="P1005" s="14" t="s">
        <v>3197</v>
      </c>
      <c r="Q1005" s="17">
        <f>IFERROR(__xludf.DUMMYFUNCTION("SPLIT(P:P, "" "")"),0.0805335298847525)</f>
        <v>0.08053352988</v>
      </c>
      <c r="R1005" s="4">
        <f>IFERROR(__xludf.DUMMYFUNCTION("""COMPUTED_VALUE"""),0.358375413524644)</f>
        <v>0.3583754135</v>
      </c>
      <c r="S1005" s="15">
        <v>8448.0</v>
      </c>
      <c r="T1005" s="4"/>
      <c r="U1005" s="4"/>
    </row>
    <row r="1006">
      <c r="A1006" s="4"/>
      <c r="B1006" s="17"/>
      <c r="C1006" s="4"/>
      <c r="D1006" s="4"/>
      <c r="E1006" s="4"/>
      <c r="F1006" s="4"/>
      <c r="G1006" s="17"/>
      <c r="H1006" s="4"/>
      <c r="I1006" s="4"/>
      <c r="J1006" s="4"/>
      <c r="K1006" s="14" t="s">
        <v>3198</v>
      </c>
      <c r="L1006" s="17">
        <f>IFERROR(__xludf.DUMMYFUNCTION("SPLIT(K:K, "" "")"),0.0893929536793963)</f>
        <v>0.08939295368</v>
      </c>
      <c r="M1006" s="4">
        <f>IFERROR(__xludf.DUMMYFUNCTION("""COMPUTED_VALUE"""),0.503444689831601)</f>
        <v>0.5034446898</v>
      </c>
      <c r="N1006" s="15">
        <v>5640.0</v>
      </c>
      <c r="O1006" s="4"/>
      <c r="P1006" s="14" t="s">
        <v>3199</v>
      </c>
      <c r="Q1006" s="17">
        <f>IFERROR(__xludf.DUMMYFUNCTION("SPLIT(P:P, "" "")"),0.0808648943095496)</f>
        <v>0.08086489431</v>
      </c>
      <c r="R1006" s="4">
        <f>IFERROR(__xludf.DUMMYFUNCTION("""COMPUTED_VALUE"""),0.366418356645401)</f>
        <v>0.3664183566</v>
      </c>
      <c r="S1006" s="15">
        <v>8460.0</v>
      </c>
      <c r="T1006" s="4"/>
      <c r="U1006" s="4"/>
    </row>
    <row r="1007">
      <c r="A1007" s="4"/>
      <c r="B1007" s="17"/>
      <c r="C1007" s="4"/>
      <c r="D1007" s="4"/>
      <c r="E1007" s="4"/>
      <c r="F1007" s="4"/>
      <c r="G1007" s="17"/>
      <c r="H1007" s="4"/>
      <c r="I1007" s="4"/>
      <c r="J1007" s="4"/>
      <c r="K1007" s="14" t="s">
        <v>3200</v>
      </c>
      <c r="L1007" s="17">
        <f>IFERROR(__xludf.DUMMYFUNCTION("SPLIT(K:K, "" "")"),0.0915034439110504)</f>
        <v>0.09150344391</v>
      </c>
      <c r="M1007" s="4">
        <f>IFERROR(__xludf.DUMMYFUNCTION("""COMPUTED_VALUE"""),0.497845563244335)</f>
        <v>0.4978455632</v>
      </c>
      <c r="N1007" s="15">
        <v>5648.0</v>
      </c>
      <c r="O1007" s="4"/>
      <c r="P1007" s="14" t="s">
        <v>3201</v>
      </c>
      <c r="Q1007" s="17">
        <f>IFERROR(__xludf.DUMMYFUNCTION("SPLIT(P:P, "" "")"),0.0833587852142262)</f>
        <v>0.08335878521</v>
      </c>
      <c r="R1007" s="4">
        <f>IFERROR(__xludf.DUMMYFUNCTION("""COMPUTED_VALUE"""),0.368091962415316)</f>
        <v>0.3680919624</v>
      </c>
      <c r="S1007" s="15">
        <v>8472.0</v>
      </c>
      <c r="T1007" s="4"/>
      <c r="U1007" s="4"/>
    </row>
    <row r="1008">
      <c r="A1008" s="4"/>
      <c r="B1008" s="17"/>
      <c r="C1008" s="4"/>
      <c r="D1008" s="4"/>
      <c r="E1008" s="4"/>
      <c r="F1008" s="4"/>
      <c r="G1008" s="17"/>
      <c r="H1008" s="4"/>
      <c r="I1008" s="4"/>
      <c r="J1008" s="4"/>
      <c r="K1008" s="14" t="s">
        <v>3202</v>
      </c>
      <c r="L1008" s="17">
        <f>IFERROR(__xludf.DUMMYFUNCTION("SPLIT(K:K, "" "")"),0.0943658470892754)</f>
        <v>0.09436584709</v>
      </c>
      <c r="M1008" s="4">
        <f>IFERROR(__xludf.DUMMYFUNCTION("""COMPUTED_VALUE"""),0.50631178035669)</f>
        <v>0.5063117804</v>
      </c>
      <c r="N1008" s="15">
        <v>5656.0</v>
      </c>
      <c r="O1008" s="4"/>
      <c r="P1008" s="14" t="s">
        <v>3203</v>
      </c>
      <c r="Q1008" s="17">
        <f>IFERROR(__xludf.DUMMYFUNCTION("SPLIT(P:P, "" "")"),0.0839446746401618)</f>
        <v>0.08394467464</v>
      </c>
      <c r="R1008" s="4">
        <f>IFERROR(__xludf.DUMMYFUNCTION("""COMPUTED_VALUE"""),0.370996757001055)</f>
        <v>0.370996757</v>
      </c>
      <c r="S1008" s="15">
        <v>8484.0</v>
      </c>
      <c r="T1008" s="4"/>
      <c r="U1008" s="4"/>
    </row>
    <row r="1009">
      <c r="A1009" s="4"/>
      <c r="B1009" s="17"/>
      <c r="C1009" s="4"/>
      <c r="D1009" s="4"/>
      <c r="E1009" s="4"/>
      <c r="F1009" s="4"/>
      <c r="G1009" s="17"/>
      <c r="H1009" s="4"/>
      <c r="I1009" s="4"/>
      <c r="J1009" s="4"/>
      <c r="K1009" s="14" t="s">
        <v>3204</v>
      </c>
      <c r="L1009" s="17">
        <f>IFERROR(__xludf.DUMMYFUNCTION("SPLIT(K:K, "" "")"),0.0927565316787523)</f>
        <v>0.09275653168</v>
      </c>
      <c r="M1009" s="4">
        <f>IFERROR(__xludf.DUMMYFUNCTION("""COMPUTED_VALUE"""),0.507943277702706)</f>
        <v>0.5079432777</v>
      </c>
      <c r="N1009" s="15">
        <v>5664.0</v>
      </c>
      <c r="O1009" s="4"/>
      <c r="P1009" s="14" t="s">
        <v>3205</v>
      </c>
      <c r="Q1009" s="17">
        <f>IFERROR(__xludf.DUMMYFUNCTION("SPLIT(P:P, "" "")"),0.0811642237116216)</f>
        <v>0.08116422371</v>
      </c>
      <c r="R1009" s="4">
        <f>IFERROR(__xludf.DUMMYFUNCTION("""COMPUTED_VALUE"""),0.358047523022763)</f>
        <v>0.358047523</v>
      </c>
      <c r="S1009" s="15">
        <v>8496.0</v>
      </c>
      <c r="T1009" s="4"/>
      <c r="U1009" s="4"/>
    </row>
    <row r="1010">
      <c r="A1010" s="4"/>
      <c r="B1010" s="17"/>
      <c r="C1010" s="4"/>
      <c r="D1010" s="4"/>
      <c r="E1010" s="4"/>
      <c r="F1010" s="4"/>
      <c r="G1010" s="17"/>
      <c r="H1010" s="4"/>
      <c r="I1010" s="4"/>
      <c r="J1010" s="4"/>
      <c r="K1010" s="14" t="s">
        <v>3206</v>
      </c>
      <c r="L1010" s="17">
        <f>IFERROR(__xludf.DUMMYFUNCTION("SPLIT(K:K, "" "")"),0.0910453830542191)</f>
        <v>0.09104538305</v>
      </c>
      <c r="M1010" s="4">
        <f>IFERROR(__xludf.DUMMYFUNCTION("""COMPUTED_VALUE"""),0.502464195978501)</f>
        <v>0.502464196</v>
      </c>
      <c r="N1010" s="15">
        <v>5672.0</v>
      </c>
      <c r="O1010" s="4"/>
      <c r="P1010" s="14" t="s">
        <v>3207</v>
      </c>
      <c r="Q1010" s="17">
        <f>IFERROR(__xludf.DUMMYFUNCTION("SPLIT(P:P, "" "")"),0.0807231470685596)</f>
        <v>0.08072314707</v>
      </c>
      <c r="R1010" s="4">
        <f>IFERROR(__xludf.DUMMYFUNCTION("""COMPUTED_VALUE"""),0.362807837965183)</f>
        <v>0.362807838</v>
      </c>
      <c r="S1010" s="15">
        <v>8508.0</v>
      </c>
      <c r="T1010" s="4"/>
      <c r="U1010" s="4"/>
    </row>
    <row r="1011">
      <c r="A1011" s="4"/>
      <c r="B1011" s="17"/>
      <c r="C1011" s="4"/>
      <c r="D1011" s="4"/>
      <c r="E1011" s="4"/>
      <c r="F1011" s="4"/>
      <c r="G1011" s="17"/>
      <c r="H1011" s="4"/>
      <c r="I1011" s="4"/>
      <c r="J1011" s="4"/>
      <c r="K1011" s="14" t="s">
        <v>3208</v>
      </c>
      <c r="L1011" s="17">
        <f>IFERROR(__xludf.DUMMYFUNCTION("SPLIT(K:K, "" "")"),0.090567079427359)</f>
        <v>0.09056707943</v>
      </c>
      <c r="M1011" s="4">
        <f>IFERROR(__xludf.DUMMYFUNCTION("""COMPUTED_VALUE"""),0.50633880347587)</f>
        <v>0.5063388035</v>
      </c>
      <c r="N1011" s="15">
        <v>5680.0</v>
      </c>
      <c r="O1011" s="4"/>
      <c r="P1011" s="14" t="s">
        <v>3209</v>
      </c>
      <c r="Q1011" s="17">
        <f>IFERROR(__xludf.DUMMYFUNCTION("SPLIT(P:P, "" "")"),0.0809261845514266)</f>
        <v>0.08092618455</v>
      </c>
      <c r="R1011" s="4">
        <f>IFERROR(__xludf.DUMMYFUNCTION("""COMPUTED_VALUE"""),0.363844825161142)</f>
        <v>0.3638448252</v>
      </c>
      <c r="S1011" s="15">
        <v>8520.0</v>
      </c>
      <c r="T1011" s="4"/>
      <c r="U1011" s="4"/>
    </row>
    <row r="1012">
      <c r="A1012" s="4"/>
      <c r="B1012" s="17"/>
      <c r="C1012" s="4"/>
      <c r="D1012" s="4"/>
      <c r="E1012" s="4"/>
      <c r="F1012" s="4"/>
      <c r="G1012" s="17"/>
      <c r="H1012" s="4"/>
      <c r="I1012" s="4"/>
      <c r="J1012" s="4"/>
      <c r="K1012" s="14" t="s">
        <v>3210</v>
      </c>
      <c r="L1012" s="17">
        <f>IFERROR(__xludf.DUMMYFUNCTION("SPLIT(K:K, "" "")"),0.0895794388543356)</f>
        <v>0.08957943885</v>
      </c>
      <c r="M1012" s="4">
        <f>IFERROR(__xludf.DUMMYFUNCTION("""COMPUTED_VALUE"""),0.502098350967596)</f>
        <v>0.502098351</v>
      </c>
      <c r="N1012" s="15">
        <v>5688.0</v>
      </c>
      <c r="O1012" s="4"/>
      <c r="P1012" s="14" t="s">
        <v>3211</v>
      </c>
      <c r="Q1012" s="17">
        <f>IFERROR(__xludf.DUMMYFUNCTION("SPLIT(P:P, "" "")"),0.0813626414793808)</f>
        <v>0.08136264148</v>
      </c>
      <c r="R1012" s="4">
        <f>IFERROR(__xludf.DUMMYFUNCTION("""COMPUTED_VALUE"""),0.363091351789005)</f>
        <v>0.3630913518</v>
      </c>
      <c r="S1012" s="15">
        <v>8532.0</v>
      </c>
      <c r="T1012" s="4"/>
      <c r="U1012" s="4"/>
    </row>
    <row r="1013">
      <c r="A1013" s="4"/>
      <c r="B1013" s="17"/>
      <c r="C1013" s="4"/>
      <c r="D1013" s="4"/>
      <c r="E1013" s="4"/>
      <c r="F1013" s="4"/>
      <c r="G1013" s="17"/>
      <c r="H1013" s="4"/>
      <c r="I1013" s="4"/>
      <c r="J1013" s="4"/>
      <c r="K1013" s="14" t="s">
        <v>3212</v>
      </c>
      <c r="L1013" s="17">
        <f>IFERROR(__xludf.DUMMYFUNCTION("SPLIT(K:K, "" "")"),0.088610319710163)</f>
        <v>0.08861031971</v>
      </c>
      <c r="M1013" s="4">
        <f>IFERROR(__xludf.DUMMYFUNCTION("""COMPUTED_VALUE"""),0.500426810706822)</f>
        <v>0.5004268107</v>
      </c>
      <c r="N1013" s="15">
        <v>5696.0</v>
      </c>
      <c r="O1013" s="4"/>
      <c r="P1013" s="14" t="s">
        <v>3213</v>
      </c>
      <c r="Q1013" s="17">
        <f>IFERROR(__xludf.DUMMYFUNCTION("SPLIT(P:P, "" "")"),0.0804158843668613)</f>
        <v>0.08041588437</v>
      </c>
      <c r="R1013" s="4">
        <f>IFERROR(__xludf.DUMMYFUNCTION("""COMPUTED_VALUE"""),0.361376086430533)</f>
        <v>0.3613760864</v>
      </c>
      <c r="S1013" s="15">
        <v>8544.0</v>
      </c>
      <c r="T1013" s="4"/>
      <c r="U1013" s="4"/>
    </row>
    <row r="1014">
      <c r="A1014" s="4"/>
      <c r="B1014" s="17"/>
      <c r="C1014" s="4"/>
      <c r="D1014" s="4"/>
      <c r="E1014" s="4"/>
      <c r="F1014" s="4"/>
      <c r="G1014" s="17"/>
      <c r="H1014" s="4"/>
      <c r="I1014" s="4"/>
      <c r="J1014" s="4"/>
      <c r="K1014" s="14" t="s">
        <v>3214</v>
      </c>
      <c r="L1014" s="17">
        <f>IFERROR(__xludf.DUMMYFUNCTION("SPLIT(K:K, "" "")"),0.093333941224672)</f>
        <v>0.09333394122</v>
      </c>
      <c r="M1014" s="4">
        <f>IFERROR(__xludf.DUMMYFUNCTION("""COMPUTED_VALUE"""),0.503199302514802)</f>
        <v>0.5031993025</v>
      </c>
      <c r="N1014" s="15">
        <v>5704.0</v>
      </c>
      <c r="O1014" s="4"/>
      <c r="P1014" s="14" t="s">
        <v>3215</v>
      </c>
      <c r="Q1014" s="17">
        <f>IFERROR(__xludf.DUMMYFUNCTION("SPLIT(P:P, "" "")"),0.0811821817588684)</f>
        <v>0.08118218176</v>
      </c>
      <c r="R1014" s="4">
        <f>IFERROR(__xludf.DUMMYFUNCTION("""COMPUTED_VALUE"""),0.359059316660839)</f>
        <v>0.3590593167</v>
      </c>
      <c r="S1014" s="15">
        <v>8556.0</v>
      </c>
      <c r="T1014" s="4"/>
      <c r="U1014" s="4"/>
    </row>
    <row r="1015">
      <c r="A1015" s="4"/>
      <c r="B1015" s="17"/>
      <c r="C1015" s="4"/>
      <c r="D1015" s="4"/>
      <c r="E1015" s="4"/>
      <c r="F1015" s="4"/>
      <c r="G1015" s="17"/>
      <c r="H1015" s="4"/>
      <c r="I1015" s="4"/>
      <c r="J1015" s="4"/>
      <c r="K1015" s="14" t="s">
        <v>3216</v>
      </c>
      <c r="L1015" s="17">
        <f>IFERROR(__xludf.DUMMYFUNCTION("SPLIT(K:K, "" "")"),0.0886675102790407)</f>
        <v>0.08866751028</v>
      </c>
      <c r="M1015" s="4">
        <f>IFERROR(__xludf.DUMMYFUNCTION("""COMPUTED_VALUE"""),0.505079777408172)</f>
        <v>0.5050797774</v>
      </c>
      <c r="N1015" s="15">
        <v>5712.0</v>
      </c>
      <c r="O1015" s="4"/>
      <c r="P1015" s="14" t="s">
        <v>3217</v>
      </c>
      <c r="Q1015" s="17">
        <f>IFERROR(__xludf.DUMMYFUNCTION("SPLIT(P:P, "" "")"),0.0805295262766753)</f>
        <v>0.08052952628</v>
      </c>
      <c r="R1015" s="4">
        <f>IFERROR(__xludf.DUMMYFUNCTION("""COMPUTED_VALUE"""),0.360269328529115)</f>
        <v>0.3602693285</v>
      </c>
      <c r="S1015" s="15">
        <v>8568.0</v>
      </c>
      <c r="T1015" s="4"/>
      <c r="U1015" s="4"/>
    </row>
    <row r="1016">
      <c r="A1016" s="4"/>
      <c r="B1016" s="17"/>
      <c r="C1016" s="4"/>
      <c r="D1016" s="4"/>
      <c r="E1016" s="4"/>
      <c r="F1016" s="4"/>
      <c r="G1016" s="17"/>
      <c r="H1016" s="4"/>
      <c r="I1016" s="4"/>
      <c r="J1016" s="4"/>
      <c r="K1016" s="14" t="s">
        <v>3218</v>
      </c>
      <c r="L1016" s="17">
        <f>IFERROR(__xludf.DUMMYFUNCTION("SPLIT(K:K, "" "")"),0.09007127216096)</f>
        <v>0.09007127216</v>
      </c>
      <c r="M1016" s="4">
        <f>IFERROR(__xludf.DUMMYFUNCTION("""COMPUTED_VALUE"""),0.506096076136473)</f>
        <v>0.5060960761</v>
      </c>
      <c r="N1016" s="15">
        <v>5720.0</v>
      </c>
      <c r="O1016" s="4"/>
      <c r="P1016" s="14" t="s">
        <v>3219</v>
      </c>
      <c r="Q1016" s="17">
        <f>IFERROR(__xludf.DUMMYFUNCTION("SPLIT(P:P, "" "")"),0.0803511204010804)</f>
        <v>0.0803511204</v>
      </c>
      <c r="R1016" s="4">
        <f>IFERROR(__xludf.DUMMYFUNCTION("""COMPUTED_VALUE"""),0.358980866964414)</f>
        <v>0.358980867</v>
      </c>
      <c r="S1016" s="15">
        <v>8580.0</v>
      </c>
      <c r="T1016" s="4"/>
      <c r="U1016" s="4"/>
    </row>
    <row r="1017">
      <c r="A1017" s="4"/>
      <c r="B1017" s="17"/>
      <c r="C1017" s="4"/>
      <c r="D1017" s="4"/>
      <c r="E1017" s="4"/>
      <c r="F1017" s="4"/>
      <c r="G1017" s="17"/>
      <c r="H1017" s="4"/>
      <c r="I1017" s="4"/>
      <c r="J1017" s="4"/>
      <c r="K1017" s="14" t="s">
        <v>3220</v>
      </c>
      <c r="L1017" s="17">
        <f>IFERROR(__xludf.DUMMYFUNCTION("SPLIT(K:K, "" "")"),0.0882695930749857)</f>
        <v>0.08826959307</v>
      </c>
      <c r="M1017" s="4">
        <f>IFERROR(__xludf.DUMMYFUNCTION("""COMPUTED_VALUE"""),0.508114405206357)</f>
        <v>0.5081144052</v>
      </c>
      <c r="N1017" s="15">
        <v>5728.0</v>
      </c>
      <c r="O1017" s="4"/>
      <c r="P1017" s="14" t="s">
        <v>3221</v>
      </c>
      <c r="Q1017" s="17">
        <f>IFERROR(__xludf.DUMMYFUNCTION("SPLIT(P:P, "" "")"),0.0798918804358155)</f>
        <v>0.07989188044</v>
      </c>
      <c r="R1017" s="4">
        <f>IFERROR(__xludf.DUMMYFUNCTION("""COMPUTED_VALUE"""),0.360113588549418)</f>
        <v>0.3601135885</v>
      </c>
      <c r="S1017" s="15">
        <v>8592.0</v>
      </c>
      <c r="T1017" s="4"/>
      <c r="U1017" s="4"/>
    </row>
    <row r="1018">
      <c r="A1018" s="4"/>
      <c r="B1018" s="17"/>
      <c r="C1018" s="4"/>
      <c r="D1018" s="4"/>
      <c r="E1018" s="4"/>
      <c r="F1018" s="4"/>
      <c r="G1018" s="17"/>
      <c r="H1018" s="4"/>
      <c r="I1018" s="4"/>
      <c r="J1018" s="4"/>
      <c r="K1018" s="14" t="s">
        <v>3222</v>
      </c>
      <c r="L1018" s="17">
        <f>IFERROR(__xludf.DUMMYFUNCTION("SPLIT(K:K, "" "")"),0.0883044541780717)</f>
        <v>0.08830445418</v>
      </c>
      <c r="M1018" s="4">
        <f>IFERROR(__xludf.DUMMYFUNCTION("""COMPUTED_VALUE"""),0.499501907689471)</f>
        <v>0.4995019077</v>
      </c>
      <c r="N1018" s="15">
        <v>5736.0</v>
      </c>
      <c r="O1018" s="4"/>
      <c r="P1018" s="14" t="s">
        <v>3223</v>
      </c>
      <c r="Q1018" s="17">
        <f>IFERROR(__xludf.DUMMYFUNCTION("SPLIT(P:P, "" "")"),0.079070393996878)</f>
        <v>0.079070394</v>
      </c>
      <c r="R1018" s="4">
        <f>IFERROR(__xludf.DUMMYFUNCTION("""COMPUTED_VALUE"""),0.360855030787663)</f>
        <v>0.3608550308</v>
      </c>
      <c r="S1018" s="15">
        <v>8604.0</v>
      </c>
      <c r="T1018" s="4"/>
      <c r="U1018" s="4"/>
    </row>
    <row r="1019">
      <c r="A1019" s="4"/>
      <c r="B1019" s="17"/>
      <c r="C1019" s="4"/>
      <c r="D1019" s="4"/>
      <c r="E1019" s="4"/>
      <c r="F1019" s="4"/>
      <c r="G1019" s="17"/>
      <c r="H1019" s="4"/>
      <c r="I1019" s="4"/>
      <c r="J1019" s="4"/>
      <c r="K1019" s="14" t="s">
        <v>3224</v>
      </c>
      <c r="L1019" s="17">
        <f>IFERROR(__xludf.DUMMYFUNCTION("SPLIT(K:K, "" "")"),0.0900443941341461)</f>
        <v>0.09004439413</v>
      </c>
      <c r="M1019" s="4">
        <f>IFERROR(__xludf.DUMMYFUNCTION("""COMPUTED_VALUE"""),0.500588225914777)</f>
        <v>0.5005882259</v>
      </c>
      <c r="N1019" s="15">
        <v>5744.0</v>
      </c>
      <c r="O1019" s="4"/>
      <c r="P1019" s="14" t="s">
        <v>3225</v>
      </c>
      <c r="Q1019" s="17">
        <f>IFERROR(__xludf.DUMMYFUNCTION("SPLIT(P:P, "" "")"),0.0843972223188117)</f>
        <v>0.08439722232</v>
      </c>
      <c r="R1019" s="4">
        <f>IFERROR(__xludf.DUMMYFUNCTION("""COMPUTED_VALUE"""),0.366336669277075)</f>
        <v>0.3663366693</v>
      </c>
      <c r="S1019" s="15">
        <v>8616.0</v>
      </c>
      <c r="T1019" s="4"/>
      <c r="U1019" s="4"/>
    </row>
    <row r="1020">
      <c r="A1020" s="4"/>
      <c r="B1020" s="17"/>
      <c r="C1020" s="4"/>
      <c r="D1020" s="4"/>
      <c r="E1020" s="4"/>
      <c r="F1020" s="4"/>
      <c r="G1020" s="17"/>
      <c r="H1020" s="4"/>
      <c r="I1020" s="4"/>
      <c r="J1020" s="4"/>
      <c r="K1020" s="14" t="s">
        <v>3226</v>
      </c>
      <c r="L1020" s="17">
        <f>IFERROR(__xludf.DUMMYFUNCTION("SPLIT(K:K, "" "")"),0.088701090747589)</f>
        <v>0.08870109075</v>
      </c>
      <c r="M1020" s="4">
        <f>IFERROR(__xludf.DUMMYFUNCTION("""COMPUTED_VALUE"""),0.498521397032276)</f>
        <v>0.498521397</v>
      </c>
      <c r="N1020" s="15">
        <v>5752.0</v>
      </c>
      <c r="O1020" s="4"/>
      <c r="P1020" s="14" t="s">
        <v>3227</v>
      </c>
      <c r="Q1020" s="17">
        <f>IFERROR(__xludf.DUMMYFUNCTION("SPLIT(P:P, "" "")"),0.080701132013091)</f>
        <v>0.08070113201</v>
      </c>
      <c r="R1020" s="4">
        <f>IFERROR(__xludf.DUMMYFUNCTION("""COMPUTED_VALUE"""),0.358965565798656)</f>
        <v>0.3589655658</v>
      </c>
      <c r="S1020" s="15">
        <v>8628.0</v>
      </c>
      <c r="T1020" s="4"/>
      <c r="U1020" s="4"/>
    </row>
    <row r="1021">
      <c r="A1021" s="4"/>
      <c r="B1021" s="17"/>
      <c r="C1021" s="4"/>
      <c r="D1021" s="4"/>
      <c r="E1021" s="4"/>
      <c r="F1021" s="4"/>
      <c r="G1021" s="17"/>
      <c r="H1021" s="4"/>
      <c r="I1021" s="4"/>
      <c r="J1021" s="4"/>
      <c r="K1021" s="14" t="s">
        <v>3228</v>
      </c>
      <c r="L1021" s="17">
        <f>IFERROR(__xludf.DUMMYFUNCTION("SPLIT(K:K, "" "")"),0.0924681507196432)</f>
        <v>0.09246815072</v>
      </c>
      <c r="M1021" s="4">
        <f>IFERROR(__xludf.DUMMYFUNCTION("""COMPUTED_VALUE"""),0.510716977609497)</f>
        <v>0.5107169776</v>
      </c>
      <c r="N1021" s="15">
        <v>5760.0</v>
      </c>
      <c r="O1021" s="4"/>
      <c r="P1021" s="14" t="s">
        <v>3229</v>
      </c>
      <c r="Q1021" s="17">
        <f>IFERROR(__xludf.DUMMYFUNCTION("SPLIT(P:P, "" "")"),0.0806141886850164)</f>
        <v>0.08061418869</v>
      </c>
      <c r="R1021" s="4">
        <f>IFERROR(__xludf.DUMMYFUNCTION("""COMPUTED_VALUE"""),0.359428183887406)</f>
        <v>0.3594281839</v>
      </c>
      <c r="S1021" s="15">
        <v>8640.0</v>
      </c>
      <c r="T1021" s="4"/>
      <c r="U1021" s="4"/>
    </row>
    <row r="1022">
      <c r="A1022" s="4"/>
      <c r="B1022" s="17"/>
      <c r="C1022" s="4"/>
      <c r="D1022" s="4"/>
      <c r="E1022" s="4"/>
      <c r="F1022" s="4"/>
      <c r="G1022" s="17"/>
      <c r="H1022" s="4"/>
      <c r="I1022" s="4"/>
      <c r="J1022" s="4"/>
      <c r="K1022" s="14" t="s">
        <v>3230</v>
      </c>
      <c r="L1022" s="17">
        <f>IFERROR(__xludf.DUMMYFUNCTION("SPLIT(K:K, "" "")"),0.0913503949353137)</f>
        <v>0.09135039494</v>
      </c>
      <c r="M1022" s="4">
        <f>IFERROR(__xludf.DUMMYFUNCTION("""COMPUTED_VALUE"""),0.502772710509366)</f>
        <v>0.5027727105</v>
      </c>
      <c r="N1022" s="15">
        <v>5768.0</v>
      </c>
      <c r="O1022" s="4"/>
      <c r="P1022" s="14" t="s">
        <v>3231</v>
      </c>
      <c r="Q1022" s="17">
        <f>IFERROR(__xludf.DUMMYFUNCTION("SPLIT(P:P, "" "")"),0.0797628695674423)</f>
        <v>0.07976286957</v>
      </c>
      <c r="R1022" s="4">
        <f>IFERROR(__xludf.DUMMYFUNCTION("""COMPUTED_VALUE"""),0.361408748129772)</f>
        <v>0.3614087481</v>
      </c>
      <c r="S1022" s="15">
        <v>8652.0</v>
      </c>
      <c r="T1022" s="4"/>
      <c r="U1022" s="4"/>
    </row>
    <row r="1023">
      <c r="A1023" s="4"/>
      <c r="B1023" s="17"/>
      <c r="C1023" s="4"/>
      <c r="D1023" s="4"/>
      <c r="E1023" s="4"/>
      <c r="F1023" s="4"/>
      <c r="G1023" s="17"/>
      <c r="H1023" s="4"/>
      <c r="I1023" s="4"/>
      <c r="J1023" s="4"/>
      <c r="K1023" s="14" t="s">
        <v>3232</v>
      </c>
      <c r="L1023" s="17">
        <f>IFERROR(__xludf.DUMMYFUNCTION("SPLIT(K:K, "" "")"),0.0888933867879926)</f>
        <v>0.08889338679</v>
      </c>
      <c r="M1023" s="4">
        <f>IFERROR(__xludf.DUMMYFUNCTION("""COMPUTED_VALUE"""),0.494419461927723)</f>
        <v>0.4944194619</v>
      </c>
      <c r="N1023" s="15">
        <v>5776.0</v>
      </c>
      <c r="O1023" s="4"/>
      <c r="P1023" s="14" t="s">
        <v>3233</v>
      </c>
      <c r="Q1023" s="17">
        <f>IFERROR(__xludf.DUMMYFUNCTION("SPLIT(P:P, "" "")"),0.080212091869457)</f>
        <v>0.08021209187</v>
      </c>
      <c r="R1023" s="4">
        <f>IFERROR(__xludf.DUMMYFUNCTION("""COMPUTED_VALUE"""),0.363082636844697)</f>
        <v>0.3630826368</v>
      </c>
      <c r="S1023" s="15">
        <v>8664.0</v>
      </c>
      <c r="T1023" s="4"/>
      <c r="U1023" s="4"/>
    </row>
    <row r="1024">
      <c r="A1024" s="4"/>
      <c r="B1024" s="17"/>
      <c r="C1024" s="4"/>
      <c r="D1024" s="4"/>
      <c r="E1024" s="4"/>
      <c r="F1024" s="4"/>
      <c r="G1024" s="17"/>
      <c r="H1024" s="4"/>
      <c r="I1024" s="4"/>
      <c r="J1024" s="4"/>
      <c r="K1024" s="14" t="s">
        <v>3234</v>
      </c>
      <c r="L1024" s="17">
        <f>IFERROR(__xludf.DUMMYFUNCTION("SPLIT(K:K, "" "")"),0.0887272396559761)</f>
        <v>0.08872723966</v>
      </c>
      <c r="M1024" s="4">
        <f>IFERROR(__xludf.DUMMYFUNCTION("""COMPUTED_VALUE"""),0.502971641022258)</f>
        <v>0.502971641</v>
      </c>
      <c r="N1024" s="15">
        <v>5784.0</v>
      </c>
      <c r="O1024" s="4"/>
      <c r="P1024" s="14" t="s">
        <v>3235</v>
      </c>
      <c r="Q1024" s="17">
        <f>IFERROR(__xludf.DUMMYFUNCTION("SPLIT(P:P, "" "")"),0.0804946974764289)</f>
        <v>0.08049469748</v>
      </c>
      <c r="R1024" s="4">
        <f>IFERROR(__xludf.DUMMYFUNCTION("""COMPUTED_VALUE"""),0.364693803441392)</f>
        <v>0.3646938034</v>
      </c>
      <c r="S1024" s="15">
        <v>8676.0</v>
      </c>
      <c r="T1024" s="4"/>
      <c r="U1024" s="4"/>
    </row>
    <row r="1025">
      <c r="A1025" s="4"/>
      <c r="B1025" s="17"/>
      <c r="C1025" s="4"/>
      <c r="D1025" s="4"/>
      <c r="E1025" s="4"/>
      <c r="F1025" s="4"/>
      <c r="G1025" s="17"/>
      <c r="H1025" s="4"/>
      <c r="I1025" s="4"/>
      <c r="J1025" s="4"/>
      <c r="K1025" s="14" t="s">
        <v>3236</v>
      </c>
      <c r="L1025" s="17">
        <f>IFERROR(__xludf.DUMMYFUNCTION("SPLIT(K:K, "" "")"),0.0891185773388857)</f>
        <v>0.08911857734</v>
      </c>
      <c r="M1025" s="4">
        <f>IFERROR(__xludf.DUMMYFUNCTION("""COMPUTED_VALUE"""),0.502440231699915)</f>
        <v>0.5024402317</v>
      </c>
      <c r="N1025" s="15">
        <v>5792.0</v>
      </c>
      <c r="O1025" s="4"/>
      <c r="P1025" s="14" t="s">
        <v>3237</v>
      </c>
      <c r="Q1025" s="17">
        <f>IFERROR(__xludf.DUMMYFUNCTION("SPLIT(P:P, "" "")"),0.0797842185879304)</f>
        <v>0.07978421859</v>
      </c>
      <c r="R1025" s="4">
        <f>IFERROR(__xludf.DUMMYFUNCTION("""COMPUTED_VALUE"""),0.361741321168054)</f>
        <v>0.3617413212</v>
      </c>
      <c r="S1025" s="15">
        <v>8688.0</v>
      </c>
      <c r="T1025" s="4"/>
      <c r="U1025" s="4"/>
    </row>
    <row r="1026">
      <c r="A1026" s="4"/>
      <c r="B1026" s="17"/>
      <c r="C1026" s="4"/>
      <c r="D1026" s="4"/>
      <c r="E1026" s="4"/>
      <c r="F1026" s="4"/>
      <c r="G1026" s="17"/>
      <c r="H1026" s="4"/>
      <c r="I1026" s="4"/>
      <c r="J1026" s="4"/>
      <c r="K1026" s="14" t="s">
        <v>3238</v>
      </c>
      <c r="L1026" s="17">
        <f>IFERROR(__xludf.DUMMYFUNCTION("SPLIT(K:K, "" "")"),0.0894821196201765)</f>
        <v>0.08948211962</v>
      </c>
      <c r="M1026" s="4">
        <f>IFERROR(__xludf.DUMMYFUNCTION("""COMPUTED_VALUE"""),0.503635906509901)</f>
        <v>0.5036359065</v>
      </c>
      <c r="N1026" s="15">
        <v>5800.0</v>
      </c>
      <c r="O1026" s="4"/>
      <c r="P1026" s="14" t="s">
        <v>3239</v>
      </c>
      <c r="Q1026" s="17">
        <f>IFERROR(__xludf.DUMMYFUNCTION("SPLIT(P:P, "" "")"),0.0798262109627461)</f>
        <v>0.07982621096</v>
      </c>
      <c r="R1026" s="4">
        <f>IFERROR(__xludf.DUMMYFUNCTION("""COMPUTED_VALUE"""),0.360244857007517)</f>
        <v>0.360244857</v>
      </c>
      <c r="S1026" s="15">
        <v>8700.0</v>
      </c>
      <c r="T1026" s="4"/>
      <c r="U1026" s="4"/>
    </row>
    <row r="1027">
      <c r="A1027" s="4"/>
      <c r="B1027" s="17"/>
      <c r="C1027" s="4"/>
      <c r="D1027" s="4"/>
      <c r="E1027" s="4"/>
      <c r="F1027" s="4"/>
      <c r="G1027" s="17"/>
      <c r="H1027" s="4"/>
      <c r="I1027" s="4"/>
      <c r="J1027" s="4"/>
      <c r="K1027" s="14" t="s">
        <v>3240</v>
      </c>
      <c r="L1027" s="17">
        <f>IFERROR(__xludf.DUMMYFUNCTION("SPLIT(K:K, "" "")"),0.0904014135589924)</f>
        <v>0.09040141356</v>
      </c>
      <c r="M1027" s="4">
        <f>IFERROR(__xludf.DUMMYFUNCTION("""COMPUTED_VALUE"""),0.50659268688919)</f>
        <v>0.5065926869</v>
      </c>
      <c r="N1027" s="15">
        <v>5808.0</v>
      </c>
      <c r="O1027" s="4"/>
      <c r="P1027" s="14" t="s">
        <v>3241</v>
      </c>
      <c r="Q1027" s="17">
        <f>IFERROR(__xludf.DUMMYFUNCTION("SPLIT(P:P, "" "")"),0.0805893773675847)</f>
        <v>0.08058937737</v>
      </c>
      <c r="R1027" s="4">
        <f>IFERROR(__xludf.DUMMYFUNCTION("""COMPUTED_VALUE"""),0.358606257950735)</f>
        <v>0.358606258</v>
      </c>
      <c r="S1027" s="15">
        <v>8712.0</v>
      </c>
      <c r="T1027" s="4"/>
      <c r="U1027" s="4"/>
    </row>
    <row r="1028">
      <c r="A1028" s="4"/>
      <c r="B1028" s="17"/>
      <c r="C1028" s="4"/>
      <c r="D1028" s="4"/>
      <c r="E1028" s="4"/>
      <c r="F1028" s="4"/>
      <c r="G1028" s="17"/>
      <c r="H1028" s="4"/>
      <c r="I1028" s="4"/>
      <c r="J1028" s="4"/>
      <c r="K1028" s="14" t="s">
        <v>3242</v>
      </c>
      <c r="L1028" s="17">
        <f>IFERROR(__xludf.DUMMYFUNCTION("SPLIT(K:K, "" "")"),0.0875895852391092)</f>
        <v>0.08758958524</v>
      </c>
      <c r="M1028" s="4">
        <f>IFERROR(__xludf.DUMMYFUNCTION("""COMPUTED_VALUE"""),0.504527839582928)</f>
        <v>0.5045278396</v>
      </c>
      <c r="N1028" s="15">
        <v>5816.0</v>
      </c>
      <c r="O1028" s="4"/>
      <c r="P1028" s="14" t="s">
        <v>3243</v>
      </c>
      <c r="Q1028" s="17">
        <f>IFERROR(__xludf.DUMMYFUNCTION("SPLIT(P:P, "" "")"),0.0830966893781765)</f>
        <v>0.08309668938</v>
      </c>
      <c r="R1028" s="4">
        <f>IFERROR(__xludf.DUMMYFUNCTION("""COMPUTED_VALUE"""),0.371615595292991)</f>
        <v>0.3716155953</v>
      </c>
      <c r="S1028" s="15">
        <v>8724.0</v>
      </c>
      <c r="T1028" s="4"/>
      <c r="U1028" s="4"/>
    </row>
    <row r="1029">
      <c r="A1029" s="4"/>
      <c r="B1029" s="17"/>
      <c r="C1029" s="4"/>
      <c r="D1029" s="4"/>
      <c r="E1029" s="4"/>
      <c r="F1029" s="4"/>
      <c r="G1029" s="17"/>
      <c r="H1029" s="4"/>
      <c r="I1029" s="4"/>
      <c r="J1029" s="4"/>
      <c r="K1029" s="14" t="s">
        <v>3244</v>
      </c>
      <c r="L1029" s="17">
        <f>IFERROR(__xludf.DUMMYFUNCTION("SPLIT(K:K, "" "")"),0.0870525532929493)</f>
        <v>0.08705255329</v>
      </c>
      <c r="M1029" s="4">
        <f>IFERROR(__xludf.DUMMYFUNCTION("""COMPUTED_VALUE"""),0.505306876158488)</f>
        <v>0.5053068762</v>
      </c>
      <c r="N1029" s="15">
        <v>5824.0</v>
      </c>
      <c r="O1029" s="4"/>
      <c r="P1029" s="14" t="s">
        <v>3245</v>
      </c>
      <c r="Q1029" s="17">
        <f>IFERROR(__xludf.DUMMYFUNCTION("SPLIT(P:P, "" "")"),0.0797596233622991)</f>
        <v>0.07975962336</v>
      </c>
      <c r="R1029" s="4">
        <f>IFERROR(__xludf.DUMMYFUNCTION("""COMPUTED_VALUE"""),0.360120735901153)</f>
        <v>0.3601207359</v>
      </c>
      <c r="S1029" s="15">
        <v>8736.0</v>
      </c>
      <c r="T1029" s="4"/>
      <c r="U1029" s="4"/>
    </row>
    <row r="1030">
      <c r="A1030" s="4"/>
      <c r="B1030" s="17"/>
      <c r="C1030" s="4"/>
      <c r="D1030" s="4"/>
      <c r="E1030" s="4"/>
      <c r="F1030" s="4"/>
      <c r="G1030" s="17"/>
      <c r="H1030" s="4"/>
      <c r="I1030" s="4"/>
      <c r="J1030" s="4"/>
      <c r="K1030" s="14" t="s">
        <v>3246</v>
      </c>
      <c r="L1030" s="17">
        <f>IFERROR(__xludf.DUMMYFUNCTION("SPLIT(K:K, "" "")"),0.0889619505278061)</f>
        <v>0.08896195053</v>
      </c>
      <c r="M1030" s="4">
        <f>IFERROR(__xludf.DUMMYFUNCTION("""COMPUTED_VALUE"""),0.505170053872083)</f>
        <v>0.5051700539</v>
      </c>
      <c r="N1030" s="15">
        <v>5832.0</v>
      </c>
      <c r="O1030" s="4"/>
      <c r="P1030" s="14" t="s">
        <v>3247</v>
      </c>
      <c r="Q1030" s="17">
        <f>IFERROR(__xludf.DUMMYFUNCTION("SPLIT(P:P, "" "")"),0.0803780855224908)</f>
        <v>0.08037808552</v>
      </c>
      <c r="R1030" s="4">
        <f>IFERROR(__xludf.DUMMYFUNCTION("""COMPUTED_VALUE"""),0.361114780478563)</f>
        <v>0.3611147805</v>
      </c>
      <c r="S1030" s="15">
        <v>8748.0</v>
      </c>
      <c r="T1030" s="4"/>
      <c r="U1030" s="4"/>
    </row>
    <row r="1031">
      <c r="A1031" s="4"/>
      <c r="B1031" s="17"/>
      <c r="C1031" s="4"/>
      <c r="D1031" s="4"/>
      <c r="E1031" s="4"/>
      <c r="F1031" s="4"/>
      <c r="G1031" s="17"/>
      <c r="H1031" s="4"/>
      <c r="I1031" s="4"/>
      <c r="J1031" s="4"/>
      <c r="K1031" s="14" t="s">
        <v>3248</v>
      </c>
      <c r="L1031" s="17">
        <f>IFERROR(__xludf.DUMMYFUNCTION("SPLIT(K:K, "" "")"),0.0904367735294591)</f>
        <v>0.09043677353</v>
      </c>
      <c r="M1031" s="4">
        <f>IFERROR(__xludf.DUMMYFUNCTION("""COMPUTED_VALUE"""),0.51121131755848)</f>
        <v>0.5112113176</v>
      </c>
      <c r="N1031" s="15">
        <v>5840.0</v>
      </c>
      <c r="O1031" s="4"/>
      <c r="P1031" s="14" t="s">
        <v>3249</v>
      </c>
      <c r="Q1031" s="17">
        <f>IFERROR(__xludf.DUMMYFUNCTION("SPLIT(P:P, "" "")"),0.0806373124615913)</f>
        <v>0.08063731246</v>
      </c>
      <c r="R1031" s="4">
        <f>IFERROR(__xludf.DUMMYFUNCTION("""COMPUTED_VALUE"""),0.358333530035158)</f>
        <v>0.35833353</v>
      </c>
      <c r="S1031" s="15">
        <v>8760.0</v>
      </c>
      <c r="T1031" s="4"/>
      <c r="U1031" s="4"/>
    </row>
    <row r="1032">
      <c r="A1032" s="4"/>
      <c r="B1032" s="17"/>
      <c r="C1032" s="4"/>
      <c r="D1032" s="4"/>
      <c r="E1032" s="4"/>
      <c r="F1032" s="4"/>
      <c r="G1032" s="17"/>
      <c r="H1032" s="4"/>
      <c r="I1032" s="4"/>
      <c r="J1032" s="4"/>
      <c r="K1032" s="14" t="s">
        <v>3250</v>
      </c>
      <c r="L1032" s="17">
        <f>IFERROR(__xludf.DUMMYFUNCTION("SPLIT(K:K, "" "")"),0.0893456609286097)</f>
        <v>0.08934566093</v>
      </c>
      <c r="M1032" s="4">
        <f>IFERROR(__xludf.DUMMYFUNCTION("""COMPUTED_VALUE"""),0.513086619881058)</f>
        <v>0.5130866199</v>
      </c>
      <c r="N1032" s="15">
        <v>5848.0</v>
      </c>
      <c r="O1032" s="4"/>
      <c r="P1032" s="14" t="s">
        <v>3251</v>
      </c>
      <c r="Q1032" s="17">
        <f>IFERROR(__xludf.DUMMYFUNCTION("SPLIT(P:P, "" "")"),0.0803742081627496)</f>
        <v>0.08037420816</v>
      </c>
      <c r="R1032" s="4">
        <f>IFERROR(__xludf.DUMMYFUNCTION("""COMPUTED_VALUE"""),0.367195326481569)</f>
        <v>0.3671953265</v>
      </c>
      <c r="S1032" s="15">
        <v>8772.0</v>
      </c>
      <c r="T1032" s="4"/>
      <c r="U1032" s="4"/>
    </row>
    <row r="1033">
      <c r="A1033" s="4"/>
      <c r="B1033" s="17"/>
      <c r="C1033" s="4"/>
      <c r="D1033" s="4"/>
      <c r="E1033" s="4"/>
      <c r="F1033" s="4"/>
      <c r="G1033" s="17"/>
      <c r="H1033" s="4"/>
      <c r="I1033" s="4"/>
      <c r="J1033" s="4"/>
      <c r="K1033" s="14" t="s">
        <v>3252</v>
      </c>
      <c r="L1033" s="17">
        <f>IFERROR(__xludf.DUMMYFUNCTION("SPLIT(K:K, "" "")"),0.0890048512355055)</f>
        <v>0.08900485124</v>
      </c>
      <c r="M1033" s="4">
        <f>IFERROR(__xludf.DUMMYFUNCTION("""COMPUTED_VALUE"""),0.507890956051796)</f>
        <v>0.5078909561</v>
      </c>
      <c r="N1033" s="15">
        <v>5856.0</v>
      </c>
      <c r="O1033" s="4"/>
      <c r="P1033" s="14" t="s">
        <v>3253</v>
      </c>
      <c r="Q1033" s="17">
        <f>IFERROR(__xludf.DUMMYFUNCTION("SPLIT(P:P, "" "")"),0.0798986175511865)</f>
        <v>0.07989861755</v>
      </c>
      <c r="R1033" s="4">
        <f>IFERROR(__xludf.DUMMYFUNCTION("""COMPUTED_VALUE"""),0.368476832146792)</f>
        <v>0.3684768321</v>
      </c>
      <c r="S1033" s="15">
        <v>8784.0</v>
      </c>
      <c r="T1033" s="4"/>
      <c r="U1033" s="4"/>
    </row>
    <row r="1034">
      <c r="A1034" s="4"/>
      <c r="B1034" s="17"/>
      <c r="C1034" s="4"/>
      <c r="D1034" s="4"/>
      <c r="E1034" s="4"/>
      <c r="F1034" s="4"/>
      <c r="G1034" s="17"/>
      <c r="H1034" s="4"/>
      <c r="I1034" s="4"/>
      <c r="J1034" s="4"/>
      <c r="K1034" s="14" t="s">
        <v>3254</v>
      </c>
      <c r="L1034" s="17">
        <f>IFERROR(__xludf.DUMMYFUNCTION("SPLIT(K:K, "" "")"),0.087977757363173)</f>
        <v>0.08797775736</v>
      </c>
      <c r="M1034" s="4">
        <f>IFERROR(__xludf.DUMMYFUNCTION("""COMPUTED_VALUE"""),0.502501731033725)</f>
        <v>0.502501731</v>
      </c>
      <c r="N1034" s="15">
        <v>5864.0</v>
      </c>
      <c r="O1034" s="4"/>
      <c r="P1034" s="14" t="s">
        <v>3255</v>
      </c>
      <c r="Q1034" s="17">
        <f>IFERROR(__xludf.DUMMYFUNCTION("SPLIT(P:P, "" "")"),0.0802149969222204)</f>
        <v>0.08021499692</v>
      </c>
      <c r="R1034" s="4">
        <f>IFERROR(__xludf.DUMMYFUNCTION("""COMPUTED_VALUE"""),0.360317055644469)</f>
        <v>0.3603170556</v>
      </c>
      <c r="S1034" s="15">
        <v>8796.0</v>
      </c>
      <c r="T1034" s="4"/>
      <c r="U1034" s="4"/>
    </row>
    <row r="1035">
      <c r="A1035" s="4"/>
      <c r="B1035" s="17"/>
      <c r="C1035" s="4"/>
      <c r="D1035" s="4"/>
      <c r="E1035" s="4"/>
      <c r="F1035" s="4"/>
      <c r="G1035" s="17"/>
      <c r="H1035" s="4"/>
      <c r="I1035" s="4"/>
      <c r="J1035" s="4"/>
      <c r="K1035" s="14" t="s">
        <v>3256</v>
      </c>
      <c r="L1035" s="17">
        <f>IFERROR(__xludf.DUMMYFUNCTION("SPLIT(K:K, "" "")"),0.0891214214833277)</f>
        <v>0.08912142148</v>
      </c>
      <c r="M1035" s="4">
        <f>IFERROR(__xludf.DUMMYFUNCTION("""COMPUTED_VALUE"""),0.507759339798209)</f>
        <v>0.5077593398</v>
      </c>
      <c r="N1035" s="15">
        <v>5872.0</v>
      </c>
      <c r="O1035" s="4"/>
      <c r="P1035" s="14" t="s">
        <v>3257</v>
      </c>
      <c r="Q1035" s="17">
        <f>IFERROR(__xludf.DUMMYFUNCTION("SPLIT(P:P, "" "")"),0.0795087618794938)</f>
        <v>0.07950876188</v>
      </c>
      <c r="R1035" s="4">
        <f>IFERROR(__xludf.DUMMYFUNCTION("""COMPUTED_VALUE"""),0.361200340454069)</f>
        <v>0.3612003405</v>
      </c>
      <c r="S1035" s="15">
        <v>8808.0</v>
      </c>
      <c r="T1035" s="4"/>
      <c r="U1035" s="4"/>
    </row>
    <row r="1036">
      <c r="A1036" s="4"/>
      <c r="B1036" s="17"/>
      <c r="C1036" s="4"/>
      <c r="D1036" s="4"/>
      <c r="E1036" s="4"/>
      <c r="F1036" s="4"/>
      <c r="G1036" s="17"/>
      <c r="H1036" s="4"/>
      <c r="I1036" s="4"/>
      <c r="J1036" s="4"/>
      <c r="K1036" s="14" t="s">
        <v>3258</v>
      </c>
      <c r="L1036" s="17">
        <f>IFERROR(__xludf.DUMMYFUNCTION("SPLIT(K:K, "" "")"),0.0886447447682577)</f>
        <v>0.08864474477</v>
      </c>
      <c r="M1036" s="4">
        <f>IFERROR(__xludf.DUMMYFUNCTION("""COMPUTED_VALUE"""),0.495697319140319)</f>
        <v>0.4956973191</v>
      </c>
      <c r="N1036" s="15">
        <v>5880.0</v>
      </c>
      <c r="O1036" s="4"/>
      <c r="P1036" s="14" t="s">
        <v>3259</v>
      </c>
      <c r="Q1036" s="17">
        <f>IFERROR(__xludf.DUMMYFUNCTION("SPLIT(P:P, "" "")"),0.0818859213952)</f>
        <v>0.0818859214</v>
      </c>
      <c r="R1036" s="4">
        <f>IFERROR(__xludf.DUMMYFUNCTION("""COMPUTED_VALUE"""),0.370039662923072)</f>
        <v>0.3700396629</v>
      </c>
      <c r="S1036" s="15">
        <v>8820.0</v>
      </c>
      <c r="T1036" s="4"/>
      <c r="U1036" s="4"/>
    </row>
    <row r="1037">
      <c r="A1037" s="4"/>
      <c r="B1037" s="17"/>
      <c r="C1037" s="4"/>
      <c r="D1037" s="4"/>
      <c r="E1037" s="4"/>
      <c r="F1037" s="4"/>
      <c r="G1037" s="17"/>
      <c r="H1037" s="4"/>
      <c r="I1037" s="4"/>
      <c r="J1037" s="4"/>
      <c r="K1037" s="14" t="s">
        <v>3260</v>
      </c>
      <c r="L1037" s="17">
        <f>IFERROR(__xludf.DUMMYFUNCTION("SPLIT(K:K, "" "")"),0.0894214324964872)</f>
        <v>0.0894214325</v>
      </c>
      <c r="M1037" s="4">
        <f>IFERROR(__xludf.DUMMYFUNCTION("""COMPUTED_VALUE"""),0.504683991604227)</f>
        <v>0.5046839916</v>
      </c>
      <c r="N1037" s="15">
        <v>5888.0</v>
      </c>
      <c r="O1037" s="4"/>
      <c r="P1037" s="14" t="s">
        <v>3261</v>
      </c>
      <c r="Q1037" s="17">
        <f>IFERROR(__xludf.DUMMYFUNCTION("SPLIT(P:P, "" "")"),0.0787369392512437)</f>
        <v>0.07873693925</v>
      </c>
      <c r="R1037" s="4">
        <f>IFERROR(__xludf.DUMMYFUNCTION("""COMPUTED_VALUE"""),0.36152720261985)</f>
        <v>0.3615272026</v>
      </c>
      <c r="S1037" s="15">
        <v>8832.0</v>
      </c>
      <c r="T1037" s="4"/>
      <c r="U1037" s="4"/>
    </row>
    <row r="1038">
      <c r="A1038" s="4"/>
      <c r="B1038" s="17"/>
      <c r="C1038" s="4"/>
      <c r="D1038" s="4"/>
      <c r="E1038" s="4"/>
      <c r="F1038" s="4"/>
      <c r="G1038" s="17"/>
      <c r="H1038" s="4"/>
      <c r="I1038" s="4"/>
      <c r="J1038" s="4"/>
      <c r="K1038" s="14" t="s">
        <v>3262</v>
      </c>
      <c r="L1038" s="17">
        <f>IFERROR(__xludf.DUMMYFUNCTION("SPLIT(K:K, "" "")"),0.0876044452777404)</f>
        <v>0.08760444528</v>
      </c>
      <c r="M1038" s="4">
        <f>IFERROR(__xludf.DUMMYFUNCTION("""COMPUTED_VALUE"""),0.50083987804094)</f>
        <v>0.500839878</v>
      </c>
      <c r="N1038" s="15">
        <v>5896.0</v>
      </c>
      <c r="O1038" s="4"/>
      <c r="P1038" s="14" t="s">
        <v>3263</v>
      </c>
      <c r="Q1038" s="17">
        <f>IFERROR(__xludf.DUMMYFUNCTION("SPLIT(P:P, "" "")"),0.0790121091602319)</f>
        <v>0.07901210916</v>
      </c>
      <c r="R1038" s="4">
        <f>IFERROR(__xludf.DUMMYFUNCTION("""COMPUTED_VALUE"""),0.363667588774401)</f>
        <v>0.3636675888</v>
      </c>
      <c r="S1038" s="15">
        <v>8844.0</v>
      </c>
      <c r="T1038" s="4"/>
      <c r="U1038" s="4"/>
    </row>
    <row r="1039">
      <c r="A1039" s="4"/>
      <c r="B1039" s="17"/>
      <c r="C1039" s="4"/>
      <c r="D1039" s="4"/>
      <c r="E1039" s="4"/>
      <c r="F1039" s="4"/>
      <c r="G1039" s="17"/>
      <c r="H1039" s="4"/>
      <c r="I1039" s="4"/>
      <c r="J1039" s="4"/>
      <c r="K1039" s="14" t="s">
        <v>3264</v>
      </c>
      <c r="L1039" s="17">
        <f>IFERROR(__xludf.DUMMYFUNCTION("SPLIT(K:K, "" "")"),0.0891831223392682)</f>
        <v>0.08918312234</v>
      </c>
      <c r="M1039" s="4">
        <f>IFERROR(__xludf.DUMMYFUNCTION("""COMPUTED_VALUE"""),0.5114898847192)</f>
        <v>0.5114898847</v>
      </c>
      <c r="N1039" s="15">
        <v>5904.0</v>
      </c>
      <c r="O1039" s="4"/>
      <c r="P1039" s="14" t="s">
        <v>3265</v>
      </c>
      <c r="Q1039" s="17">
        <f>IFERROR(__xludf.DUMMYFUNCTION("SPLIT(P:P, "" "")"),0.0813987319505618)</f>
        <v>0.08139873195</v>
      </c>
      <c r="R1039" s="4">
        <f>IFERROR(__xludf.DUMMYFUNCTION("""COMPUTED_VALUE"""),0.366398533991088)</f>
        <v>0.366398534</v>
      </c>
      <c r="S1039" s="15">
        <v>8856.0</v>
      </c>
      <c r="T1039" s="4"/>
      <c r="U1039" s="4"/>
    </row>
    <row r="1040">
      <c r="A1040" s="4"/>
      <c r="B1040" s="17"/>
      <c r="C1040" s="4"/>
      <c r="D1040" s="4"/>
      <c r="E1040" s="4"/>
      <c r="F1040" s="4"/>
      <c r="G1040" s="17"/>
      <c r="H1040" s="4"/>
      <c r="I1040" s="4"/>
      <c r="J1040" s="4"/>
      <c r="K1040" s="14" t="s">
        <v>3266</v>
      </c>
      <c r="L1040" s="17">
        <f>IFERROR(__xludf.DUMMYFUNCTION("SPLIT(K:K, "" "")"),0.0877296554240287)</f>
        <v>0.08772965542</v>
      </c>
      <c r="M1040" s="4">
        <f>IFERROR(__xludf.DUMMYFUNCTION("""COMPUTED_VALUE"""),0.509662014945957)</f>
        <v>0.5096620149</v>
      </c>
      <c r="N1040" s="15">
        <v>5912.0</v>
      </c>
      <c r="O1040" s="4"/>
      <c r="P1040" s="14" t="s">
        <v>3267</v>
      </c>
      <c r="Q1040" s="17">
        <f>IFERROR(__xludf.DUMMYFUNCTION("SPLIT(P:P, "" "")"),0.0801271504467564)</f>
        <v>0.08012715045</v>
      </c>
      <c r="R1040" s="4">
        <f>IFERROR(__xludf.DUMMYFUNCTION("""COMPUTED_VALUE"""),0.365174137462998)</f>
        <v>0.3651741375</v>
      </c>
      <c r="S1040" s="15">
        <v>8868.0</v>
      </c>
      <c r="T1040" s="4"/>
      <c r="U1040" s="4"/>
    </row>
    <row r="1041">
      <c r="A1041" s="4"/>
      <c r="B1041" s="17"/>
      <c r="C1041" s="4"/>
      <c r="D1041" s="4"/>
      <c r="E1041" s="4"/>
      <c r="F1041" s="4"/>
      <c r="G1041" s="17"/>
      <c r="H1041" s="4"/>
      <c r="I1041" s="4"/>
      <c r="J1041" s="4"/>
      <c r="K1041" s="14" t="s">
        <v>3268</v>
      </c>
      <c r="L1041" s="17">
        <f>IFERROR(__xludf.DUMMYFUNCTION("SPLIT(K:K, "" "")"),0.08607854224648)</f>
        <v>0.08607854225</v>
      </c>
      <c r="M1041" s="4">
        <f>IFERROR(__xludf.DUMMYFUNCTION("""COMPUTED_VALUE"""),0.503068585862915)</f>
        <v>0.5030685859</v>
      </c>
      <c r="N1041" s="15">
        <v>5920.0</v>
      </c>
      <c r="O1041" s="4"/>
      <c r="P1041" s="14" t="s">
        <v>3269</v>
      </c>
      <c r="Q1041" s="17">
        <f>IFERROR(__xludf.DUMMYFUNCTION("SPLIT(P:P, "" "")"),0.082461464177366)</f>
        <v>0.08246146418</v>
      </c>
      <c r="R1041" s="4">
        <f>IFERROR(__xludf.DUMMYFUNCTION("""COMPUTED_VALUE"""),0.364383764166991)</f>
        <v>0.3643837642</v>
      </c>
      <c r="S1041" s="15">
        <v>8880.0</v>
      </c>
      <c r="T1041" s="4"/>
      <c r="U1041" s="4"/>
    </row>
    <row r="1042">
      <c r="A1042" s="4"/>
      <c r="B1042" s="17"/>
      <c r="C1042" s="4"/>
      <c r="D1042" s="4"/>
      <c r="E1042" s="4"/>
      <c r="F1042" s="4"/>
      <c r="G1042" s="17"/>
      <c r="H1042" s="4"/>
      <c r="I1042" s="4"/>
      <c r="J1042" s="4"/>
      <c r="K1042" s="14" t="s">
        <v>3270</v>
      </c>
      <c r="L1042" s="17">
        <f>IFERROR(__xludf.DUMMYFUNCTION("SPLIT(K:K, "" "")"),0.0896152407333689)</f>
        <v>0.08961524073</v>
      </c>
      <c r="M1042" s="4">
        <f>IFERROR(__xludf.DUMMYFUNCTION("""COMPUTED_VALUE"""),0.504891041156913)</f>
        <v>0.5048910412</v>
      </c>
      <c r="N1042" s="15">
        <v>5928.0</v>
      </c>
      <c r="O1042" s="4"/>
      <c r="P1042" s="14" t="s">
        <v>3271</v>
      </c>
      <c r="Q1042" s="17">
        <f>IFERROR(__xludf.DUMMYFUNCTION("SPLIT(P:P, "" "")"),0.0795744607418421)</f>
        <v>0.07957446074</v>
      </c>
      <c r="R1042" s="4">
        <f>IFERROR(__xludf.DUMMYFUNCTION("""COMPUTED_VALUE"""),0.36148822179858)</f>
        <v>0.3614882218</v>
      </c>
      <c r="S1042" s="15">
        <v>8892.0</v>
      </c>
      <c r="T1042" s="4"/>
      <c r="U1042" s="4"/>
    </row>
    <row r="1043">
      <c r="A1043" s="4"/>
      <c r="B1043" s="17"/>
      <c r="C1043" s="4"/>
      <c r="D1043" s="4"/>
      <c r="E1043" s="4"/>
      <c r="F1043" s="4"/>
      <c r="G1043" s="17"/>
      <c r="H1043" s="4"/>
      <c r="I1043" s="4"/>
      <c r="J1043" s="4"/>
      <c r="K1043" s="14" t="s">
        <v>3272</v>
      </c>
      <c r="L1043" s="17">
        <f>IFERROR(__xludf.DUMMYFUNCTION("SPLIT(K:K, "" "")"),0.0865654994477557)</f>
        <v>0.08656549945</v>
      </c>
      <c r="M1043" s="4">
        <f>IFERROR(__xludf.DUMMYFUNCTION("""COMPUTED_VALUE"""),0.501049405785849)</f>
        <v>0.5010494058</v>
      </c>
      <c r="N1043" s="15">
        <v>5936.0</v>
      </c>
      <c r="O1043" s="4"/>
      <c r="P1043" s="14" t="s">
        <v>3273</v>
      </c>
      <c r="Q1043" s="17">
        <f>IFERROR(__xludf.DUMMYFUNCTION("SPLIT(P:P, "" "")"),0.0804626452220382)</f>
        <v>0.08046264522</v>
      </c>
      <c r="R1043" s="4">
        <f>IFERROR(__xludf.DUMMYFUNCTION("""COMPUTED_VALUE"""),0.364279671871686)</f>
        <v>0.3642796719</v>
      </c>
      <c r="S1043" s="15">
        <v>8904.0</v>
      </c>
      <c r="T1043" s="4"/>
      <c r="U1043" s="4"/>
    </row>
    <row r="1044">
      <c r="A1044" s="4"/>
      <c r="B1044" s="17"/>
      <c r="C1044" s="4"/>
      <c r="D1044" s="4"/>
      <c r="E1044" s="4"/>
      <c r="F1044" s="4"/>
      <c r="G1044" s="17"/>
      <c r="H1044" s="4"/>
      <c r="I1044" s="4"/>
      <c r="J1044" s="4"/>
      <c r="K1044" s="14" t="s">
        <v>3274</v>
      </c>
      <c r="L1044" s="17">
        <f>IFERROR(__xludf.DUMMYFUNCTION("SPLIT(K:K, "" "")"),0.0861309265845528)</f>
        <v>0.08613092658</v>
      </c>
      <c r="M1044" s="4">
        <f>IFERROR(__xludf.DUMMYFUNCTION("""COMPUTED_VALUE"""),0.501819973538761)</f>
        <v>0.5018199735</v>
      </c>
      <c r="N1044" s="15">
        <v>5944.0</v>
      </c>
      <c r="O1044" s="4"/>
      <c r="P1044" s="14" t="s">
        <v>3275</v>
      </c>
      <c r="Q1044" s="17">
        <f>IFERROR(__xludf.DUMMYFUNCTION("SPLIT(P:P, "" "")"),0.0807956334015435)</f>
        <v>0.0807956334</v>
      </c>
      <c r="R1044" s="4">
        <f>IFERROR(__xludf.DUMMYFUNCTION("""COMPUTED_VALUE"""),0.368583980641389)</f>
        <v>0.3685839806</v>
      </c>
      <c r="S1044" s="15">
        <v>8916.0</v>
      </c>
      <c r="T1044" s="4"/>
      <c r="U1044" s="4"/>
    </row>
    <row r="1045">
      <c r="A1045" s="4"/>
      <c r="B1045" s="17"/>
      <c r="C1045" s="4"/>
      <c r="D1045" s="4"/>
      <c r="E1045" s="4"/>
      <c r="F1045" s="4"/>
      <c r="G1045" s="17"/>
      <c r="H1045" s="4"/>
      <c r="I1045" s="4"/>
      <c r="J1045" s="4"/>
      <c r="K1045" s="14" t="s">
        <v>3276</v>
      </c>
      <c r="L1045" s="17">
        <f>IFERROR(__xludf.DUMMYFUNCTION("SPLIT(K:K, "" "")"),0.0888522949309026)</f>
        <v>0.08885229493</v>
      </c>
      <c r="M1045" s="4">
        <f>IFERROR(__xludf.DUMMYFUNCTION("""COMPUTED_VALUE"""),0.502608478547151)</f>
        <v>0.5026084785</v>
      </c>
      <c r="N1045" s="15">
        <v>5952.0</v>
      </c>
      <c r="O1045" s="4"/>
      <c r="P1045" s="14" t="s">
        <v>3277</v>
      </c>
      <c r="Q1045" s="17">
        <f>IFERROR(__xludf.DUMMYFUNCTION("SPLIT(P:P, "" "")"),0.0794810939863955)</f>
        <v>0.07948109399</v>
      </c>
      <c r="R1045" s="4">
        <f>IFERROR(__xludf.DUMMYFUNCTION("""COMPUTED_VALUE"""),0.368892472039004)</f>
        <v>0.368892472</v>
      </c>
      <c r="S1045" s="15">
        <v>8928.0</v>
      </c>
      <c r="T1045" s="4"/>
      <c r="U1045" s="4"/>
    </row>
    <row r="1046">
      <c r="A1046" s="4"/>
      <c r="B1046" s="17"/>
      <c r="C1046" s="4"/>
      <c r="D1046" s="4"/>
      <c r="E1046" s="4"/>
      <c r="F1046" s="4"/>
      <c r="G1046" s="17"/>
      <c r="H1046" s="4"/>
      <c r="I1046" s="4"/>
      <c r="J1046" s="4"/>
      <c r="K1046" s="14" t="s">
        <v>3278</v>
      </c>
      <c r="L1046" s="17">
        <f>IFERROR(__xludf.DUMMYFUNCTION("SPLIT(K:K, "" "")"),0.0939334376876854)</f>
        <v>0.09393343769</v>
      </c>
      <c r="M1046" s="4">
        <f>IFERROR(__xludf.DUMMYFUNCTION("""COMPUTED_VALUE"""),0.512491014651468)</f>
        <v>0.5124910147</v>
      </c>
      <c r="N1046" s="15">
        <v>5960.0</v>
      </c>
      <c r="O1046" s="4"/>
      <c r="P1046" s="14" t="s">
        <v>3279</v>
      </c>
      <c r="Q1046" s="17">
        <f>IFERROR(__xludf.DUMMYFUNCTION("SPLIT(P:P, "" "")"),0.0792041466108914)</f>
        <v>0.07920414661</v>
      </c>
      <c r="R1046" s="4">
        <f>IFERROR(__xludf.DUMMYFUNCTION("""COMPUTED_VALUE"""),0.368627545852467)</f>
        <v>0.3686275459</v>
      </c>
      <c r="S1046" s="15">
        <v>8940.0</v>
      </c>
      <c r="T1046" s="4"/>
      <c r="U1046" s="4"/>
    </row>
    <row r="1047">
      <c r="A1047" s="4"/>
      <c r="B1047" s="17"/>
      <c r="C1047" s="4"/>
      <c r="D1047" s="4"/>
      <c r="E1047" s="4"/>
      <c r="F1047" s="4"/>
      <c r="G1047" s="17"/>
      <c r="H1047" s="4"/>
      <c r="I1047" s="4"/>
      <c r="J1047" s="4"/>
      <c r="K1047" s="14" t="s">
        <v>3280</v>
      </c>
      <c r="L1047" s="17">
        <f>IFERROR(__xludf.DUMMYFUNCTION("SPLIT(K:K, "" "")"),0.0862442250649574)</f>
        <v>0.08624422506</v>
      </c>
      <c r="M1047" s="4">
        <f>IFERROR(__xludf.DUMMYFUNCTION("""COMPUTED_VALUE"""),0.498816603354005)</f>
        <v>0.4988166034</v>
      </c>
      <c r="N1047" s="15">
        <v>5968.0</v>
      </c>
      <c r="O1047" s="4"/>
      <c r="P1047" s="14" t="s">
        <v>3281</v>
      </c>
      <c r="Q1047" s="17">
        <f>IFERROR(__xludf.DUMMYFUNCTION("SPLIT(P:P, "" "")"),0.0808957476996286)</f>
        <v>0.0808957477</v>
      </c>
      <c r="R1047" s="4">
        <f>IFERROR(__xludf.DUMMYFUNCTION("""COMPUTED_VALUE"""),0.365886747526929)</f>
        <v>0.3658867475</v>
      </c>
      <c r="S1047" s="15">
        <v>8952.0</v>
      </c>
      <c r="T1047" s="4"/>
      <c r="U1047" s="4"/>
    </row>
    <row r="1048">
      <c r="A1048" s="4"/>
      <c r="B1048" s="17"/>
      <c r="C1048" s="4"/>
      <c r="D1048" s="4"/>
      <c r="E1048" s="4"/>
      <c r="F1048" s="4"/>
      <c r="G1048" s="17"/>
      <c r="H1048" s="4"/>
      <c r="I1048" s="4"/>
      <c r="J1048" s="4"/>
      <c r="K1048" s="14" t="s">
        <v>3282</v>
      </c>
      <c r="L1048" s="17">
        <f>IFERROR(__xludf.DUMMYFUNCTION("SPLIT(K:K, "" "")"),0.0875956531064)</f>
        <v>0.08759565311</v>
      </c>
      <c r="M1048" s="4">
        <f>IFERROR(__xludf.DUMMYFUNCTION("""COMPUTED_VALUE"""),0.503008206333488)</f>
        <v>0.5030082063</v>
      </c>
      <c r="N1048" s="15">
        <v>5976.0</v>
      </c>
      <c r="O1048" s="4"/>
      <c r="P1048" s="14" t="s">
        <v>3283</v>
      </c>
      <c r="Q1048" s="17">
        <f>IFERROR(__xludf.DUMMYFUNCTION("SPLIT(P:P, "" "")"),0.0795322839681509)</f>
        <v>0.07953228397</v>
      </c>
      <c r="R1048" s="4">
        <f>IFERROR(__xludf.DUMMYFUNCTION("""COMPUTED_VALUE"""),0.365320801506941)</f>
        <v>0.3653208015</v>
      </c>
      <c r="S1048" s="15">
        <v>8964.0</v>
      </c>
      <c r="T1048" s="4"/>
      <c r="U1048" s="4"/>
    </row>
    <row r="1049">
      <c r="A1049" s="4"/>
      <c r="B1049" s="17"/>
      <c r="C1049" s="4"/>
      <c r="D1049" s="4"/>
      <c r="E1049" s="4"/>
      <c r="F1049" s="4"/>
      <c r="G1049" s="17"/>
      <c r="H1049" s="4"/>
      <c r="I1049" s="4"/>
      <c r="J1049" s="4"/>
      <c r="K1049" s="14" t="s">
        <v>3284</v>
      </c>
      <c r="L1049" s="17">
        <f>IFERROR(__xludf.DUMMYFUNCTION("SPLIT(K:K, "" "")"),0.0881362925163206)</f>
        <v>0.08813629252</v>
      </c>
      <c r="M1049" s="4">
        <f>IFERROR(__xludf.DUMMYFUNCTION("""COMPUTED_VALUE"""),0.512003813124966)</f>
        <v>0.5120038131</v>
      </c>
      <c r="N1049" s="15">
        <v>5984.0</v>
      </c>
      <c r="O1049" s="4"/>
      <c r="P1049" s="14" t="s">
        <v>3285</v>
      </c>
      <c r="Q1049" s="17">
        <f>IFERROR(__xludf.DUMMYFUNCTION("SPLIT(P:P, "" "")"),0.0783647128563527)</f>
        <v>0.07836471286</v>
      </c>
      <c r="R1049" s="4">
        <f>IFERROR(__xludf.DUMMYFUNCTION("""COMPUTED_VALUE"""),0.363825539166963)</f>
        <v>0.3638255392</v>
      </c>
      <c r="S1049" s="15">
        <v>8976.0</v>
      </c>
      <c r="T1049" s="4"/>
      <c r="U1049" s="4"/>
    </row>
    <row r="1050">
      <c r="A1050" s="4"/>
      <c r="B1050" s="17"/>
      <c r="C1050" s="4"/>
      <c r="D1050" s="4"/>
      <c r="E1050" s="4"/>
      <c r="F1050" s="4"/>
      <c r="G1050" s="17"/>
      <c r="H1050" s="4"/>
      <c r="I1050" s="4"/>
      <c r="J1050" s="4"/>
      <c r="K1050" s="14" t="s">
        <v>3286</v>
      </c>
      <c r="L1050" s="17">
        <f>IFERROR(__xludf.DUMMYFUNCTION("SPLIT(K:K, "" "")"),0.0868323970317103)</f>
        <v>0.08683239703</v>
      </c>
      <c r="M1050" s="4">
        <f>IFERROR(__xludf.DUMMYFUNCTION("""COMPUTED_VALUE"""),0.508633293412327)</f>
        <v>0.5086332934</v>
      </c>
      <c r="N1050" s="15">
        <v>5992.0</v>
      </c>
      <c r="O1050" s="4"/>
      <c r="P1050" s="14" t="s">
        <v>3287</v>
      </c>
      <c r="Q1050" s="17">
        <f>IFERROR(__xludf.DUMMYFUNCTION("SPLIT(P:P, "" "")"),0.0815974026825501)</f>
        <v>0.08159740268</v>
      </c>
      <c r="R1050" s="4">
        <f>IFERROR(__xludf.DUMMYFUNCTION("""COMPUTED_VALUE"""),0.368146008394)</f>
        <v>0.3681460084</v>
      </c>
      <c r="S1050" s="15">
        <v>8988.0</v>
      </c>
      <c r="T1050" s="4"/>
      <c r="U1050" s="4"/>
    </row>
    <row r="1051">
      <c r="A1051" s="4"/>
      <c r="B1051" s="17"/>
      <c r="C1051" s="4"/>
      <c r="D1051" s="4"/>
      <c r="E1051" s="4"/>
      <c r="F1051" s="4"/>
      <c r="G1051" s="17"/>
      <c r="H1051" s="4"/>
      <c r="I1051" s="4"/>
      <c r="J1051" s="4"/>
      <c r="K1051" s="14" t="s">
        <v>3288</v>
      </c>
      <c r="L1051" s="17">
        <f>IFERROR(__xludf.DUMMYFUNCTION("SPLIT(K:K, "" "")"),0.0861613610926784)</f>
        <v>0.08616136109</v>
      </c>
      <c r="M1051" s="4">
        <f>IFERROR(__xludf.DUMMYFUNCTION("""COMPUTED_VALUE"""),0.499542496753931)</f>
        <v>0.4995424968</v>
      </c>
      <c r="N1051" s="15">
        <v>6000.0</v>
      </c>
      <c r="O1051" s="4"/>
      <c r="P1051" s="14" t="s">
        <v>3289</v>
      </c>
      <c r="Q1051" s="17">
        <f>IFERROR(__xludf.DUMMYFUNCTION("SPLIT(P:P, "" "")"),0.0784907425697493)</f>
        <v>0.07849074257</v>
      </c>
      <c r="R1051" s="4">
        <f>IFERROR(__xludf.DUMMYFUNCTION("""COMPUTED_VALUE"""),0.357887281040784)</f>
        <v>0.357887281</v>
      </c>
      <c r="S1051" s="15">
        <v>9000.0</v>
      </c>
      <c r="T1051" s="4"/>
      <c r="U1051" s="4"/>
    </row>
    <row r="1052">
      <c r="A1052" s="4"/>
      <c r="B1052" s="17"/>
      <c r="C1052" s="4"/>
      <c r="D1052" s="4"/>
      <c r="E1052" s="4"/>
      <c r="F1052" s="4"/>
      <c r="G1052" s="17"/>
      <c r="H1052" s="4"/>
      <c r="I1052" s="4"/>
      <c r="J1052" s="4"/>
      <c r="K1052" s="14" t="s">
        <v>3290</v>
      </c>
      <c r="L1052" s="17">
        <f>IFERROR(__xludf.DUMMYFUNCTION("SPLIT(K:K, "" "")"),0.0891506225540132)</f>
        <v>0.08915062255</v>
      </c>
      <c r="M1052" s="4">
        <f>IFERROR(__xludf.DUMMYFUNCTION("""COMPUTED_VALUE"""),0.510657364103887)</f>
        <v>0.5106573641</v>
      </c>
      <c r="N1052" s="15">
        <v>6008.0</v>
      </c>
      <c r="O1052" s="4"/>
      <c r="P1052" s="14" t="s">
        <v>3291</v>
      </c>
      <c r="Q1052" s="17">
        <f>IFERROR(__xludf.DUMMYFUNCTION("SPLIT(P:P, "" "")"),0.0801114558325512)</f>
        <v>0.08011145583</v>
      </c>
      <c r="R1052" s="4">
        <f>IFERROR(__xludf.DUMMYFUNCTION("""COMPUTED_VALUE"""),0.365706197220213)</f>
        <v>0.3657061972</v>
      </c>
      <c r="S1052" s="15">
        <v>9012.0</v>
      </c>
      <c r="T1052" s="4"/>
      <c r="U1052" s="4"/>
    </row>
    <row r="1053">
      <c r="A1053" s="4"/>
      <c r="B1053" s="17"/>
      <c r="C1053" s="4"/>
      <c r="D1053" s="4"/>
      <c r="E1053" s="4"/>
      <c r="F1053" s="4"/>
      <c r="G1053" s="17"/>
      <c r="H1053" s="4"/>
      <c r="I1053" s="4"/>
      <c r="J1053" s="4"/>
      <c r="K1053" s="14" t="s">
        <v>3292</v>
      </c>
      <c r="L1053" s="17">
        <f>IFERROR(__xludf.DUMMYFUNCTION("SPLIT(K:K, "" "")"),0.0915469611218824)</f>
        <v>0.09154696112</v>
      </c>
      <c r="M1053" s="4">
        <f>IFERROR(__xludf.DUMMYFUNCTION("""COMPUTED_VALUE"""),0.506863007731888)</f>
        <v>0.5068630077</v>
      </c>
      <c r="N1053" s="15">
        <v>6016.0</v>
      </c>
      <c r="O1053" s="4"/>
      <c r="P1053" s="14" t="s">
        <v>3293</v>
      </c>
      <c r="Q1053" s="17">
        <f>IFERROR(__xludf.DUMMYFUNCTION("SPLIT(P:P, "" "")"),0.0782065286871779)</f>
        <v>0.07820652869</v>
      </c>
      <c r="R1053" s="4">
        <f>IFERROR(__xludf.DUMMYFUNCTION("""COMPUTED_VALUE"""),0.364691768112364)</f>
        <v>0.3646917681</v>
      </c>
      <c r="S1053" s="15">
        <v>9024.0</v>
      </c>
      <c r="T1053" s="4"/>
      <c r="U1053" s="4"/>
    </row>
    <row r="1054">
      <c r="A1054" s="4"/>
      <c r="B1054" s="17"/>
      <c r="C1054" s="4"/>
      <c r="D1054" s="4"/>
      <c r="E1054" s="4"/>
      <c r="F1054" s="4"/>
      <c r="G1054" s="17"/>
      <c r="H1054" s="4"/>
      <c r="I1054" s="4"/>
      <c r="J1054" s="4"/>
      <c r="K1054" s="14" t="s">
        <v>3294</v>
      </c>
      <c r="L1054" s="17">
        <f>IFERROR(__xludf.DUMMYFUNCTION("SPLIT(K:K, "" "")"),0.0858340423754245)</f>
        <v>0.08583404238</v>
      </c>
      <c r="M1054" s="4">
        <f>IFERROR(__xludf.DUMMYFUNCTION("""COMPUTED_VALUE"""),0.504373640261654)</f>
        <v>0.5043736403</v>
      </c>
      <c r="N1054" s="15">
        <v>6024.0</v>
      </c>
      <c r="O1054" s="4"/>
      <c r="P1054" s="14" t="s">
        <v>3295</v>
      </c>
      <c r="Q1054" s="17">
        <f>IFERROR(__xludf.DUMMYFUNCTION("SPLIT(P:P, "" "")"),0.0781478401347487)</f>
        <v>0.07814784013</v>
      </c>
      <c r="R1054" s="4">
        <f>IFERROR(__xludf.DUMMYFUNCTION("""COMPUTED_VALUE"""),0.362016921840277)</f>
        <v>0.3620169218</v>
      </c>
      <c r="S1054" s="15">
        <v>9036.0</v>
      </c>
      <c r="T1054" s="4"/>
      <c r="U1054" s="4"/>
    </row>
    <row r="1055">
      <c r="A1055" s="4"/>
      <c r="B1055" s="17"/>
      <c r="C1055" s="4"/>
      <c r="D1055" s="4"/>
      <c r="E1055" s="4"/>
      <c r="F1055" s="4"/>
      <c r="G1055" s="17"/>
      <c r="H1055" s="4"/>
      <c r="I1055" s="4"/>
      <c r="J1055" s="4"/>
      <c r="K1055" s="14" t="s">
        <v>3296</v>
      </c>
      <c r="L1055" s="17">
        <f>IFERROR(__xludf.DUMMYFUNCTION("SPLIT(K:K, "" "")"),0.0855928622584282)</f>
        <v>0.08559286226</v>
      </c>
      <c r="M1055" s="4">
        <f>IFERROR(__xludf.DUMMYFUNCTION("""COMPUTED_VALUE"""),0.510335668792553)</f>
        <v>0.5103356688</v>
      </c>
      <c r="N1055" s="15">
        <v>6032.0</v>
      </c>
      <c r="O1055" s="4"/>
      <c r="P1055" s="14" t="s">
        <v>3297</v>
      </c>
      <c r="Q1055" s="17">
        <f>IFERROR(__xludf.DUMMYFUNCTION("SPLIT(P:P, "" "")"),0.0789723500269709)</f>
        <v>0.07897235003</v>
      </c>
      <c r="R1055" s="4">
        <f>IFERROR(__xludf.DUMMYFUNCTION("""COMPUTED_VALUE"""),0.364585927102121)</f>
        <v>0.3645859271</v>
      </c>
      <c r="S1055" s="15">
        <v>9048.0</v>
      </c>
      <c r="T1055" s="4"/>
      <c r="U1055" s="4"/>
    </row>
    <row r="1056">
      <c r="A1056" s="4"/>
      <c r="B1056" s="17"/>
      <c r="C1056" s="4"/>
      <c r="D1056" s="4"/>
      <c r="E1056" s="4"/>
      <c r="F1056" s="4"/>
      <c r="G1056" s="17"/>
      <c r="H1056" s="4"/>
      <c r="I1056" s="4"/>
      <c r="J1056" s="4"/>
      <c r="K1056" s="14" t="s">
        <v>3298</v>
      </c>
      <c r="L1056" s="17">
        <f>IFERROR(__xludf.DUMMYFUNCTION("SPLIT(K:K, "" "")"),0.0867078552931341)</f>
        <v>0.08670785529</v>
      </c>
      <c r="M1056" s="4">
        <f>IFERROR(__xludf.DUMMYFUNCTION("""COMPUTED_VALUE"""),0.505150204234631)</f>
        <v>0.5051502042</v>
      </c>
      <c r="N1056" s="15">
        <v>6040.0</v>
      </c>
      <c r="O1056" s="4"/>
      <c r="P1056" s="14" t="s">
        <v>3299</v>
      </c>
      <c r="Q1056" s="17">
        <f>IFERROR(__xludf.DUMMYFUNCTION("SPLIT(P:P, "" "")"),0.079888994309546)</f>
        <v>0.07988899431</v>
      </c>
      <c r="R1056" s="4">
        <f>IFERROR(__xludf.DUMMYFUNCTION("""COMPUTED_VALUE"""),0.365227542397614)</f>
        <v>0.3652275424</v>
      </c>
      <c r="S1056" s="15">
        <v>9060.0</v>
      </c>
      <c r="T1056" s="4"/>
      <c r="U1056" s="4"/>
    </row>
    <row r="1057">
      <c r="A1057" s="4"/>
      <c r="B1057" s="17"/>
      <c r="C1057" s="4"/>
      <c r="D1057" s="4"/>
      <c r="E1057" s="4"/>
      <c r="F1057" s="4"/>
      <c r="G1057" s="17"/>
      <c r="H1057" s="4"/>
      <c r="I1057" s="4"/>
      <c r="J1057" s="4"/>
      <c r="K1057" s="14" t="s">
        <v>3300</v>
      </c>
      <c r="L1057" s="17">
        <f>IFERROR(__xludf.DUMMYFUNCTION("SPLIT(K:K, "" "")"),0.0896119159121963)</f>
        <v>0.08961191591</v>
      </c>
      <c r="M1057" s="4">
        <f>IFERROR(__xludf.DUMMYFUNCTION("""COMPUTED_VALUE"""),0.52170426198188)</f>
        <v>0.521704262</v>
      </c>
      <c r="N1057" s="15">
        <v>6048.0</v>
      </c>
      <c r="O1057" s="4"/>
      <c r="P1057" s="14" t="s">
        <v>3301</v>
      </c>
      <c r="Q1057" s="17">
        <f>IFERROR(__xludf.DUMMYFUNCTION("SPLIT(P:P, "" "")"),0.079998938545255)</f>
        <v>0.07999893855</v>
      </c>
      <c r="R1057" s="4">
        <f>IFERROR(__xludf.DUMMYFUNCTION("""COMPUTED_VALUE"""),0.360442282029446)</f>
        <v>0.360442282</v>
      </c>
      <c r="S1057" s="15">
        <v>9072.0</v>
      </c>
      <c r="T1057" s="4"/>
      <c r="U1057" s="4"/>
    </row>
    <row r="1058">
      <c r="A1058" s="4"/>
      <c r="B1058" s="17"/>
      <c r="C1058" s="4"/>
      <c r="D1058" s="4"/>
      <c r="E1058" s="4"/>
      <c r="F1058" s="4"/>
      <c r="G1058" s="17"/>
      <c r="H1058" s="4"/>
      <c r="I1058" s="4"/>
      <c r="J1058" s="4"/>
      <c r="K1058" s="14" t="s">
        <v>3302</v>
      </c>
      <c r="L1058" s="17">
        <f>IFERROR(__xludf.DUMMYFUNCTION("SPLIT(K:K, "" "")"),0.094888706833214)</f>
        <v>0.09488870683</v>
      </c>
      <c r="M1058" s="4">
        <f>IFERROR(__xludf.DUMMYFUNCTION("""COMPUTED_VALUE"""),0.519999264426048)</f>
        <v>0.5199992644</v>
      </c>
      <c r="N1058" s="15">
        <v>6056.0</v>
      </c>
      <c r="O1058" s="4"/>
      <c r="P1058" s="14" t="s">
        <v>3303</v>
      </c>
      <c r="Q1058" s="17">
        <f>IFERROR(__xludf.DUMMYFUNCTION("SPLIT(P:P, "" "")"),0.0786925529197793)</f>
        <v>0.07869255292</v>
      </c>
      <c r="R1058" s="4">
        <f>IFERROR(__xludf.DUMMYFUNCTION("""COMPUTED_VALUE"""),0.360283759853428)</f>
        <v>0.3602837599</v>
      </c>
      <c r="S1058" s="15">
        <v>9084.0</v>
      </c>
      <c r="T1058" s="4"/>
      <c r="U1058" s="4"/>
    </row>
    <row r="1059">
      <c r="A1059" s="4"/>
      <c r="B1059" s="17"/>
      <c r="C1059" s="4"/>
      <c r="D1059" s="4"/>
      <c r="E1059" s="4"/>
      <c r="F1059" s="4"/>
      <c r="G1059" s="17"/>
      <c r="H1059" s="4"/>
      <c r="I1059" s="4"/>
      <c r="J1059" s="4"/>
      <c r="K1059" s="14" t="s">
        <v>3304</v>
      </c>
      <c r="L1059" s="17">
        <f>IFERROR(__xludf.DUMMYFUNCTION("SPLIT(K:K, "" "")"),0.0884904089711045)</f>
        <v>0.08849040897</v>
      </c>
      <c r="M1059" s="4">
        <f>IFERROR(__xludf.DUMMYFUNCTION("""COMPUTED_VALUE"""),0.509786428304495)</f>
        <v>0.5097864283</v>
      </c>
      <c r="N1059" s="15">
        <v>6064.0</v>
      </c>
      <c r="O1059" s="4"/>
      <c r="P1059" s="14" t="s">
        <v>3305</v>
      </c>
      <c r="Q1059" s="17">
        <f>IFERROR(__xludf.DUMMYFUNCTION("SPLIT(P:P, "" "")"),0.0836372268211261)</f>
        <v>0.08363722682</v>
      </c>
      <c r="R1059" s="4">
        <f>IFERROR(__xludf.DUMMYFUNCTION("""COMPUTED_VALUE"""),0.370137711226832)</f>
        <v>0.3701377112</v>
      </c>
      <c r="S1059" s="15">
        <v>9096.0</v>
      </c>
      <c r="T1059" s="4"/>
      <c r="U1059" s="4"/>
    </row>
    <row r="1060">
      <c r="A1060" s="4"/>
      <c r="B1060" s="17"/>
      <c r="C1060" s="4"/>
      <c r="D1060" s="4"/>
      <c r="E1060" s="4"/>
      <c r="F1060" s="4"/>
      <c r="G1060" s="17"/>
      <c r="H1060" s="4"/>
      <c r="I1060" s="4"/>
      <c r="J1060" s="4"/>
      <c r="K1060" s="14" t="s">
        <v>3306</v>
      </c>
      <c r="L1060" s="17">
        <f>IFERROR(__xludf.DUMMYFUNCTION("SPLIT(K:K, "" "")"),0.0842940429904423)</f>
        <v>0.08429404299</v>
      </c>
      <c r="M1060" s="4">
        <f>IFERROR(__xludf.DUMMYFUNCTION("""COMPUTED_VALUE"""),0.506628732378578)</f>
        <v>0.5066287324</v>
      </c>
      <c r="N1060" s="15">
        <v>6072.0</v>
      </c>
      <c r="O1060" s="4"/>
      <c r="P1060" s="14" t="s">
        <v>3307</v>
      </c>
      <c r="Q1060" s="17">
        <f>IFERROR(__xludf.DUMMYFUNCTION("SPLIT(P:P, "" "")"),0.0781210449366747)</f>
        <v>0.07812104494</v>
      </c>
      <c r="R1060" s="4">
        <f>IFERROR(__xludf.DUMMYFUNCTION("""COMPUTED_VALUE"""),0.365863263975971)</f>
        <v>0.365863264</v>
      </c>
      <c r="S1060" s="15">
        <v>9108.0</v>
      </c>
      <c r="T1060" s="4"/>
      <c r="U1060" s="4"/>
    </row>
    <row r="1061">
      <c r="A1061" s="4"/>
      <c r="B1061" s="17"/>
      <c r="C1061" s="4"/>
      <c r="D1061" s="4"/>
      <c r="E1061" s="4"/>
      <c r="F1061" s="4"/>
      <c r="G1061" s="17"/>
      <c r="H1061" s="4"/>
      <c r="I1061" s="4"/>
      <c r="J1061" s="4"/>
      <c r="K1061" s="14" t="s">
        <v>3308</v>
      </c>
      <c r="L1061" s="17">
        <f>IFERROR(__xludf.DUMMYFUNCTION("SPLIT(K:K, "" "")"),0.0869578134897627)</f>
        <v>0.08695781349</v>
      </c>
      <c r="M1061" s="4">
        <f>IFERROR(__xludf.DUMMYFUNCTION("""COMPUTED_VALUE"""),0.508125491613373)</f>
        <v>0.5081254916</v>
      </c>
      <c r="N1061" s="15">
        <v>6080.0</v>
      </c>
      <c r="O1061" s="4"/>
      <c r="P1061" s="14" t="s">
        <v>3309</v>
      </c>
      <c r="Q1061" s="17">
        <f>IFERROR(__xludf.DUMMYFUNCTION("SPLIT(P:P, "" "")"),0.0789646751052148)</f>
        <v>0.07896467511</v>
      </c>
      <c r="R1061" s="4">
        <f>IFERROR(__xludf.DUMMYFUNCTION("""COMPUTED_VALUE"""),0.362049609133429)</f>
        <v>0.3620496091</v>
      </c>
      <c r="S1061" s="15">
        <v>9120.0</v>
      </c>
      <c r="T1061" s="4"/>
      <c r="U1061" s="4"/>
    </row>
    <row r="1062">
      <c r="A1062" s="4"/>
      <c r="B1062" s="17"/>
      <c r="C1062" s="4"/>
      <c r="D1062" s="4"/>
      <c r="E1062" s="4"/>
      <c r="F1062" s="4"/>
      <c r="G1062" s="17"/>
      <c r="H1062" s="4"/>
      <c r="I1062" s="4"/>
      <c r="J1062" s="4"/>
      <c r="K1062" s="14" t="s">
        <v>3310</v>
      </c>
      <c r="L1062" s="17">
        <f>IFERROR(__xludf.DUMMYFUNCTION("SPLIT(K:K, "" "")"),0.086974780648968)</f>
        <v>0.08697478065</v>
      </c>
      <c r="M1062" s="4">
        <f>IFERROR(__xludf.DUMMYFUNCTION("""COMPUTED_VALUE"""),0.514315462021483)</f>
        <v>0.514315462</v>
      </c>
      <c r="N1062" s="15">
        <v>6088.0</v>
      </c>
      <c r="O1062" s="4"/>
      <c r="P1062" s="14" t="s">
        <v>3311</v>
      </c>
      <c r="Q1062" s="17">
        <f>IFERROR(__xludf.DUMMYFUNCTION("SPLIT(P:P, "" "")"),0.079396255694814)</f>
        <v>0.07939625569</v>
      </c>
      <c r="R1062" s="4">
        <f>IFERROR(__xludf.DUMMYFUNCTION("""COMPUTED_VALUE"""),0.358668050876164)</f>
        <v>0.3586680509</v>
      </c>
      <c r="S1062" s="15">
        <v>9132.0</v>
      </c>
      <c r="T1062" s="4"/>
      <c r="U1062" s="4"/>
    </row>
    <row r="1063">
      <c r="A1063" s="4"/>
      <c r="B1063" s="17"/>
      <c r="C1063" s="4"/>
      <c r="D1063" s="4"/>
      <c r="E1063" s="4"/>
      <c r="F1063" s="4"/>
      <c r="G1063" s="17"/>
      <c r="H1063" s="4"/>
      <c r="I1063" s="4"/>
      <c r="J1063" s="4"/>
      <c r="K1063" s="14" t="s">
        <v>3312</v>
      </c>
      <c r="L1063" s="17">
        <f>IFERROR(__xludf.DUMMYFUNCTION("SPLIT(K:K, "" "")"),0.0866128340401137)</f>
        <v>0.08661283404</v>
      </c>
      <c r="M1063" s="4">
        <f>IFERROR(__xludf.DUMMYFUNCTION("""COMPUTED_VALUE"""),0.508488438711597)</f>
        <v>0.5084884387</v>
      </c>
      <c r="N1063" s="15">
        <v>6096.0</v>
      </c>
      <c r="O1063" s="4"/>
      <c r="P1063" s="14" t="s">
        <v>3313</v>
      </c>
      <c r="Q1063" s="17">
        <f>IFERROR(__xludf.DUMMYFUNCTION("SPLIT(P:P, "" "")"),0.0777312902393367)</f>
        <v>0.07773129024</v>
      </c>
      <c r="R1063" s="4">
        <f>IFERROR(__xludf.DUMMYFUNCTION("""COMPUTED_VALUE"""),0.358495623226121)</f>
        <v>0.3584956232</v>
      </c>
      <c r="S1063" s="15">
        <v>9144.0</v>
      </c>
      <c r="T1063" s="4"/>
      <c r="U1063" s="4"/>
    </row>
    <row r="1064">
      <c r="A1064" s="4"/>
      <c r="B1064" s="17"/>
      <c r="C1064" s="4"/>
      <c r="D1064" s="4"/>
      <c r="E1064" s="4"/>
      <c r="F1064" s="4"/>
      <c r="G1064" s="17"/>
      <c r="H1064" s="4"/>
      <c r="I1064" s="4"/>
      <c r="J1064" s="4"/>
      <c r="K1064" s="14" t="s">
        <v>3314</v>
      </c>
      <c r="L1064" s="17">
        <f>IFERROR(__xludf.DUMMYFUNCTION("SPLIT(K:K, "" "")"),0.0870001298805361)</f>
        <v>0.08700012988</v>
      </c>
      <c r="M1064" s="4">
        <f>IFERROR(__xludf.DUMMYFUNCTION("""COMPUTED_VALUE"""),0.501261357939656)</f>
        <v>0.5012613579</v>
      </c>
      <c r="N1064" s="15">
        <v>6104.0</v>
      </c>
      <c r="O1064" s="4"/>
      <c r="P1064" s="14" t="s">
        <v>3315</v>
      </c>
      <c r="Q1064" s="17">
        <f>IFERROR(__xludf.DUMMYFUNCTION("SPLIT(P:P, "" "")"),0.0798271358086957)</f>
        <v>0.07982713581</v>
      </c>
      <c r="R1064" s="4">
        <f>IFERROR(__xludf.DUMMYFUNCTION("""COMPUTED_VALUE"""),0.366716255725074)</f>
        <v>0.3667162557</v>
      </c>
      <c r="S1064" s="15">
        <v>9156.0</v>
      </c>
      <c r="T1064" s="4"/>
      <c r="U1064" s="4"/>
    </row>
    <row r="1065">
      <c r="A1065" s="4"/>
      <c r="B1065" s="17"/>
      <c r="C1065" s="4"/>
      <c r="D1065" s="4"/>
      <c r="E1065" s="4"/>
      <c r="F1065" s="4"/>
      <c r="G1065" s="17"/>
      <c r="H1065" s="4"/>
      <c r="I1065" s="4"/>
      <c r="J1065" s="4"/>
      <c r="K1065" s="14" t="s">
        <v>3316</v>
      </c>
      <c r="L1065" s="17">
        <f>IFERROR(__xludf.DUMMYFUNCTION("SPLIT(K:K, "" "")"),0.0860265653306844)</f>
        <v>0.08602656533</v>
      </c>
      <c r="M1065" s="4">
        <f>IFERROR(__xludf.DUMMYFUNCTION("""COMPUTED_VALUE"""),0.508007889552917)</f>
        <v>0.5080078896</v>
      </c>
      <c r="N1065" s="15">
        <v>6112.0</v>
      </c>
      <c r="O1065" s="4"/>
      <c r="P1065" s="14" t="s">
        <v>3317</v>
      </c>
      <c r="Q1065" s="17">
        <f>IFERROR(__xludf.DUMMYFUNCTION("SPLIT(P:P, "" "")"),0.0774380364112597)</f>
        <v>0.07743803641</v>
      </c>
      <c r="R1065" s="4">
        <f>IFERROR(__xludf.DUMMYFUNCTION("""COMPUTED_VALUE"""),0.362671419791204)</f>
        <v>0.3626714198</v>
      </c>
      <c r="S1065" s="15">
        <v>9168.0</v>
      </c>
      <c r="T1065" s="4"/>
      <c r="U1065" s="4"/>
    </row>
    <row r="1066">
      <c r="A1066" s="4"/>
      <c r="B1066" s="17"/>
      <c r="C1066" s="4"/>
      <c r="D1066" s="4"/>
      <c r="E1066" s="4"/>
      <c r="F1066" s="4"/>
      <c r="G1066" s="17"/>
      <c r="H1066" s="4"/>
      <c r="I1066" s="4"/>
      <c r="J1066" s="4"/>
      <c r="K1066" s="14" t="s">
        <v>3318</v>
      </c>
      <c r="L1066" s="17">
        <f>IFERROR(__xludf.DUMMYFUNCTION("SPLIT(K:K, "" "")"),0.0849892266465631)</f>
        <v>0.08498922665</v>
      </c>
      <c r="M1066" s="4">
        <f>IFERROR(__xludf.DUMMYFUNCTION("""COMPUTED_VALUE"""),0.505609683935376)</f>
        <v>0.5056096839</v>
      </c>
      <c r="N1066" s="15">
        <v>6120.0</v>
      </c>
      <c r="O1066" s="4"/>
      <c r="P1066" s="14" t="s">
        <v>3319</v>
      </c>
      <c r="Q1066" s="17">
        <f>IFERROR(__xludf.DUMMYFUNCTION("SPLIT(P:P, "" "")"),0.078689133736771)</f>
        <v>0.07868913374</v>
      </c>
      <c r="R1066" s="4">
        <f>IFERROR(__xludf.DUMMYFUNCTION("""COMPUTED_VALUE"""),0.357435982401089)</f>
        <v>0.3574359824</v>
      </c>
      <c r="S1066" s="15">
        <v>9180.0</v>
      </c>
      <c r="T1066" s="4"/>
      <c r="U1066" s="4"/>
    </row>
    <row r="1067">
      <c r="A1067" s="4"/>
      <c r="B1067" s="17"/>
      <c r="C1067" s="4"/>
      <c r="D1067" s="4"/>
      <c r="E1067" s="4"/>
      <c r="F1067" s="4"/>
      <c r="G1067" s="17"/>
      <c r="H1067" s="4"/>
      <c r="I1067" s="4"/>
      <c r="J1067" s="4"/>
      <c r="K1067" s="14" t="s">
        <v>3320</v>
      </c>
      <c r="L1067" s="17">
        <f>IFERROR(__xludf.DUMMYFUNCTION("SPLIT(K:K, "" "")"),0.0851258564871995)</f>
        <v>0.08512585649</v>
      </c>
      <c r="M1067" s="4">
        <f>IFERROR(__xludf.DUMMYFUNCTION("""COMPUTED_VALUE"""),0.501003786824142)</f>
        <v>0.5010037868</v>
      </c>
      <c r="N1067" s="15">
        <v>6128.0</v>
      </c>
      <c r="O1067" s="4"/>
      <c r="P1067" s="14" t="s">
        <v>3321</v>
      </c>
      <c r="Q1067" s="17">
        <f>IFERROR(__xludf.DUMMYFUNCTION("SPLIT(P:P, "" "")"),0.0806224165411713)</f>
        <v>0.08062241654</v>
      </c>
      <c r="R1067" s="4">
        <f>IFERROR(__xludf.DUMMYFUNCTION("""COMPUTED_VALUE"""),0.36682467966306)</f>
        <v>0.3668246797</v>
      </c>
      <c r="S1067" s="15">
        <v>9192.0</v>
      </c>
      <c r="T1067" s="4"/>
      <c r="U1067" s="4"/>
    </row>
    <row r="1068">
      <c r="A1068" s="4"/>
      <c r="B1068" s="17"/>
      <c r="C1068" s="4"/>
      <c r="D1068" s="4"/>
      <c r="E1068" s="4"/>
      <c r="F1068" s="4"/>
      <c r="G1068" s="17"/>
      <c r="H1068" s="4"/>
      <c r="I1068" s="4"/>
      <c r="J1068" s="4"/>
      <c r="K1068" s="14" t="s">
        <v>3322</v>
      </c>
      <c r="L1068" s="17">
        <f>IFERROR(__xludf.DUMMYFUNCTION("SPLIT(K:K, "" "")"),0.0861928714556382)</f>
        <v>0.08619287146</v>
      </c>
      <c r="M1068" s="4">
        <f>IFERROR(__xludf.DUMMYFUNCTION("""COMPUTED_VALUE"""),0.502142822689592)</f>
        <v>0.5021428227</v>
      </c>
      <c r="N1068" s="15">
        <v>6136.0</v>
      </c>
      <c r="O1068" s="4"/>
      <c r="P1068" s="14" t="s">
        <v>3323</v>
      </c>
      <c r="Q1068" s="17">
        <f>IFERROR(__xludf.DUMMYFUNCTION("SPLIT(P:P, "" "")"),0.0768276594832708)</f>
        <v>0.07682765948</v>
      </c>
      <c r="R1068" s="4">
        <f>IFERROR(__xludf.DUMMYFUNCTION("""COMPUTED_VALUE"""),0.359769243437532)</f>
        <v>0.3597692434</v>
      </c>
      <c r="S1068" s="15">
        <v>9204.0</v>
      </c>
      <c r="T1068" s="4"/>
      <c r="U1068" s="4"/>
    </row>
    <row r="1069">
      <c r="A1069" s="4"/>
      <c r="B1069" s="17"/>
      <c r="C1069" s="4"/>
      <c r="D1069" s="4"/>
      <c r="E1069" s="4"/>
      <c r="F1069" s="4"/>
      <c r="G1069" s="17"/>
      <c r="H1069" s="4"/>
      <c r="I1069" s="4"/>
      <c r="J1069" s="4"/>
      <c r="K1069" s="14" t="s">
        <v>3324</v>
      </c>
      <c r="L1069" s="17">
        <f>IFERROR(__xludf.DUMMYFUNCTION("SPLIT(K:K, "" "")"),0.0848113597626678)</f>
        <v>0.08481135976</v>
      </c>
      <c r="M1069" s="4">
        <f>IFERROR(__xludf.DUMMYFUNCTION("""COMPUTED_VALUE"""),0.510713131172792)</f>
        <v>0.5107131312</v>
      </c>
      <c r="N1069" s="15">
        <v>6144.0</v>
      </c>
      <c r="O1069" s="4"/>
      <c r="P1069" s="14" t="s">
        <v>3325</v>
      </c>
      <c r="Q1069" s="17">
        <f>IFERROR(__xludf.DUMMYFUNCTION("SPLIT(P:P, "" "")"),0.0776500518328215)</f>
        <v>0.07765005183</v>
      </c>
      <c r="R1069" s="4">
        <f>IFERROR(__xludf.DUMMYFUNCTION("""COMPUTED_VALUE"""),0.358716263216098)</f>
        <v>0.3587162632</v>
      </c>
      <c r="S1069" s="15">
        <v>9216.0</v>
      </c>
      <c r="T1069" s="4"/>
      <c r="U1069" s="4"/>
    </row>
    <row r="1070">
      <c r="A1070" s="4"/>
      <c r="B1070" s="17"/>
      <c r="C1070" s="4"/>
      <c r="D1070" s="4"/>
      <c r="E1070" s="4"/>
      <c r="F1070" s="4"/>
      <c r="G1070" s="17"/>
      <c r="H1070" s="4"/>
      <c r="I1070" s="4"/>
      <c r="J1070" s="4"/>
      <c r="K1070" s="14" t="s">
        <v>3326</v>
      </c>
      <c r="L1070" s="17">
        <f>IFERROR(__xludf.DUMMYFUNCTION("SPLIT(K:K, "" "")"),0.0874654875185243)</f>
        <v>0.08746548752</v>
      </c>
      <c r="M1070" s="4">
        <f>IFERROR(__xludf.DUMMYFUNCTION("""COMPUTED_VALUE"""),0.509485821544681)</f>
        <v>0.5094858215</v>
      </c>
      <c r="N1070" s="15">
        <v>6152.0</v>
      </c>
      <c r="O1070" s="4"/>
      <c r="P1070" s="14" t="s">
        <v>3327</v>
      </c>
      <c r="Q1070" s="17">
        <f>IFERROR(__xludf.DUMMYFUNCTION("SPLIT(P:P, "" "")"),0.0783066047217827)</f>
        <v>0.07830660472</v>
      </c>
      <c r="R1070" s="4">
        <f>IFERROR(__xludf.DUMMYFUNCTION("""COMPUTED_VALUE"""),0.361165114180379)</f>
        <v>0.3611651142</v>
      </c>
      <c r="S1070" s="15">
        <v>9228.0</v>
      </c>
      <c r="T1070" s="4"/>
      <c r="U1070" s="4"/>
    </row>
    <row r="1071">
      <c r="A1071" s="4"/>
      <c r="B1071" s="17"/>
      <c r="C1071" s="4"/>
      <c r="D1071" s="4"/>
      <c r="E1071" s="4"/>
      <c r="F1071" s="4"/>
      <c r="G1071" s="17"/>
      <c r="H1071" s="4"/>
      <c r="I1071" s="4"/>
      <c r="J1071" s="4"/>
      <c r="K1071" s="14" t="s">
        <v>3328</v>
      </c>
      <c r="L1071" s="17">
        <f>IFERROR(__xludf.DUMMYFUNCTION("SPLIT(K:K, "" "")"),0.0859179988163862)</f>
        <v>0.08591799882</v>
      </c>
      <c r="M1071" s="4">
        <f>IFERROR(__xludf.DUMMYFUNCTION("""COMPUTED_VALUE"""),0.504873776227658)</f>
        <v>0.5048737762</v>
      </c>
      <c r="N1071" s="15">
        <v>6160.0</v>
      </c>
      <c r="O1071" s="4"/>
      <c r="P1071" s="14" t="s">
        <v>3329</v>
      </c>
      <c r="Q1071" s="17">
        <f>IFERROR(__xludf.DUMMYFUNCTION("SPLIT(P:P, "" "")"),0.0784011852666524)</f>
        <v>0.07840118527</v>
      </c>
      <c r="R1071" s="4">
        <f>IFERROR(__xludf.DUMMYFUNCTION("""COMPUTED_VALUE"""),0.365608741691618)</f>
        <v>0.3656087417</v>
      </c>
      <c r="S1071" s="15">
        <v>9240.0</v>
      </c>
      <c r="T1071" s="4"/>
      <c r="U1071" s="4"/>
    </row>
    <row r="1072">
      <c r="A1072" s="4"/>
      <c r="B1072" s="17"/>
      <c r="C1072" s="4"/>
      <c r="D1072" s="4"/>
      <c r="E1072" s="4"/>
      <c r="F1072" s="4"/>
      <c r="G1072" s="17"/>
      <c r="H1072" s="4"/>
      <c r="I1072" s="4"/>
      <c r="J1072" s="4"/>
      <c r="K1072" s="14" t="s">
        <v>3330</v>
      </c>
      <c r="L1072" s="17">
        <f>IFERROR(__xludf.DUMMYFUNCTION("SPLIT(K:K, "" "")"),0.0840497525172574)</f>
        <v>0.08404975252</v>
      </c>
      <c r="M1072" s="4">
        <f>IFERROR(__xludf.DUMMYFUNCTION("""COMPUTED_VALUE"""),0.505430145482142)</f>
        <v>0.5054301455</v>
      </c>
      <c r="N1072" s="15">
        <v>6168.0</v>
      </c>
      <c r="O1072" s="4"/>
      <c r="P1072" s="14" t="s">
        <v>3331</v>
      </c>
      <c r="Q1072" s="17">
        <f>IFERROR(__xludf.DUMMYFUNCTION("SPLIT(P:P, "" "")"),0.076939855255649)</f>
        <v>0.07693985526</v>
      </c>
      <c r="R1072" s="4">
        <f>IFERROR(__xludf.DUMMYFUNCTION("""COMPUTED_VALUE"""),0.362205400400101)</f>
        <v>0.3622054004</v>
      </c>
      <c r="S1072" s="15">
        <v>9252.0</v>
      </c>
      <c r="T1072" s="4"/>
      <c r="U1072" s="4"/>
    </row>
    <row r="1073">
      <c r="A1073" s="4"/>
      <c r="B1073" s="17"/>
      <c r="C1073" s="4"/>
      <c r="D1073" s="4"/>
      <c r="E1073" s="4"/>
      <c r="F1073" s="4"/>
      <c r="G1073" s="17"/>
      <c r="H1073" s="4"/>
      <c r="I1073" s="4"/>
      <c r="J1073" s="4"/>
      <c r="K1073" s="14" t="s">
        <v>3332</v>
      </c>
      <c r="L1073" s="17">
        <f>IFERROR(__xludf.DUMMYFUNCTION("SPLIT(K:K, "" "")"),0.0842179378082847)</f>
        <v>0.08421793781</v>
      </c>
      <c r="M1073" s="4">
        <f>IFERROR(__xludf.DUMMYFUNCTION("""COMPUTED_VALUE"""),0.50554048316234)</f>
        <v>0.5055404832</v>
      </c>
      <c r="N1073" s="15">
        <v>6176.0</v>
      </c>
      <c r="O1073" s="4"/>
      <c r="P1073" s="14" t="s">
        <v>3333</v>
      </c>
      <c r="Q1073" s="17">
        <f>IFERROR(__xludf.DUMMYFUNCTION("SPLIT(P:P, "" "")"),0.0796237667642168)</f>
        <v>0.07962376676</v>
      </c>
      <c r="R1073" s="4">
        <f>IFERROR(__xludf.DUMMYFUNCTION("""COMPUTED_VALUE"""),0.36152238621789)</f>
        <v>0.3615223862</v>
      </c>
      <c r="S1073" s="15">
        <v>9264.0</v>
      </c>
      <c r="T1073" s="4"/>
      <c r="U1073" s="4"/>
    </row>
    <row r="1074">
      <c r="A1074" s="4"/>
      <c r="B1074" s="17"/>
      <c r="C1074" s="4"/>
      <c r="D1074" s="4"/>
      <c r="E1074" s="4"/>
      <c r="F1074" s="4"/>
      <c r="G1074" s="17"/>
      <c r="H1074" s="4"/>
      <c r="I1074" s="4"/>
      <c r="J1074" s="4"/>
      <c r="K1074" s="14" t="s">
        <v>3334</v>
      </c>
      <c r="L1074" s="17">
        <f>IFERROR(__xludf.DUMMYFUNCTION("SPLIT(K:K, "" "")"),0.0831287952669794)</f>
        <v>0.08312879527</v>
      </c>
      <c r="M1074" s="4">
        <f>IFERROR(__xludf.DUMMYFUNCTION("""COMPUTED_VALUE"""),0.507437246291723)</f>
        <v>0.5074372463</v>
      </c>
      <c r="N1074" s="15">
        <v>6184.0</v>
      </c>
      <c r="O1074" s="4"/>
      <c r="P1074" s="14" t="s">
        <v>3335</v>
      </c>
      <c r="Q1074" s="17">
        <f>IFERROR(__xludf.DUMMYFUNCTION("SPLIT(P:P, "" "")"),0.0761112391185608)</f>
        <v>0.07611123912</v>
      </c>
      <c r="R1074" s="4">
        <f>IFERROR(__xludf.DUMMYFUNCTION("""COMPUTED_VALUE"""),0.359260338938511)</f>
        <v>0.3592603389</v>
      </c>
      <c r="S1074" s="15">
        <v>9276.0</v>
      </c>
      <c r="T1074" s="4"/>
      <c r="U1074" s="4"/>
    </row>
    <row r="1075">
      <c r="A1075" s="4"/>
      <c r="B1075" s="17"/>
      <c r="C1075" s="4"/>
      <c r="D1075" s="4"/>
      <c r="E1075" s="4"/>
      <c r="F1075" s="4"/>
      <c r="G1075" s="17"/>
      <c r="H1075" s="4"/>
      <c r="I1075" s="4"/>
      <c r="J1075" s="4"/>
      <c r="K1075" s="14" t="s">
        <v>3336</v>
      </c>
      <c r="L1075" s="17">
        <f>IFERROR(__xludf.DUMMYFUNCTION("SPLIT(K:K, "" "")"),0.086564547222517)</f>
        <v>0.08656454722</v>
      </c>
      <c r="M1075" s="4">
        <f>IFERROR(__xludf.DUMMYFUNCTION("""COMPUTED_VALUE"""),0.501765079695022)</f>
        <v>0.5017650797</v>
      </c>
      <c r="N1075" s="15">
        <v>6192.0</v>
      </c>
      <c r="O1075" s="4"/>
      <c r="P1075" s="14" t="s">
        <v>3337</v>
      </c>
      <c r="Q1075" s="17">
        <f>IFERROR(__xludf.DUMMYFUNCTION("SPLIT(P:P, "" "")"),0.0798951071987682)</f>
        <v>0.0798951072</v>
      </c>
      <c r="R1075" s="4">
        <f>IFERROR(__xludf.DUMMYFUNCTION("""COMPUTED_VALUE"""),0.359212181917245)</f>
        <v>0.3592121819</v>
      </c>
      <c r="S1075" s="15">
        <v>9288.0</v>
      </c>
      <c r="T1075" s="4"/>
      <c r="U1075" s="4"/>
    </row>
    <row r="1076">
      <c r="A1076" s="4"/>
      <c r="B1076" s="17"/>
      <c r="C1076" s="4"/>
      <c r="D1076" s="4"/>
      <c r="E1076" s="4"/>
      <c r="F1076" s="4"/>
      <c r="G1076" s="17"/>
      <c r="H1076" s="4"/>
      <c r="I1076" s="4"/>
      <c r="J1076" s="4"/>
      <c r="K1076" s="14" t="s">
        <v>3338</v>
      </c>
      <c r="L1076" s="17">
        <f>IFERROR(__xludf.DUMMYFUNCTION("SPLIT(K:K, "" "")"),0.0850466932581046)</f>
        <v>0.08504669326</v>
      </c>
      <c r="M1076" s="4">
        <f>IFERROR(__xludf.DUMMYFUNCTION("""COMPUTED_VALUE"""),0.50312661571548)</f>
        <v>0.5031266157</v>
      </c>
      <c r="N1076" s="15">
        <v>6200.0</v>
      </c>
      <c r="O1076" s="4"/>
      <c r="P1076" s="14" t="s">
        <v>3339</v>
      </c>
      <c r="Q1076" s="17">
        <f>IFERROR(__xludf.DUMMYFUNCTION("SPLIT(P:P, "" "")"),0.0792421225061759)</f>
        <v>0.07924212251</v>
      </c>
      <c r="R1076" s="4">
        <f>IFERROR(__xludf.DUMMYFUNCTION("""COMPUTED_VALUE"""),0.36706090029577)</f>
        <v>0.3670609003</v>
      </c>
      <c r="S1076" s="15">
        <v>9300.0</v>
      </c>
      <c r="T1076" s="4"/>
      <c r="U1076" s="4"/>
    </row>
    <row r="1077">
      <c r="A1077" s="4"/>
      <c r="B1077" s="17"/>
      <c r="C1077" s="4"/>
      <c r="D1077" s="4"/>
      <c r="E1077" s="4"/>
      <c r="F1077" s="4"/>
      <c r="G1077" s="17"/>
      <c r="H1077" s="4"/>
      <c r="I1077" s="4"/>
      <c r="J1077" s="4"/>
      <c r="K1077" s="14" t="s">
        <v>3340</v>
      </c>
      <c r="L1077" s="17">
        <f>IFERROR(__xludf.DUMMYFUNCTION("SPLIT(K:K, "" "")"),0.0852564370726333)</f>
        <v>0.08525643707</v>
      </c>
      <c r="M1077" s="4">
        <f>IFERROR(__xludf.DUMMYFUNCTION("""COMPUTED_VALUE"""),0.509653772279802)</f>
        <v>0.5096537723</v>
      </c>
      <c r="N1077" s="15">
        <v>6208.0</v>
      </c>
      <c r="O1077" s="4"/>
      <c r="P1077" s="14" t="s">
        <v>3341</v>
      </c>
      <c r="Q1077" s="17">
        <f>IFERROR(__xludf.DUMMYFUNCTION("SPLIT(P:P, "" "")"),0.0774414529607607)</f>
        <v>0.07744145296</v>
      </c>
      <c r="R1077" s="4">
        <f>IFERROR(__xludf.DUMMYFUNCTION("""COMPUTED_VALUE"""),0.364310744992261)</f>
        <v>0.364310745</v>
      </c>
      <c r="S1077" s="15">
        <v>9312.0</v>
      </c>
      <c r="T1077" s="4"/>
      <c r="U1077" s="4"/>
    </row>
    <row r="1078">
      <c r="A1078" s="4"/>
      <c r="B1078" s="17"/>
      <c r="C1078" s="4"/>
      <c r="D1078" s="4"/>
      <c r="E1078" s="4"/>
      <c r="F1078" s="4"/>
      <c r="G1078" s="17"/>
      <c r="H1078" s="4"/>
      <c r="I1078" s="4"/>
      <c r="J1078" s="4"/>
      <c r="K1078" s="14" t="s">
        <v>3342</v>
      </c>
      <c r="L1078" s="17">
        <f>IFERROR(__xludf.DUMMYFUNCTION("SPLIT(K:K, "" "")"),0.0854810728449251)</f>
        <v>0.08548107284</v>
      </c>
      <c r="M1078" s="4">
        <f>IFERROR(__xludf.DUMMYFUNCTION("""COMPUTED_VALUE"""),0.514329106421544)</f>
        <v>0.5143291064</v>
      </c>
      <c r="N1078" s="15">
        <v>6216.0</v>
      </c>
      <c r="O1078" s="4"/>
      <c r="P1078" s="14" t="s">
        <v>3343</v>
      </c>
      <c r="Q1078" s="17">
        <f>IFERROR(__xludf.DUMMYFUNCTION("SPLIT(P:P, "" "")"),0.0786857335579559)</f>
        <v>0.07868573356</v>
      </c>
      <c r="R1078" s="4">
        <f>IFERROR(__xludf.DUMMYFUNCTION("""COMPUTED_VALUE"""),0.3651326901661)</f>
        <v>0.3651326902</v>
      </c>
      <c r="S1078" s="15">
        <v>9324.0</v>
      </c>
      <c r="T1078" s="4"/>
      <c r="U1078" s="4"/>
    </row>
    <row r="1079">
      <c r="A1079" s="4"/>
      <c r="B1079" s="17"/>
      <c r="C1079" s="4"/>
      <c r="D1079" s="4"/>
      <c r="E1079" s="4"/>
      <c r="F1079" s="4"/>
      <c r="G1079" s="17"/>
      <c r="H1079" s="4"/>
      <c r="I1079" s="4"/>
      <c r="J1079" s="4"/>
      <c r="K1079" s="14" t="s">
        <v>3344</v>
      </c>
      <c r="L1079" s="17">
        <f>IFERROR(__xludf.DUMMYFUNCTION("SPLIT(K:K, "" "")"),0.0845115822423997)</f>
        <v>0.08451158224</v>
      </c>
      <c r="M1079" s="4">
        <f>IFERROR(__xludf.DUMMYFUNCTION("""COMPUTED_VALUE"""),0.514137176182721)</f>
        <v>0.5141371762</v>
      </c>
      <c r="N1079" s="15">
        <v>6224.0</v>
      </c>
      <c r="O1079" s="4"/>
      <c r="P1079" s="14" t="s">
        <v>3345</v>
      </c>
      <c r="Q1079" s="17">
        <f>IFERROR(__xludf.DUMMYFUNCTION("SPLIT(P:P, "" "")"),0.0776898699047372)</f>
        <v>0.0776898699</v>
      </c>
      <c r="R1079" s="4">
        <f>IFERROR(__xludf.DUMMYFUNCTION("""COMPUTED_VALUE"""),0.361781625842272)</f>
        <v>0.3617816258</v>
      </c>
      <c r="S1079" s="15">
        <v>9336.0</v>
      </c>
      <c r="T1079" s="4"/>
      <c r="U1079" s="4"/>
    </row>
    <row r="1080">
      <c r="A1080" s="4"/>
      <c r="B1080" s="17"/>
      <c r="C1080" s="4"/>
      <c r="D1080" s="4"/>
      <c r="E1080" s="4"/>
      <c r="F1080" s="4"/>
      <c r="G1080" s="17"/>
      <c r="H1080" s="4"/>
      <c r="I1080" s="4"/>
      <c r="J1080" s="4"/>
      <c r="K1080" s="14" t="s">
        <v>3346</v>
      </c>
      <c r="L1080" s="17">
        <f>IFERROR(__xludf.DUMMYFUNCTION("SPLIT(K:K, "" "")"),0.083487036287517)</f>
        <v>0.08348703629</v>
      </c>
      <c r="M1080" s="4">
        <f>IFERROR(__xludf.DUMMYFUNCTION("""COMPUTED_VALUE"""),0.512531995528447)</f>
        <v>0.5125319955</v>
      </c>
      <c r="N1080" s="15">
        <v>6232.0</v>
      </c>
      <c r="O1080" s="4"/>
      <c r="P1080" s="14" t="s">
        <v>3347</v>
      </c>
      <c r="Q1080" s="17">
        <f>IFERROR(__xludf.DUMMYFUNCTION("SPLIT(P:P, "" "")"),0.0771805449444801)</f>
        <v>0.07718054494</v>
      </c>
      <c r="R1080" s="4">
        <f>IFERROR(__xludf.DUMMYFUNCTION("""COMPUTED_VALUE"""),0.366528477915353)</f>
        <v>0.3665284779</v>
      </c>
      <c r="S1080" s="15">
        <v>9348.0</v>
      </c>
      <c r="T1080" s="4"/>
      <c r="U1080" s="4"/>
    </row>
    <row r="1081">
      <c r="A1081" s="4"/>
      <c r="B1081" s="17"/>
      <c r="C1081" s="4"/>
      <c r="D1081" s="4"/>
      <c r="E1081" s="4"/>
      <c r="F1081" s="4"/>
      <c r="G1081" s="17"/>
      <c r="H1081" s="4"/>
      <c r="I1081" s="4"/>
      <c r="J1081" s="4"/>
      <c r="K1081" s="14" t="s">
        <v>3348</v>
      </c>
      <c r="L1081" s="17">
        <f>IFERROR(__xludf.DUMMYFUNCTION("SPLIT(K:K, "" "")"),0.083844900282412)</f>
        <v>0.08384490028</v>
      </c>
      <c r="M1081" s="4">
        <f>IFERROR(__xludf.DUMMYFUNCTION("""COMPUTED_VALUE"""),0.502005607513161)</f>
        <v>0.5020056075</v>
      </c>
      <c r="N1081" s="15">
        <v>6240.0</v>
      </c>
      <c r="O1081" s="4"/>
      <c r="P1081" s="14" t="s">
        <v>3349</v>
      </c>
      <c r="Q1081" s="17">
        <f>IFERROR(__xludf.DUMMYFUNCTION("SPLIT(P:P, "" "")"),0.0771140255140793)</f>
        <v>0.07711402551</v>
      </c>
      <c r="R1081" s="4">
        <f>IFERROR(__xludf.DUMMYFUNCTION("""COMPUTED_VALUE"""),0.359601888710797)</f>
        <v>0.3596018887</v>
      </c>
      <c r="S1081" s="15">
        <v>9360.0</v>
      </c>
      <c r="T1081" s="4"/>
      <c r="U1081" s="4"/>
    </row>
    <row r="1082">
      <c r="A1082" s="4"/>
      <c r="B1082" s="17"/>
      <c r="C1082" s="4"/>
      <c r="D1082" s="4"/>
      <c r="E1082" s="4"/>
      <c r="F1082" s="4"/>
      <c r="G1082" s="17"/>
      <c r="H1082" s="4"/>
      <c r="I1082" s="4"/>
      <c r="J1082" s="4"/>
      <c r="K1082" s="14" t="s">
        <v>3350</v>
      </c>
      <c r="L1082" s="17">
        <f>IFERROR(__xludf.DUMMYFUNCTION("SPLIT(K:K, "" "")"),0.0837627231796192)</f>
        <v>0.08376272318</v>
      </c>
      <c r="M1082" s="4">
        <f>IFERROR(__xludf.DUMMYFUNCTION("""COMPUTED_VALUE"""),0.500454983003776)</f>
        <v>0.500454983</v>
      </c>
      <c r="N1082" s="15">
        <v>6248.0</v>
      </c>
      <c r="O1082" s="4"/>
      <c r="P1082" s="14" t="s">
        <v>3351</v>
      </c>
      <c r="Q1082" s="17">
        <f>IFERROR(__xludf.DUMMYFUNCTION("SPLIT(P:P, "" "")"),0.0778651973113643)</f>
        <v>0.07786519731</v>
      </c>
      <c r="R1082" s="4">
        <f>IFERROR(__xludf.DUMMYFUNCTION("""COMPUTED_VALUE"""),0.361461159067779)</f>
        <v>0.3614611591</v>
      </c>
      <c r="S1082" s="15">
        <v>9372.0</v>
      </c>
      <c r="T1082" s="4"/>
      <c r="U1082" s="4"/>
    </row>
    <row r="1083">
      <c r="A1083" s="4"/>
      <c r="B1083" s="17"/>
      <c r="C1083" s="4"/>
      <c r="D1083" s="4"/>
      <c r="E1083" s="4"/>
      <c r="F1083" s="4"/>
      <c r="G1083" s="17"/>
      <c r="H1083" s="4"/>
      <c r="I1083" s="4"/>
      <c r="J1083" s="4"/>
      <c r="K1083" s="14" t="s">
        <v>3352</v>
      </c>
      <c r="L1083" s="17">
        <f>IFERROR(__xludf.DUMMYFUNCTION("SPLIT(K:K, "" "")"),0.0833935731035253)</f>
        <v>0.0833935731</v>
      </c>
      <c r="M1083" s="4">
        <f>IFERROR(__xludf.DUMMYFUNCTION("""COMPUTED_VALUE"""),0.495411862050522)</f>
        <v>0.4954118621</v>
      </c>
      <c r="N1083" s="15">
        <v>6256.0</v>
      </c>
      <c r="O1083" s="4"/>
      <c r="P1083" s="14" t="s">
        <v>3353</v>
      </c>
      <c r="Q1083" s="17">
        <f>IFERROR(__xludf.DUMMYFUNCTION("SPLIT(P:P, "" "")"),0.0774023483816143)</f>
        <v>0.07740234838</v>
      </c>
      <c r="R1083" s="4">
        <f>IFERROR(__xludf.DUMMYFUNCTION("""COMPUTED_VALUE"""),0.35952516914355)</f>
        <v>0.3595251691</v>
      </c>
      <c r="S1083" s="15">
        <v>9384.0</v>
      </c>
      <c r="T1083" s="4"/>
      <c r="U1083" s="4"/>
    </row>
    <row r="1084">
      <c r="A1084" s="4"/>
      <c r="B1084" s="17"/>
      <c r="C1084" s="4"/>
      <c r="D1084" s="4"/>
      <c r="E1084" s="4"/>
      <c r="F1084" s="4"/>
      <c r="G1084" s="17"/>
      <c r="H1084" s="4"/>
      <c r="I1084" s="4"/>
      <c r="J1084" s="4"/>
      <c r="K1084" s="14" t="s">
        <v>3354</v>
      </c>
      <c r="L1084" s="17">
        <f>IFERROR(__xludf.DUMMYFUNCTION("SPLIT(K:K, "" "")"),0.0836658591959604)</f>
        <v>0.0836658592</v>
      </c>
      <c r="M1084" s="4">
        <f>IFERROR(__xludf.DUMMYFUNCTION("""COMPUTED_VALUE"""),0.503384770836422)</f>
        <v>0.5033847708</v>
      </c>
      <c r="N1084" s="15">
        <v>6264.0</v>
      </c>
      <c r="O1084" s="4"/>
      <c r="P1084" s="14" t="s">
        <v>3355</v>
      </c>
      <c r="Q1084" s="17">
        <f>IFERROR(__xludf.DUMMYFUNCTION("SPLIT(P:P, "" "")"),0.0810627897598697)</f>
        <v>0.08106278976</v>
      </c>
      <c r="R1084" s="4">
        <f>IFERROR(__xludf.DUMMYFUNCTION("""COMPUTED_VALUE"""),0.369594104610201)</f>
        <v>0.3695941046</v>
      </c>
      <c r="S1084" s="15">
        <v>9396.0</v>
      </c>
      <c r="T1084" s="4"/>
      <c r="U1084" s="4"/>
    </row>
    <row r="1085">
      <c r="A1085" s="4"/>
      <c r="B1085" s="17"/>
      <c r="C1085" s="4"/>
      <c r="D1085" s="4"/>
      <c r="E1085" s="4"/>
      <c r="F1085" s="4"/>
      <c r="G1085" s="17"/>
      <c r="H1085" s="4"/>
      <c r="I1085" s="4"/>
      <c r="J1085" s="4"/>
      <c r="K1085" s="14" t="s">
        <v>3356</v>
      </c>
      <c r="L1085" s="17">
        <f>IFERROR(__xludf.DUMMYFUNCTION("SPLIT(K:K, "" "")"),0.0837852200902024)</f>
        <v>0.08378522009</v>
      </c>
      <c r="M1085" s="4">
        <f>IFERROR(__xludf.DUMMYFUNCTION("""COMPUTED_VALUE"""),0.503158538382278)</f>
        <v>0.5031585384</v>
      </c>
      <c r="N1085" s="15">
        <v>6272.0</v>
      </c>
      <c r="O1085" s="4"/>
      <c r="P1085" s="14" t="s">
        <v>3357</v>
      </c>
      <c r="Q1085" s="17">
        <f>IFERROR(__xludf.DUMMYFUNCTION("SPLIT(P:P, "" "")"),0.0760292337225368)</f>
        <v>0.07602923372</v>
      </c>
      <c r="R1085" s="4">
        <f>IFERROR(__xludf.DUMMYFUNCTION("""COMPUTED_VALUE"""),0.361006315708778)</f>
        <v>0.3610063157</v>
      </c>
      <c r="S1085" s="15">
        <v>9408.0</v>
      </c>
      <c r="T1085" s="4"/>
      <c r="U1085" s="4"/>
    </row>
    <row r="1086">
      <c r="A1086" s="4"/>
      <c r="B1086" s="17"/>
      <c r="C1086" s="4"/>
      <c r="D1086" s="4"/>
      <c r="E1086" s="4"/>
      <c r="F1086" s="4"/>
      <c r="G1086" s="17"/>
      <c r="H1086" s="4"/>
      <c r="I1086" s="4"/>
      <c r="J1086" s="4"/>
      <c r="K1086" s="14" t="s">
        <v>3358</v>
      </c>
      <c r="L1086" s="17">
        <f>IFERROR(__xludf.DUMMYFUNCTION("SPLIT(K:K, "" "")"),0.0840301805799654)</f>
        <v>0.08403018058</v>
      </c>
      <c r="M1086" s="4">
        <f>IFERROR(__xludf.DUMMYFUNCTION("""COMPUTED_VALUE"""),0.51008213026755)</f>
        <v>0.5100821303</v>
      </c>
      <c r="N1086" s="15">
        <v>6280.0</v>
      </c>
      <c r="O1086" s="4"/>
      <c r="P1086" s="14" t="s">
        <v>3359</v>
      </c>
      <c r="Q1086" s="17">
        <f>IFERROR(__xludf.DUMMYFUNCTION("SPLIT(P:P, "" "")"),0.0778375375449291)</f>
        <v>0.07783753754</v>
      </c>
      <c r="R1086" s="4">
        <f>IFERROR(__xludf.DUMMYFUNCTION("""COMPUTED_VALUE"""),0.359016366760146)</f>
        <v>0.3590163668</v>
      </c>
      <c r="S1086" s="15">
        <v>9420.0</v>
      </c>
      <c r="T1086" s="4"/>
      <c r="U1086" s="4"/>
    </row>
    <row r="1087">
      <c r="A1087" s="4"/>
      <c r="B1087" s="17"/>
      <c r="C1087" s="4"/>
      <c r="D1087" s="4"/>
      <c r="E1087" s="4"/>
      <c r="F1087" s="4"/>
      <c r="G1087" s="17"/>
      <c r="H1087" s="4"/>
      <c r="I1087" s="4"/>
      <c r="J1087" s="4"/>
      <c r="K1087" s="14" t="s">
        <v>3360</v>
      </c>
      <c r="L1087" s="17">
        <f>IFERROR(__xludf.DUMMYFUNCTION("SPLIT(K:K, "" "")"),0.0861697044460633)</f>
        <v>0.08616970445</v>
      </c>
      <c r="M1087" s="4">
        <f>IFERROR(__xludf.DUMMYFUNCTION("""COMPUTED_VALUE"""),0.505032872108622)</f>
        <v>0.5050328721</v>
      </c>
      <c r="N1087" s="15">
        <v>6288.0</v>
      </c>
      <c r="O1087" s="4"/>
      <c r="P1087" s="14" t="s">
        <v>3361</v>
      </c>
      <c r="Q1087" s="17">
        <f>IFERROR(__xludf.DUMMYFUNCTION("SPLIT(P:P, "" "")"),0.0760395154231203)</f>
        <v>0.07603951542</v>
      </c>
      <c r="R1087" s="4">
        <f>IFERROR(__xludf.DUMMYFUNCTION("""COMPUTED_VALUE"""),0.36261930661723)</f>
        <v>0.3626193066</v>
      </c>
      <c r="S1087" s="15">
        <v>9432.0</v>
      </c>
      <c r="T1087" s="4"/>
      <c r="U1087" s="4"/>
    </row>
    <row r="1088">
      <c r="A1088" s="4"/>
      <c r="B1088" s="17"/>
      <c r="C1088" s="4"/>
      <c r="D1088" s="4"/>
      <c r="E1088" s="4"/>
      <c r="F1088" s="4"/>
      <c r="G1088" s="17"/>
      <c r="H1088" s="4"/>
      <c r="I1088" s="4"/>
      <c r="J1088" s="4"/>
      <c r="K1088" s="14" t="s">
        <v>3362</v>
      </c>
      <c r="L1088" s="17">
        <f>IFERROR(__xludf.DUMMYFUNCTION("SPLIT(K:K, "" "")"),0.0847275709306404)</f>
        <v>0.08472757093</v>
      </c>
      <c r="M1088" s="4">
        <f>IFERROR(__xludf.DUMMYFUNCTION("""COMPUTED_VALUE"""),0.507101262635461)</f>
        <v>0.5071012626</v>
      </c>
      <c r="N1088" s="15">
        <v>6296.0</v>
      </c>
      <c r="O1088" s="4"/>
      <c r="P1088" s="14" t="s">
        <v>3363</v>
      </c>
      <c r="Q1088" s="17">
        <f>IFERROR(__xludf.DUMMYFUNCTION("SPLIT(P:P, "" "")"),0.0766810289219063)</f>
        <v>0.07668102892</v>
      </c>
      <c r="R1088" s="4">
        <f>IFERROR(__xludf.DUMMYFUNCTION("""COMPUTED_VALUE"""),0.369090891869106)</f>
        <v>0.3690908919</v>
      </c>
      <c r="S1088" s="15">
        <v>9444.0</v>
      </c>
      <c r="T1088" s="4"/>
      <c r="U1088" s="4"/>
    </row>
    <row r="1089">
      <c r="A1089" s="4"/>
      <c r="B1089" s="17"/>
      <c r="C1089" s="4"/>
      <c r="D1089" s="4"/>
      <c r="E1089" s="4"/>
      <c r="F1089" s="4"/>
      <c r="G1089" s="17"/>
      <c r="H1089" s="4"/>
      <c r="I1089" s="4"/>
      <c r="J1089" s="4"/>
      <c r="K1089" s="14" t="s">
        <v>3364</v>
      </c>
      <c r="L1089" s="17">
        <f>IFERROR(__xludf.DUMMYFUNCTION("SPLIT(K:K, "" "")"),0.0843710808305205)</f>
        <v>0.08437108083</v>
      </c>
      <c r="M1089" s="4">
        <f>IFERROR(__xludf.DUMMYFUNCTION("""COMPUTED_VALUE"""),0.512270345511747)</f>
        <v>0.5122703455</v>
      </c>
      <c r="N1089" s="15">
        <v>6304.0</v>
      </c>
      <c r="O1089" s="4"/>
      <c r="P1089" s="14" t="s">
        <v>3365</v>
      </c>
      <c r="Q1089" s="17">
        <f>IFERROR(__xludf.DUMMYFUNCTION("SPLIT(P:P, "" "")"),0.0782112370445225)</f>
        <v>0.07821123704</v>
      </c>
      <c r="R1089" s="4">
        <f>IFERROR(__xludf.DUMMYFUNCTION("""COMPUTED_VALUE"""),0.362816575572332)</f>
        <v>0.3628165756</v>
      </c>
      <c r="S1089" s="15">
        <v>9456.0</v>
      </c>
      <c r="T1089" s="4"/>
      <c r="U1089" s="4"/>
    </row>
    <row r="1090">
      <c r="A1090" s="4"/>
      <c r="B1090" s="17"/>
      <c r="C1090" s="4"/>
      <c r="D1090" s="4"/>
      <c r="E1090" s="4"/>
      <c r="F1090" s="4"/>
      <c r="G1090" s="17"/>
      <c r="H1090" s="4"/>
      <c r="I1090" s="4"/>
      <c r="J1090" s="4"/>
      <c r="K1090" s="14" t="s">
        <v>3366</v>
      </c>
      <c r="L1090" s="17">
        <f>IFERROR(__xludf.DUMMYFUNCTION("SPLIT(K:K, "" "")"),0.0844884943546933)</f>
        <v>0.08448849435</v>
      </c>
      <c r="M1090" s="4">
        <f>IFERROR(__xludf.DUMMYFUNCTION("""COMPUTED_VALUE"""),0.520098041706162)</f>
        <v>0.5200980417</v>
      </c>
      <c r="N1090" s="15">
        <v>6312.0</v>
      </c>
      <c r="O1090" s="4"/>
      <c r="P1090" s="14" t="s">
        <v>3367</v>
      </c>
      <c r="Q1090" s="17">
        <f>IFERROR(__xludf.DUMMYFUNCTION("SPLIT(P:P, "" "")"),0.0794583915725497)</f>
        <v>0.07945839157</v>
      </c>
      <c r="R1090" s="4">
        <f>IFERROR(__xludf.DUMMYFUNCTION("""COMPUTED_VALUE"""),0.36635378897543)</f>
        <v>0.366353789</v>
      </c>
      <c r="S1090" s="15">
        <v>9468.0</v>
      </c>
      <c r="T1090" s="4"/>
      <c r="U1090" s="4"/>
    </row>
    <row r="1091">
      <c r="A1091" s="4"/>
      <c r="B1091" s="17"/>
      <c r="C1091" s="4"/>
      <c r="D1091" s="4"/>
      <c r="E1091" s="4"/>
      <c r="F1091" s="4"/>
      <c r="G1091" s="17"/>
      <c r="H1091" s="4"/>
      <c r="I1091" s="4"/>
      <c r="J1091" s="4"/>
      <c r="K1091" s="14" t="s">
        <v>3368</v>
      </c>
      <c r="L1091" s="17">
        <f>IFERROR(__xludf.DUMMYFUNCTION("SPLIT(K:K, "" "")"),0.0838687968396653)</f>
        <v>0.08386879684</v>
      </c>
      <c r="M1091" s="4">
        <f>IFERROR(__xludf.DUMMYFUNCTION("""COMPUTED_VALUE"""),0.51244113514701)</f>
        <v>0.5124411351</v>
      </c>
      <c r="N1091" s="15">
        <v>6320.0</v>
      </c>
      <c r="O1091" s="4"/>
      <c r="P1091" s="14" t="s">
        <v>3369</v>
      </c>
      <c r="Q1091" s="17">
        <f>IFERROR(__xludf.DUMMYFUNCTION("SPLIT(P:P, "" "")"),0.0771849591296195)</f>
        <v>0.07718495913</v>
      </c>
      <c r="R1091" s="4">
        <f>IFERROR(__xludf.DUMMYFUNCTION("""COMPUTED_VALUE"""),0.358254994908344)</f>
        <v>0.3582549949</v>
      </c>
      <c r="S1091" s="15">
        <v>9480.0</v>
      </c>
      <c r="T1091" s="4"/>
      <c r="U1091" s="4"/>
    </row>
    <row r="1092">
      <c r="A1092" s="4"/>
      <c r="B1092" s="17"/>
      <c r="C1092" s="4"/>
      <c r="D1092" s="4"/>
      <c r="E1092" s="4"/>
      <c r="F1092" s="4"/>
      <c r="G1092" s="17"/>
      <c r="H1092" s="4"/>
      <c r="I1092" s="4"/>
      <c r="J1092" s="4"/>
      <c r="K1092" s="14" t="s">
        <v>3370</v>
      </c>
      <c r="L1092" s="17">
        <f>IFERROR(__xludf.DUMMYFUNCTION("SPLIT(K:K, "" "")"),0.0827504290759476)</f>
        <v>0.08275042908</v>
      </c>
      <c r="M1092" s="4">
        <f>IFERROR(__xludf.DUMMYFUNCTION("""COMPUTED_VALUE"""),0.50912884383252)</f>
        <v>0.5091288438</v>
      </c>
      <c r="N1092" s="15">
        <v>6328.0</v>
      </c>
      <c r="O1092" s="4"/>
      <c r="P1092" s="14" t="s">
        <v>3371</v>
      </c>
      <c r="Q1092" s="17">
        <f>IFERROR(__xludf.DUMMYFUNCTION("SPLIT(P:P, "" "")"),0.0784559505556123)</f>
        <v>0.07845595056</v>
      </c>
      <c r="R1092" s="4">
        <f>IFERROR(__xludf.DUMMYFUNCTION("""COMPUTED_VALUE"""),0.359886798130103)</f>
        <v>0.3598867981</v>
      </c>
      <c r="S1092" s="15">
        <v>9492.0</v>
      </c>
      <c r="T1092" s="4"/>
      <c r="U1092" s="4"/>
    </row>
    <row r="1093">
      <c r="A1093" s="4"/>
      <c r="B1093" s="17"/>
      <c r="C1093" s="4"/>
      <c r="D1093" s="4"/>
      <c r="E1093" s="4"/>
      <c r="F1093" s="4"/>
      <c r="G1093" s="17"/>
      <c r="H1093" s="4"/>
      <c r="I1093" s="4"/>
      <c r="J1093" s="4"/>
      <c r="K1093" s="14" t="s">
        <v>3372</v>
      </c>
      <c r="L1093" s="17">
        <f>IFERROR(__xludf.DUMMYFUNCTION("SPLIT(K:K, "" "")"),0.0865887428065193)</f>
        <v>0.08658874281</v>
      </c>
      <c r="M1093" s="4">
        <f>IFERROR(__xludf.DUMMYFUNCTION("""COMPUTED_VALUE"""),0.51560130246378)</f>
        <v>0.5156013025</v>
      </c>
      <c r="N1093" s="15">
        <v>6336.0</v>
      </c>
      <c r="O1093" s="4"/>
      <c r="P1093" s="14" t="s">
        <v>3373</v>
      </c>
      <c r="Q1093" s="17">
        <f>IFERROR(__xludf.DUMMYFUNCTION("SPLIT(P:P, "" "")"),0.0788558360225358)</f>
        <v>0.07885583602</v>
      </c>
      <c r="R1093" s="4">
        <f>IFERROR(__xludf.DUMMYFUNCTION("""COMPUTED_VALUE"""),0.365231281662669)</f>
        <v>0.3652312817</v>
      </c>
      <c r="S1093" s="15">
        <v>9504.0</v>
      </c>
      <c r="T1093" s="4"/>
      <c r="U1093" s="4"/>
    </row>
    <row r="1094">
      <c r="A1094" s="4"/>
      <c r="B1094" s="17"/>
      <c r="C1094" s="4"/>
      <c r="D1094" s="4"/>
      <c r="E1094" s="4"/>
      <c r="F1094" s="4"/>
      <c r="G1094" s="17"/>
      <c r="H1094" s="4"/>
      <c r="I1094" s="4"/>
      <c r="J1094" s="4"/>
      <c r="K1094" s="14" t="s">
        <v>3374</v>
      </c>
      <c r="L1094" s="17">
        <f>IFERROR(__xludf.DUMMYFUNCTION("SPLIT(K:K, "" "")"),0.0831370528165073)</f>
        <v>0.08313705282</v>
      </c>
      <c r="M1094" s="4">
        <f>IFERROR(__xludf.DUMMYFUNCTION("""COMPUTED_VALUE"""),0.51238086156834)</f>
        <v>0.5123808616</v>
      </c>
      <c r="N1094" s="15">
        <v>6344.0</v>
      </c>
      <c r="O1094" s="4"/>
      <c r="P1094" s="14" t="s">
        <v>3375</v>
      </c>
      <c r="Q1094" s="17">
        <f>IFERROR(__xludf.DUMMYFUNCTION("SPLIT(P:P, "" "")"),0.0789328880704168)</f>
        <v>0.07893288807</v>
      </c>
      <c r="R1094" s="4">
        <f>IFERROR(__xludf.DUMMYFUNCTION("""COMPUTED_VALUE"""),0.361694455371934)</f>
        <v>0.3616944554</v>
      </c>
      <c r="S1094" s="15">
        <v>9516.0</v>
      </c>
      <c r="T1094" s="4"/>
      <c r="U1094" s="4"/>
    </row>
    <row r="1095">
      <c r="A1095" s="4"/>
      <c r="B1095" s="17"/>
      <c r="C1095" s="4"/>
      <c r="D1095" s="4"/>
      <c r="E1095" s="4"/>
      <c r="F1095" s="4"/>
      <c r="G1095" s="17"/>
      <c r="H1095" s="4"/>
      <c r="I1095" s="4"/>
      <c r="J1095" s="4"/>
      <c r="K1095" s="14" t="s">
        <v>3376</v>
      </c>
      <c r="L1095" s="17">
        <f>IFERROR(__xludf.DUMMYFUNCTION("SPLIT(K:K, "" "")"),0.086582941751238)</f>
        <v>0.08658294175</v>
      </c>
      <c r="M1095" s="4">
        <f>IFERROR(__xludf.DUMMYFUNCTION("""COMPUTED_VALUE"""),0.514068957247861)</f>
        <v>0.5140689572</v>
      </c>
      <c r="N1095" s="15">
        <v>6352.0</v>
      </c>
      <c r="O1095" s="4"/>
      <c r="P1095" s="14" t="s">
        <v>3377</v>
      </c>
      <c r="Q1095" s="17">
        <f>IFERROR(__xludf.DUMMYFUNCTION("SPLIT(P:P, "" "")"),0.0779041508768624)</f>
        <v>0.07790415088</v>
      </c>
      <c r="R1095" s="4">
        <f>IFERROR(__xludf.DUMMYFUNCTION("""COMPUTED_VALUE"""),0.362580519083127)</f>
        <v>0.3625805191</v>
      </c>
      <c r="S1095" s="15">
        <v>9528.0</v>
      </c>
      <c r="T1095" s="4"/>
      <c r="U1095" s="4"/>
    </row>
    <row r="1096">
      <c r="A1096" s="4"/>
      <c r="B1096" s="17"/>
      <c r="C1096" s="4"/>
      <c r="D1096" s="4"/>
      <c r="E1096" s="4"/>
      <c r="F1096" s="4"/>
      <c r="G1096" s="17"/>
      <c r="H1096" s="4"/>
      <c r="I1096" s="4"/>
      <c r="J1096" s="4"/>
      <c r="K1096" s="14" t="s">
        <v>3378</v>
      </c>
      <c r="L1096" s="17">
        <f>IFERROR(__xludf.DUMMYFUNCTION("SPLIT(K:K, "" "")"),0.0832543693280122)</f>
        <v>0.08325436933</v>
      </c>
      <c r="M1096" s="4">
        <f>IFERROR(__xludf.DUMMYFUNCTION("""COMPUTED_VALUE"""),0.505100205409638)</f>
        <v>0.5051002054</v>
      </c>
      <c r="N1096" s="15">
        <v>6360.0</v>
      </c>
      <c r="O1096" s="4"/>
      <c r="P1096" s="14" t="s">
        <v>3379</v>
      </c>
      <c r="Q1096" s="17">
        <f>IFERROR(__xludf.DUMMYFUNCTION("SPLIT(P:P, "" "")"),0.0766656259814246)</f>
        <v>0.07666562598</v>
      </c>
      <c r="R1096" s="4">
        <f>IFERROR(__xludf.DUMMYFUNCTION("""COMPUTED_VALUE"""),0.359049578438762)</f>
        <v>0.3590495784</v>
      </c>
      <c r="S1096" s="15">
        <v>9540.0</v>
      </c>
      <c r="T1096" s="4"/>
      <c r="U1096" s="4"/>
    </row>
    <row r="1097">
      <c r="A1097" s="4"/>
      <c r="B1097" s="17"/>
      <c r="C1097" s="4"/>
      <c r="D1097" s="4"/>
      <c r="E1097" s="4"/>
      <c r="F1097" s="4"/>
      <c r="G1097" s="17"/>
      <c r="H1097" s="4"/>
      <c r="I1097" s="4"/>
      <c r="J1097" s="4"/>
      <c r="K1097" s="14" t="s">
        <v>3380</v>
      </c>
      <c r="L1097" s="17">
        <f>IFERROR(__xludf.DUMMYFUNCTION("SPLIT(K:K, "" "")"),0.0844714466207849)</f>
        <v>0.08447144662</v>
      </c>
      <c r="M1097" s="4">
        <f>IFERROR(__xludf.DUMMYFUNCTION("""COMPUTED_VALUE"""),0.510016229192565)</f>
        <v>0.5100162292</v>
      </c>
      <c r="N1097" s="15">
        <v>6368.0</v>
      </c>
      <c r="O1097" s="4"/>
      <c r="P1097" s="14" t="s">
        <v>3381</v>
      </c>
      <c r="Q1097" s="17">
        <f>IFERROR(__xludf.DUMMYFUNCTION("SPLIT(P:P, "" "")"),0.0750279919683669)</f>
        <v>0.07502799197</v>
      </c>
      <c r="R1097" s="4">
        <f>IFERROR(__xludf.DUMMYFUNCTION("""COMPUTED_VALUE"""),0.35937781526837)</f>
        <v>0.3593778153</v>
      </c>
      <c r="S1097" s="15">
        <v>9552.0</v>
      </c>
      <c r="T1097" s="4"/>
      <c r="U1097" s="4"/>
    </row>
    <row r="1098">
      <c r="A1098" s="4"/>
      <c r="B1098" s="17"/>
      <c r="C1098" s="4"/>
      <c r="D1098" s="4"/>
      <c r="E1098" s="4"/>
      <c r="F1098" s="4"/>
      <c r="G1098" s="17"/>
      <c r="H1098" s="4"/>
      <c r="I1098" s="4"/>
      <c r="J1098" s="4"/>
      <c r="K1098" s="14" t="s">
        <v>3382</v>
      </c>
      <c r="L1098" s="17">
        <f>IFERROR(__xludf.DUMMYFUNCTION("SPLIT(K:K, "" "")"),0.0824110985295479)</f>
        <v>0.08241109853</v>
      </c>
      <c r="M1098" s="4">
        <f>IFERROR(__xludf.DUMMYFUNCTION("""COMPUTED_VALUE"""),0.507780243328577)</f>
        <v>0.5077802433</v>
      </c>
      <c r="N1098" s="15">
        <v>6376.0</v>
      </c>
      <c r="O1098" s="4"/>
      <c r="P1098" s="14" t="s">
        <v>3383</v>
      </c>
      <c r="Q1098" s="17">
        <f>IFERROR(__xludf.DUMMYFUNCTION("SPLIT(P:P, "" "")"),0.0772793688305507)</f>
        <v>0.07727936883</v>
      </c>
      <c r="R1098" s="4">
        <f>IFERROR(__xludf.DUMMYFUNCTION("""COMPUTED_VALUE"""),0.363564703871808)</f>
        <v>0.3635647039</v>
      </c>
      <c r="S1098" s="15">
        <v>9564.0</v>
      </c>
      <c r="T1098" s="4"/>
      <c r="U1098" s="4"/>
    </row>
    <row r="1099">
      <c r="A1099" s="4"/>
      <c r="B1099" s="17"/>
      <c r="C1099" s="4"/>
      <c r="D1099" s="4"/>
      <c r="E1099" s="4"/>
      <c r="F1099" s="4"/>
      <c r="G1099" s="17"/>
      <c r="H1099" s="4"/>
      <c r="I1099" s="4"/>
      <c r="J1099" s="4"/>
      <c r="K1099" s="14" t="s">
        <v>3384</v>
      </c>
      <c r="L1099" s="17">
        <f>IFERROR(__xludf.DUMMYFUNCTION("SPLIT(K:K, "" "")"),0.0834270168055369)</f>
        <v>0.08342701681</v>
      </c>
      <c r="M1099" s="4">
        <f>IFERROR(__xludf.DUMMYFUNCTION("""COMPUTED_VALUE"""),0.508056445328146)</f>
        <v>0.5080564453</v>
      </c>
      <c r="N1099" s="15">
        <v>6384.0</v>
      </c>
      <c r="O1099" s="4"/>
      <c r="P1099" s="14" t="s">
        <v>3385</v>
      </c>
      <c r="Q1099" s="17">
        <f>IFERROR(__xludf.DUMMYFUNCTION("SPLIT(P:P, "" "")"),0.0760765682385971)</f>
        <v>0.07607656824</v>
      </c>
      <c r="R1099" s="4">
        <f>IFERROR(__xludf.DUMMYFUNCTION("""COMPUTED_VALUE"""),0.354115025086145)</f>
        <v>0.3541150251</v>
      </c>
      <c r="S1099" s="15">
        <v>9576.0</v>
      </c>
      <c r="T1099" s="4"/>
      <c r="U1099" s="4"/>
    </row>
    <row r="1100">
      <c r="A1100" s="4"/>
      <c r="B1100" s="17"/>
      <c r="C1100" s="4"/>
      <c r="D1100" s="4"/>
      <c r="E1100" s="4"/>
      <c r="F1100" s="4"/>
      <c r="G1100" s="17"/>
      <c r="H1100" s="4"/>
      <c r="I1100" s="4"/>
      <c r="J1100" s="4"/>
      <c r="K1100" s="14" t="s">
        <v>3386</v>
      </c>
      <c r="L1100" s="17">
        <f>IFERROR(__xludf.DUMMYFUNCTION("SPLIT(K:K, "" "")"),0.082694880361925)</f>
        <v>0.08269488036</v>
      </c>
      <c r="M1100" s="4">
        <f>IFERROR(__xludf.DUMMYFUNCTION("""COMPUTED_VALUE"""),0.507667523589933)</f>
        <v>0.5076675236</v>
      </c>
      <c r="N1100" s="15">
        <v>6392.0</v>
      </c>
      <c r="O1100" s="4"/>
      <c r="P1100" s="14" t="s">
        <v>3387</v>
      </c>
      <c r="Q1100" s="17">
        <f>IFERROR(__xludf.DUMMYFUNCTION("SPLIT(P:P, "" "")"),0.0772749188805969)</f>
        <v>0.07727491888</v>
      </c>
      <c r="R1100" s="4">
        <f>IFERROR(__xludf.DUMMYFUNCTION("""COMPUTED_VALUE"""),0.365605809549016)</f>
        <v>0.3656058095</v>
      </c>
      <c r="S1100" s="15">
        <v>9588.0</v>
      </c>
      <c r="T1100" s="4"/>
      <c r="U1100" s="4"/>
    </row>
    <row r="1101">
      <c r="A1101" s="4"/>
      <c r="B1101" s="17"/>
      <c r="C1101" s="4"/>
      <c r="D1101" s="4"/>
      <c r="E1101" s="4"/>
      <c r="F1101" s="4"/>
      <c r="G1101" s="17"/>
      <c r="H1101" s="4"/>
      <c r="I1101" s="4"/>
      <c r="J1101" s="4"/>
      <c r="K1101" s="14" t="s">
        <v>3388</v>
      </c>
      <c r="L1101" s="17">
        <f>IFERROR(__xludf.DUMMYFUNCTION("SPLIT(K:K, "" "")"),0.0849186929095799)</f>
        <v>0.08491869291</v>
      </c>
      <c r="M1101" s="4">
        <f>IFERROR(__xludf.DUMMYFUNCTION("""COMPUTED_VALUE"""),0.507922075622436)</f>
        <v>0.5079220756</v>
      </c>
      <c r="N1101" s="15">
        <v>6400.0</v>
      </c>
      <c r="O1101" s="4"/>
      <c r="P1101" s="14" t="s">
        <v>3389</v>
      </c>
      <c r="Q1101" s="17">
        <f>IFERROR(__xludf.DUMMYFUNCTION("SPLIT(P:P, "" "")"),0.0755573191918515)</f>
        <v>0.07555731919</v>
      </c>
      <c r="R1101" s="4">
        <f>IFERROR(__xludf.DUMMYFUNCTION("""COMPUTED_VALUE"""),0.360204023253066)</f>
        <v>0.3602040233</v>
      </c>
      <c r="S1101" s="15">
        <v>9600.0</v>
      </c>
      <c r="T1101" s="4"/>
      <c r="U1101" s="4"/>
    </row>
    <row r="1102">
      <c r="A1102" s="4"/>
      <c r="B1102" s="17"/>
      <c r="C1102" s="4"/>
      <c r="D1102" s="4"/>
      <c r="E1102" s="4"/>
      <c r="F1102" s="4"/>
      <c r="G1102" s="17"/>
      <c r="H1102" s="4"/>
      <c r="I1102" s="4"/>
      <c r="J1102" s="4"/>
      <c r="K1102" s="14" t="s">
        <v>3390</v>
      </c>
      <c r="L1102" s="17">
        <f>IFERROR(__xludf.DUMMYFUNCTION("SPLIT(K:K, "" "")"),0.0826827615638312)</f>
        <v>0.08268276156</v>
      </c>
      <c r="M1102" s="4">
        <f>IFERROR(__xludf.DUMMYFUNCTION("""COMPUTED_VALUE"""),0.508613659115245)</f>
        <v>0.5086136591</v>
      </c>
      <c r="N1102" s="15">
        <v>6408.0</v>
      </c>
      <c r="O1102" s="4"/>
      <c r="P1102" s="14" t="s">
        <v>3391</v>
      </c>
      <c r="Q1102" s="17">
        <f>IFERROR(__xludf.DUMMYFUNCTION("SPLIT(P:P, "" "")"),0.0751991731358025)</f>
        <v>0.07519917314</v>
      </c>
      <c r="R1102" s="4">
        <f>IFERROR(__xludf.DUMMYFUNCTION("""COMPUTED_VALUE"""),0.362303894774195)</f>
        <v>0.3623038948</v>
      </c>
      <c r="S1102" s="15">
        <v>9612.0</v>
      </c>
      <c r="T1102" s="4"/>
      <c r="U1102" s="4"/>
    </row>
    <row r="1103">
      <c r="A1103" s="4"/>
      <c r="B1103" s="17"/>
      <c r="C1103" s="4"/>
      <c r="D1103" s="4"/>
      <c r="E1103" s="4"/>
      <c r="F1103" s="4"/>
      <c r="G1103" s="17"/>
      <c r="H1103" s="4"/>
      <c r="I1103" s="4"/>
      <c r="J1103" s="4"/>
      <c r="K1103" s="14" t="s">
        <v>3392</v>
      </c>
      <c r="L1103" s="17">
        <f>IFERROR(__xludf.DUMMYFUNCTION("SPLIT(K:K, "" "")"),0.0827132621231169)</f>
        <v>0.08271326212</v>
      </c>
      <c r="M1103" s="4">
        <f>IFERROR(__xludf.DUMMYFUNCTION("""COMPUTED_VALUE"""),0.502828398896203)</f>
        <v>0.5028283989</v>
      </c>
      <c r="N1103" s="15">
        <v>6416.0</v>
      </c>
      <c r="O1103" s="4"/>
      <c r="P1103" s="14" t="s">
        <v>3393</v>
      </c>
      <c r="Q1103" s="17">
        <f>IFERROR(__xludf.DUMMYFUNCTION("SPLIT(P:P, "" "")"),0.0753242638053414)</f>
        <v>0.07532426381</v>
      </c>
      <c r="R1103" s="4">
        <f>IFERROR(__xludf.DUMMYFUNCTION("""COMPUTED_VALUE"""),0.362346278987752)</f>
        <v>0.362346279</v>
      </c>
      <c r="S1103" s="15">
        <v>9624.0</v>
      </c>
      <c r="T1103" s="4"/>
      <c r="U1103" s="4"/>
    </row>
    <row r="1104">
      <c r="A1104" s="4"/>
      <c r="B1104" s="17"/>
      <c r="C1104" s="4"/>
      <c r="D1104" s="4"/>
      <c r="E1104" s="4"/>
      <c r="F1104" s="4"/>
      <c r="G1104" s="17"/>
      <c r="H1104" s="4"/>
      <c r="I1104" s="4"/>
      <c r="J1104" s="4"/>
      <c r="K1104" s="14" t="s">
        <v>3394</v>
      </c>
      <c r="L1104" s="17">
        <f>IFERROR(__xludf.DUMMYFUNCTION("SPLIT(K:K, "" "")"),0.082241300121655)</f>
        <v>0.08224130012</v>
      </c>
      <c r="M1104" s="4">
        <f>IFERROR(__xludf.DUMMYFUNCTION("""COMPUTED_VALUE"""),0.502610389049331)</f>
        <v>0.502610389</v>
      </c>
      <c r="N1104" s="15">
        <v>6424.0</v>
      </c>
      <c r="O1104" s="4"/>
      <c r="P1104" s="14" t="s">
        <v>3395</v>
      </c>
      <c r="Q1104" s="17">
        <f>IFERROR(__xludf.DUMMYFUNCTION("SPLIT(P:P, "" "")"),0.0789032110104005)</f>
        <v>0.07890321101</v>
      </c>
      <c r="R1104" s="4">
        <f>IFERROR(__xludf.DUMMYFUNCTION("""COMPUTED_VALUE"""),0.368844728029949)</f>
        <v>0.368844728</v>
      </c>
      <c r="S1104" s="15">
        <v>9636.0</v>
      </c>
      <c r="T1104" s="4"/>
      <c r="U1104" s="4"/>
    </row>
    <row r="1105">
      <c r="A1105" s="4"/>
      <c r="B1105" s="17"/>
      <c r="C1105" s="4"/>
      <c r="D1105" s="4"/>
      <c r="E1105" s="4"/>
      <c r="F1105" s="4"/>
      <c r="G1105" s="17"/>
      <c r="H1105" s="4"/>
      <c r="I1105" s="4"/>
      <c r="J1105" s="4"/>
      <c r="K1105" s="14" t="s">
        <v>3396</v>
      </c>
      <c r="L1105" s="17">
        <f>IFERROR(__xludf.DUMMYFUNCTION("SPLIT(K:K, "" "")"),0.0839329937042578)</f>
        <v>0.0839329937</v>
      </c>
      <c r="M1105" s="4">
        <f>IFERROR(__xludf.DUMMYFUNCTION("""COMPUTED_VALUE"""),0.500798848588775)</f>
        <v>0.5007988486</v>
      </c>
      <c r="N1105" s="15">
        <v>6432.0</v>
      </c>
      <c r="O1105" s="4"/>
      <c r="P1105" s="14" t="s">
        <v>3397</v>
      </c>
      <c r="Q1105" s="17">
        <f>IFERROR(__xludf.DUMMYFUNCTION("SPLIT(P:P, "" "")"),0.0758431080103537)</f>
        <v>0.07584310801</v>
      </c>
      <c r="R1105" s="4">
        <f>IFERROR(__xludf.DUMMYFUNCTION("""COMPUTED_VALUE"""),0.364255782627338)</f>
        <v>0.3642557826</v>
      </c>
      <c r="S1105" s="15">
        <v>9648.0</v>
      </c>
      <c r="T1105" s="4"/>
      <c r="U1105" s="4"/>
    </row>
    <row r="1106">
      <c r="A1106" s="4"/>
      <c r="B1106" s="17"/>
      <c r="C1106" s="4"/>
      <c r="D1106" s="4"/>
      <c r="E1106" s="4"/>
      <c r="F1106" s="4"/>
      <c r="G1106" s="17"/>
      <c r="H1106" s="4"/>
      <c r="I1106" s="4"/>
      <c r="J1106" s="4"/>
      <c r="K1106" s="14" t="s">
        <v>3398</v>
      </c>
      <c r="L1106" s="17">
        <f>IFERROR(__xludf.DUMMYFUNCTION("SPLIT(K:K, "" "")"),0.082662083782317)</f>
        <v>0.08266208378</v>
      </c>
      <c r="M1106" s="4">
        <f>IFERROR(__xludf.DUMMYFUNCTION("""COMPUTED_VALUE"""),0.5059305871372)</f>
        <v>0.5059305871</v>
      </c>
      <c r="N1106" s="15">
        <v>6440.0</v>
      </c>
      <c r="O1106" s="4"/>
      <c r="P1106" s="14" t="s">
        <v>3399</v>
      </c>
      <c r="Q1106" s="17">
        <f>IFERROR(__xludf.DUMMYFUNCTION("SPLIT(P:P, "" "")"),0.0759789707943742)</f>
        <v>0.07597897079</v>
      </c>
      <c r="R1106" s="4">
        <f>IFERROR(__xludf.DUMMYFUNCTION("""COMPUTED_VALUE"""),0.363429153764954)</f>
        <v>0.3634291538</v>
      </c>
      <c r="S1106" s="15">
        <v>9660.0</v>
      </c>
      <c r="T1106" s="4"/>
      <c r="U1106" s="4"/>
    </row>
    <row r="1107">
      <c r="A1107" s="4"/>
      <c r="B1107" s="17"/>
      <c r="C1107" s="4"/>
      <c r="D1107" s="4"/>
      <c r="E1107" s="4"/>
      <c r="F1107" s="4"/>
      <c r="G1107" s="17"/>
      <c r="H1107" s="4"/>
      <c r="I1107" s="4"/>
      <c r="J1107" s="4"/>
      <c r="K1107" s="14" t="s">
        <v>3400</v>
      </c>
      <c r="L1107" s="17">
        <f>IFERROR(__xludf.DUMMYFUNCTION("SPLIT(K:K, "" "")"),0.0800477603883388)</f>
        <v>0.08004776039</v>
      </c>
      <c r="M1107" s="4">
        <f>IFERROR(__xludf.DUMMYFUNCTION("""COMPUTED_VALUE"""),0.502131375236212)</f>
        <v>0.5021313752</v>
      </c>
      <c r="N1107" s="15">
        <v>6448.0</v>
      </c>
      <c r="O1107" s="4"/>
      <c r="P1107" s="14" t="s">
        <v>3401</v>
      </c>
      <c r="Q1107" s="17">
        <f>IFERROR(__xludf.DUMMYFUNCTION("SPLIT(P:P, "" "")"),0.0767262848672712)</f>
        <v>0.07672628487</v>
      </c>
      <c r="R1107" s="4">
        <f>IFERROR(__xludf.DUMMYFUNCTION("""COMPUTED_VALUE"""),0.371870647339822)</f>
        <v>0.3718706473</v>
      </c>
      <c r="S1107" s="15">
        <v>9672.0</v>
      </c>
      <c r="T1107" s="4"/>
      <c r="U1107" s="4"/>
    </row>
    <row r="1108">
      <c r="A1108" s="4"/>
      <c r="B1108" s="17"/>
      <c r="C1108" s="4"/>
      <c r="D1108" s="4"/>
      <c r="E1108" s="4"/>
      <c r="F1108" s="4"/>
      <c r="G1108" s="17"/>
      <c r="H1108" s="4"/>
      <c r="I1108" s="4"/>
      <c r="J1108" s="4"/>
      <c r="K1108" s="14" t="s">
        <v>3402</v>
      </c>
      <c r="L1108" s="17">
        <f>IFERROR(__xludf.DUMMYFUNCTION("SPLIT(K:K, "" "")"),0.0849561290840921)</f>
        <v>0.08495612908</v>
      </c>
      <c r="M1108" s="4">
        <f>IFERROR(__xludf.DUMMYFUNCTION("""COMPUTED_VALUE"""),0.506178719119447)</f>
        <v>0.5061787191</v>
      </c>
      <c r="N1108" s="15">
        <v>6456.0</v>
      </c>
      <c r="O1108" s="4"/>
      <c r="P1108" s="14" t="s">
        <v>3403</v>
      </c>
      <c r="Q1108" s="17">
        <f>IFERROR(__xludf.DUMMYFUNCTION("SPLIT(P:P, "" "")"),0.0750992737491367)</f>
        <v>0.07509927375</v>
      </c>
      <c r="R1108" s="4">
        <f>IFERROR(__xludf.DUMMYFUNCTION("""COMPUTED_VALUE"""),0.358115555825773)</f>
        <v>0.3581155558</v>
      </c>
      <c r="S1108" s="15">
        <v>9684.0</v>
      </c>
      <c r="T1108" s="4"/>
      <c r="U1108" s="4"/>
    </row>
    <row r="1109">
      <c r="A1109" s="4"/>
      <c r="B1109" s="17"/>
      <c r="C1109" s="4"/>
      <c r="D1109" s="4"/>
      <c r="E1109" s="4"/>
      <c r="F1109" s="4"/>
      <c r="G1109" s="17"/>
      <c r="H1109" s="4"/>
      <c r="I1109" s="4"/>
      <c r="J1109" s="4"/>
      <c r="K1109" s="14" t="s">
        <v>3404</v>
      </c>
      <c r="L1109" s="17">
        <f>IFERROR(__xludf.DUMMYFUNCTION("SPLIT(K:K, "" "")"),0.0831343753444718)</f>
        <v>0.08313437534</v>
      </c>
      <c r="M1109" s="4">
        <f>IFERROR(__xludf.DUMMYFUNCTION("""COMPUTED_VALUE"""),0.503540634709622)</f>
        <v>0.5035406347</v>
      </c>
      <c r="N1109" s="15">
        <v>6464.0</v>
      </c>
      <c r="O1109" s="4"/>
      <c r="P1109" s="14" t="s">
        <v>3405</v>
      </c>
      <c r="Q1109" s="17">
        <f>IFERROR(__xludf.DUMMYFUNCTION("SPLIT(P:P, "" "")"),0.0743189871657249)</f>
        <v>0.07431898717</v>
      </c>
      <c r="R1109" s="4">
        <f>IFERROR(__xludf.DUMMYFUNCTION("""COMPUTED_VALUE"""),0.362383267950573)</f>
        <v>0.362383268</v>
      </c>
      <c r="S1109" s="15">
        <v>9696.0</v>
      </c>
      <c r="T1109" s="4"/>
      <c r="U1109" s="4"/>
    </row>
    <row r="1110">
      <c r="A1110" s="4"/>
      <c r="B1110" s="17"/>
      <c r="C1110" s="4"/>
      <c r="D1110" s="4"/>
      <c r="E1110" s="4"/>
      <c r="F1110" s="4"/>
      <c r="G1110" s="17"/>
      <c r="H1110" s="4"/>
      <c r="I1110" s="4"/>
      <c r="J1110" s="4"/>
      <c r="K1110" s="14" t="s">
        <v>3406</v>
      </c>
      <c r="L1110" s="17">
        <f>IFERROR(__xludf.DUMMYFUNCTION("SPLIT(K:K, "" "")"),0.0825131340043927)</f>
        <v>0.082513134</v>
      </c>
      <c r="M1110" s="4">
        <f>IFERROR(__xludf.DUMMYFUNCTION("""COMPUTED_VALUE"""),0.508873426651465)</f>
        <v>0.5088734267</v>
      </c>
      <c r="N1110" s="15">
        <v>6472.0</v>
      </c>
      <c r="O1110" s="4"/>
      <c r="P1110" s="14" t="s">
        <v>3407</v>
      </c>
      <c r="Q1110" s="17">
        <f>IFERROR(__xludf.DUMMYFUNCTION("SPLIT(P:P, "" "")"),0.0758493007286593)</f>
        <v>0.07584930073</v>
      </c>
      <c r="R1110" s="4">
        <f>IFERROR(__xludf.DUMMYFUNCTION("""COMPUTED_VALUE"""),0.364011598243301)</f>
        <v>0.3640115982</v>
      </c>
      <c r="S1110" s="15">
        <v>9708.0</v>
      </c>
      <c r="T1110" s="4"/>
      <c r="U1110" s="4"/>
    </row>
    <row r="1111">
      <c r="A1111" s="4"/>
      <c r="B1111" s="17"/>
      <c r="C1111" s="4"/>
      <c r="D1111" s="4"/>
      <c r="E1111" s="4"/>
      <c r="F1111" s="4"/>
      <c r="G1111" s="17"/>
      <c r="H1111" s="4"/>
      <c r="I1111" s="4"/>
      <c r="J1111" s="4"/>
      <c r="K1111" s="14" t="s">
        <v>3408</v>
      </c>
      <c r="L1111" s="17">
        <f>IFERROR(__xludf.DUMMYFUNCTION("SPLIT(K:K, "" "")"),0.0822281446322352)</f>
        <v>0.08222814463</v>
      </c>
      <c r="M1111" s="4">
        <f>IFERROR(__xludf.DUMMYFUNCTION("""COMPUTED_VALUE"""),0.504782117740892)</f>
        <v>0.5047821177</v>
      </c>
      <c r="N1111" s="15">
        <v>6480.0</v>
      </c>
      <c r="O1111" s="4"/>
      <c r="P1111" s="14" t="s">
        <v>3409</v>
      </c>
      <c r="Q1111" s="17">
        <f>IFERROR(__xludf.DUMMYFUNCTION("SPLIT(P:P, "" "")"),0.0772187836019722)</f>
        <v>0.0772187836</v>
      </c>
      <c r="R1111" s="4">
        <f>IFERROR(__xludf.DUMMYFUNCTION("""COMPUTED_VALUE"""),0.362501389031793)</f>
        <v>0.362501389</v>
      </c>
      <c r="S1111" s="15">
        <v>9720.0</v>
      </c>
      <c r="T1111" s="4"/>
      <c r="U1111" s="4"/>
    </row>
    <row r="1112">
      <c r="A1112" s="4"/>
      <c r="B1112" s="17"/>
      <c r="C1112" s="4"/>
      <c r="D1112" s="4"/>
      <c r="E1112" s="4"/>
      <c r="F1112" s="4"/>
      <c r="G1112" s="17"/>
      <c r="H1112" s="4"/>
      <c r="I1112" s="4"/>
      <c r="J1112" s="4"/>
      <c r="K1112" s="14" t="s">
        <v>3410</v>
      </c>
      <c r="L1112" s="17">
        <f>IFERROR(__xludf.DUMMYFUNCTION("SPLIT(K:K, "" "")"),0.0826187781887436)</f>
        <v>0.08261877819</v>
      </c>
      <c r="M1112" s="4">
        <f>IFERROR(__xludf.DUMMYFUNCTION("""COMPUTED_VALUE"""),0.505995489824754)</f>
        <v>0.5059954898</v>
      </c>
      <c r="N1112" s="15">
        <v>6488.0</v>
      </c>
      <c r="O1112" s="4"/>
      <c r="P1112" s="14" t="s">
        <v>3411</v>
      </c>
      <c r="Q1112" s="17">
        <f>IFERROR(__xludf.DUMMYFUNCTION("SPLIT(P:P, "" "")"),0.074905752834899)</f>
        <v>0.07490575283</v>
      </c>
      <c r="R1112" s="4">
        <f>IFERROR(__xludf.DUMMYFUNCTION("""COMPUTED_VALUE"""),0.360568680025685)</f>
        <v>0.36056868</v>
      </c>
      <c r="S1112" s="15">
        <v>9732.0</v>
      </c>
      <c r="T1112" s="4"/>
      <c r="U1112" s="4"/>
    </row>
    <row r="1113">
      <c r="A1113" s="4"/>
      <c r="B1113" s="17"/>
      <c r="C1113" s="4"/>
      <c r="D1113" s="4"/>
      <c r="E1113" s="4"/>
      <c r="F1113" s="4"/>
      <c r="G1113" s="17"/>
      <c r="H1113" s="4"/>
      <c r="I1113" s="4"/>
      <c r="J1113" s="4"/>
      <c r="K1113" s="14" t="s">
        <v>3412</v>
      </c>
      <c r="L1113" s="17">
        <f>IFERROR(__xludf.DUMMYFUNCTION("SPLIT(K:K, "" "")"),0.0819678990513085)</f>
        <v>0.08196789905</v>
      </c>
      <c r="M1113" s="4">
        <f>IFERROR(__xludf.DUMMYFUNCTION("""COMPUTED_VALUE"""),0.507071913363006)</f>
        <v>0.5070719134</v>
      </c>
      <c r="N1113" s="15">
        <v>6496.0</v>
      </c>
      <c r="O1113" s="4"/>
      <c r="P1113" s="14" t="s">
        <v>3413</v>
      </c>
      <c r="Q1113" s="17">
        <f>IFERROR(__xludf.DUMMYFUNCTION("SPLIT(P:P, "" "")"),0.0749330534048443)</f>
        <v>0.0749330534</v>
      </c>
      <c r="R1113" s="4">
        <f>IFERROR(__xludf.DUMMYFUNCTION("""COMPUTED_VALUE"""),0.362510074925756)</f>
        <v>0.3625100749</v>
      </c>
      <c r="S1113" s="15">
        <v>9744.0</v>
      </c>
      <c r="T1113" s="4"/>
      <c r="U1113" s="4"/>
    </row>
    <row r="1114">
      <c r="A1114" s="4"/>
      <c r="B1114" s="17"/>
      <c r="C1114" s="4"/>
      <c r="D1114" s="4"/>
      <c r="E1114" s="4"/>
      <c r="F1114" s="4"/>
      <c r="G1114" s="17"/>
      <c r="H1114" s="4"/>
      <c r="I1114" s="4"/>
      <c r="J1114" s="4"/>
      <c r="K1114" s="14" t="s">
        <v>3414</v>
      </c>
      <c r="L1114" s="17">
        <f>IFERROR(__xludf.DUMMYFUNCTION("SPLIT(K:K, "" "")"),0.0824128561326343)</f>
        <v>0.08241285613</v>
      </c>
      <c r="M1114" s="4">
        <f>IFERROR(__xludf.DUMMYFUNCTION("""COMPUTED_VALUE"""),0.503777824986752)</f>
        <v>0.503777825</v>
      </c>
      <c r="N1114" s="15">
        <v>6504.0</v>
      </c>
      <c r="O1114" s="4"/>
      <c r="P1114" s="14" t="s">
        <v>3415</v>
      </c>
      <c r="Q1114" s="17">
        <f>IFERROR(__xludf.DUMMYFUNCTION("SPLIT(P:P, "" "")"),0.0800069579270394)</f>
        <v>0.08000695793</v>
      </c>
      <c r="R1114" s="4">
        <f>IFERROR(__xludf.DUMMYFUNCTION("""COMPUTED_VALUE"""),0.370028450238793)</f>
        <v>0.3700284502</v>
      </c>
      <c r="S1114" s="15">
        <v>9756.0</v>
      </c>
      <c r="T1114" s="4"/>
      <c r="U1114" s="4"/>
    </row>
    <row r="1115">
      <c r="A1115" s="4"/>
      <c r="B1115" s="17"/>
      <c r="C1115" s="4"/>
      <c r="D1115" s="4"/>
      <c r="E1115" s="4"/>
      <c r="F1115" s="4"/>
      <c r="G1115" s="17"/>
      <c r="H1115" s="4"/>
      <c r="I1115" s="4"/>
      <c r="J1115" s="4"/>
      <c r="K1115" s="14" t="s">
        <v>3416</v>
      </c>
      <c r="L1115" s="17">
        <f>IFERROR(__xludf.DUMMYFUNCTION("SPLIT(K:K, "" "")"),0.0820374043481313)</f>
        <v>0.08203740435</v>
      </c>
      <c r="M1115" s="4">
        <f>IFERROR(__xludf.DUMMYFUNCTION("""COMPUTED_VALUE"""),0.51062509070734)</f>
        <v>0.5106250907</v>
      </c>
      <c r="N1115" s="15">
        <v>6512.0</v>
      </c>
      <c r="O1115" s="4"/>
      <c r="P1115" s="14" t="s">
        <v>3417</v>
      </c>
      <c r="Q1115" s="17">
        <f>IFERROR(__xludf.DUMMYFUNCTION("SPLIT(P:P, "" "")"),0.0771635077023095)</f>
        <v>0.0771635077</v>
      </c>
      <c r="R1115" s="4">
        <f>IFERROR(__xludf.DUMMYFUNCTION("""COMPUTED_VALUE"""),0.362141144410179)</f>
        <v>0.3621411444</v>
      </c>
      <c r="S1115" s="15">
        <v>9768.0</v>
      </c>
      <c r="T1115" s="4"/>
      <c r="U1115" s="4"/>
    </row>
    <row r="1116">
      <c r="A1116" s="4"/>
      <c r="B1116" s="17"/>
      <c r="C1116" s="4"/>
      <c r="D1116" s="4"/>
      <c r="E1116" s="4"/>
      <c r="F1116" s="4"/>
      <c r="G1116" s="17"/>
      <c r="H1116" s="4"/>
      <c r="I1116" s="4"/>
      <c r="J1116" s="4"/>
      <c r="K1116" s="14" t="s">
        <v>3418</v>
      </c>
      <c r="L1116" s="17">
        <f>IFERROR(__xludf.DUMMYFUNCTION("SPLIT(K:K, "" "")"),0.0819379565143663)</f>
        <v>0.08193795651</v>
      </c>
      <c r="M1116" s="4">
        <f>IFERROR(__xludf.DUMMYFUNCTION("""COMPUTED_VALUE"""),0.502759615348076)</f>
        <v>0.5027596153</v>
      </c>
      <c r="N1116" s="15">
        <v>6520.0</v>
      </c>
      <c r="O1116" s="4"/>
      <c r="P1116" s="14" t="s">
        <v>3419</v>
      </c>
      <c r="Q1116" s="17">
        <f>IFERROR(__xludf.DUMMYFUNCTION("SPLIT(P:P, "" "")"),0.0753854162650548)</f>
        <v>0.07538541627</v>
      </c>
      <c r="R1116" s="4">
        <f>IFERROR(__xludf.DUMMYFUNCTION("""COMPUTED_VALUE"""),0.365273604456143)</f>
        <v>0.3652736045</v>
      </c>
      <c r="S1116" s="15">
        <v>9780.0</v>
      </c>
      <c r="T1116" s="4"/>
      <c r="U1116" s="4"/>
    </row>
    <row r="1117">
      <c r="A1117" s="4"/>
      <c r="B1117" s="17"/>
      <c r="C1117" s="4"/>
      <c r="D1117" s="4"/>
      <c r="E1117" s="4"/>
      <c r="F1117" s="4"/>
      <c r="G1117" s="17"/>
      <c r="H1117" s="4"/>
      <c r="I1117" s="4"/>
      <c r="J1117" s="4"/>
      <c r="K1117" s="14" t="s">
        <v>3420</v>
      </c>
      <c r="L1117" s="17">
        <f>IFERROR(__xludf.DUMMYFUNCTION("SPLIT(K:K, "" "")"),0.0811435601972205)</f>
        <v>0.0811435602</v>
      </c>
      <c r="M1117" s="4">
        <f>IFERROR(__xludf.DUMMYFUNCTION("""COMPUTED_VALUE"""),0.503188623700289)</f>
        <v>0.5031886237</v>
      </c>
      <c r="N1117" s="15">
        <v>6528.0</v>
      </c>
      <c r="O1117" s="4"/>
      <c r="P1117" s="14" t="s">
        <v>3421</v>
      </c>
      <c r="Q1117" s="17">
        <f>IFERROR(__xludf.DUMMYFUNCTION("SPLIT(P:P, "" "")"),0.0763997713750908)</f>
        <v>0.07639977138</v>
      </c>
      <c r="R1117" s="4">
        <f>IFERROR(__xludf.DUMMYFUNCTION("""COMPUTED_VALUE"""),0.362581403734547)</f>
        <v>0.3625814037</v>
      </c>
      <c r="S1117" s="15">
        <v>9792.0</v>
      </c>
      <c r="T1117" s="4"/>
      <c r="U1117" s="4"/>
    </row>
    <row r="1118">
      <c r="A1118" s="4"/>
      <c r="B1118" s="17"/>
      <c r="C1118" s="4"/>
      <c r="D1118" s="4"/>
      <c r="E1118" s="4"/>
      <c r="F1118" s="4"/>
      <c r="G1118" s="17"/>
      <c r="H1118" s="4"/>
      <c r="I1118" s="4"/>
      <c r="J1118" s="4"/>
      <c r="K1118" s="14" t="s">
        <v>3422</v>
      </c>
      <c r="L1118" s="17">
        <f>IFERROR(__xludf.DUMMYFUNCTION("SPLIT(K:K, "" "")"),0.0824255869758931)</f>
        <v>0.08242558698</v>
      </c>
      <c r="M1118" s="4">
        <f>IFERROR(__xludf.DUMMYFUNCTION("""COMPUTED_VALUE"""),0.500356064097117)</f>
        <v>0.5003560641</v>
      </c>
      <c r="N1118" s="15">
        <v>6536.0</v>
      </c>
      <c r="O1118" s="4"/>
      <c r="P1118" s="14" t="s">
        <v>3423</v>
      </c>
      <c r="Q1118" s="17">
        <f>IFERROR(__xludf.DUMMYFUNCTION("SPLIT(P:P, "" "")"),0.0777864728214998)</f>
        <v>0.07778647282</v>
      </c>
      <c r="R1118" s="4">
        <f>IFERROR(__xludf.DUMMYFUNCTION("""COMPUTED_VALUE"""),0.372060128225681)</f>
        <v>0.3720601282</v>
      </c>
      <c r="S1118" s="15">
        <v>9804.0</v>
      </c>
      <c r="T1118" s="4"/>
      <c r="U1118" s="4"/>
    </row>
    <row r="1119">
      <c r="A1119" s="4"/>
      <c r="B1119" s="17"/>
      <c r="C1119" s="4"/>
      <c r="D1119" s="4"/>
      <c r="E1119" s="4"/>
      <c r="F1119" s="4"/>
      <c r="G1119" s="17"/>
      <c r="H1119" s="4"/>
      <c r="I1119" s="4"/>
      <c r="J1119" s="4"/>
      <c r="K1119" s="14" t="s">
        <v>3424</v>
      </c>
      <c r="L1119" s="17">
        <f>IFERROR(__xludf.DUMMYFUNCTION("SPLIT(K:K, "" "")"),0.0816217594224099)</f>
        <v>0.08162175942</v>
      </c>
      <c r="M1119" s="4">
        <f>IFERROR(__xludf.DUMMYFUNCTION("""COMPUTED_VALUE"""),0.507071944297519)</f>
        <v>0.5070719443</v>
      </c>
      <c r="N1119" s="15">
        <v>6544.0</v>
      </c>
      <c r="O1119" s="4"/>
      <c r="P1119" s="14" t="s">
        <v>3425</v>
      </c>
      <c r="Q1119" s="17">
        <f>IFERROR(__xludf.DUMMYFUNCTION("SPLIT(P:P, "" "")"),0.0745168209894632)</f>
        <v>0.07451682099</v>
      </c>
      <c r="R1119" s="4">
        <f>IFERROR(__xludf.DUMMYFUNCTION("""COMPUTED_VALUE"""),0.363504535777445)</f>
        <v>0.3635045358</v>
      </c>
      <c r="S1119" s="15">
        <v>9816.0</v>
      </c>
      <c r="T1119" s="4"/>
      <c r="U1119" s="4"/>
    </row>
    <row r="1120">
      <c r="A1120" s="4"/>
      <c r="B1120" s="17"/>
      <c r="C1120" s="4"/>
      <c r="D1120" s="4"/>
      <c r="E1120" s="4"/>
      <c r="F1120" s="4"/>
      <c r="G1120" s="17"/>
      <c r="H1120" s="4"/>
      <c r="I1120" s="4"/>
      <c r="J1120" s="4"/>
      <c r="K1120" s="14" t="s">
        <v>3426</v>
      </c>
      <c r="L1120" s="17">
        <f>IFERROR(__xludf.DUMMYFUNCTION("SPLIT(K:K, "" "")"),0.0832247352963631)</f>
        <v>0.0832247353</v>
      </c>
      <c r="M1120" s="4">
        <f>IFERROR(__xludf.DUMMYFUNCTION("""COMPUTED_VALUE"""),0.512163647569876)</f>
        <v>0.5121636476</v>
      </c>
      <c r="N1120" s="15">
        <v>6552.0</v>
      </c>
      <c r="O1120" s="4"/>
      <c r="P1120" s="14" t="s">
        <v>3427</v>
      </c>
      <c r="Q1120" s="17">
        <f>IFERROR(__xludf.DUMMYFUNCTION("SPLIT(P:P, "" "")"),0.0753865592622795)</f>
        <v>0.07538655926</v>
      </c>
      <c r="R1120" s="4">
        <f>IFERROR(__xludf.DUMMYFUNCTION("""COMPUTED_VALUE"""),0.357006998834076)</f>
        <v>0.3570069988</v>
      </c>
      <c r="S1120" s="15">
        <v>9828.0</v>
      </c>
      <c r="T1120" s="4"/>
      <c r="U1120" s="4"/>
    </row>
    <row r="1121">
      <c r="A1121" s="4"/>
      <c r="B1121" s="17"/>
      <c r="C1121" s="4"/>
      <c r="D1121" s="4"/>
      <c r="E1121" s="4"/>
      <c r="F1121" s="4"/>
      <c r="G1121" s="17"/>
      <c r="H1121" s="4"/>
      <c r="I1121" s="4"/>
      <c r="J1121" s="4"/>
      <c r="K1121" s="14" t="s">
        <v>3428</v>
      </c>
      <c r="L1121" s="17">
        <f>IFERROR(__xludf.DUMMYFUNCTION("SPLIT(K:K, "" "")"),0.0817906361171501)</f>
        <v>0.08179063612</v>
      </c>
      <c r="M1121" s="4">
        <f>IFERROR(__xludf.DUMMYFUNCTION("""COMPUTED_VALUE"""),0.505032181867782)</f>
        <v>0.5050321819</v>
      </c>
      <c r="N1121" s="15">
        <v>6560.0</v>
      </c>
      <c r="O1121" s="4"/>
      <c r="P1121" s="14" t="s">
        <v>3429</v>
      </c>
      <c r="Q1121" s="17">
        <f>IFERROR(__xludf.DUMMYFUNCTION("SPLIT(P:P, "" "")"),0.0746524295353474)</f>
        <v>0.07465242954</v>
      </c>
      <c r="R1121" s="4">
        <f>IFERROR(__xludf.DUMMYFUNCTION("""COMPUTED_VALUE"""),0.355603914971415)</f>
        <v>0.355603915</v>
      </c>
      <c r="S1121" s="15">
        <v>9840.0</v>
      </c>
      <c r="T1121" s="4"/>
      <c r="U1121" s="4"/>
    </row>
    <row r="1122">
      <c r="A1122" s="4"/>
      <c r="B1122" s="17"/>
      <c r="C1122" s="4"/>
      <c r="D1122" s="4"/>
      <c r="E1122" s="4"/>
      <c r="F1122" s="4"/>
      <c r="G1122" s="17"/>
      <c r="H1122" s="4"/>
      <c r="I1122" s="4"/>
      <c r="J1122" s="4"/>
      <c r="K1122" s="14" t="s">
        <v>3430</v>
      </c>
      <c r="L1122" s="17">
        <f>IFERROR(__xludf.DUMMYFUNCTION("SPLIT(K:K, "" "")"),0.0822340908623405)</f>
        <v>0.08223409086</v>
      </c>
      <c r="M1122" s="4">
        <f>IFERROR(__xludf.DUMMYFUNCTION("""COMPUTED_VALUE"""),0.512385948785175)</f>
        <v>0.5123859488</v>
      </c>
      <c r="N1122" s="15">
        <v>6568.0</v>
      </c>
      <c r="O1122" s="4"/>
      <c r="P1122" s="14" t="s">
        <v>3431</v>
      </c>
      <c r="Q1122" s="17">
        <f>IFERROR(__xludf.DUMMYFUNCTION("SPLIT(P:P, "" "")"),0.0747286423893174)</f>
        <v>0.07472864239</v>
      </c>
      <c r="R1122" s="4">
        <f>IFERROR(__xludf.DUMMYFUNCTION("""COMPUTED_VALUE"""),0.364035430035279)</f>
        <v>0.36403543</v>
      </c>
      <c r="S1122" s="15">
        <v>9852.0</v>
      </c>
      <c r="T1122" s="4"/>
      <c r="U1122" s="4"/>
    </row>
    <row r="1123">
      <c r="A1123" s="4"/>
      <c r="B1123" s="17"/>
      <c r="C1123" s="4"/>
      <c r="D1123" s="4"/>
      <c r="E1123" s="4"/>
      <c r="F1123" s="4"/>
      <c r="G1123" s="17"/>
      <c r="H1123" s="4"/>
      <c r="I1123" s="4"/>
      <c r="J1123" s="4"/>
      <c r="K1123" s="14" t="s">
        <v>3432</v>
      </c>
      <c r="L1123" s="17">
        <f>IFERROR(__xludf.DUMMYFUNCTION("SPLIT(K:K, "" "")"),0.0816471753782064)</f>
        <v>0.08164717538</v>
      </c>
      <c r="M1123" s="4">
        <f>IFERROR(__xludf.DUMMYFUNCTION("""COMPUTED_VALUE"""),0.502320473713729)</f>
        <v>0.5023204737</v>
      </c>
      <c r="N1123" s="15">
        <v>6576.0</v>
      </c>
      <c r="O1123" s="4"/>
      <c r="P1123" s="14" t="s">
        <v>3433</v>
      </c>
      <c r="Q1123" s="17">
        <f>IFERROR(__xludf.DUMMYFUNCTION("SPLIT(P:P, "" "")"),0.0737736579261555)</f>
        <v>0.07377365793</v>
      </c>
      <c r="R1123" s="4">
        <f>IFERROR(__xludf.DUMMYFUNCTION("""COMPUTED_VALUE"""),0.36020832828408)</f>
        <v>0.3602083283</v>
      </c>
      <c r="S1123" s="15">
        <v>9864.0</v>
      </c>
      <c r="T1123" s="4"/>
      <c r="U1123" s="4"/>
    </row>
    <row r="1124">
      <c r="A1124" s="4"/>
      <c r="B1124" s="17"/>
      <c r="C1124" s="4"/>
      <c r="D1124" s="4"/>
      <c r="E1124" s="4"/>
      <c r="F1124" s="4"/>
      <c r="G1124" s="17"/>
      <c r="H1124" s="4"/>
      <c r="I1124" s="4"/>
      <c r="J1124" s="4"/>
      <c r="K1124" s="14" t="s">
        <v>3434</v>
      </c>
      <c r="L1124" s="17">
        <f>IFERROR(__xludf.DUMMYFUNCTION("SPLIT(K:K, "" "")"),0.0834639897901826)</f>
        <v>0.08346398979</v>
      </c>
      <c r="M1124" s="4">
        <f>IFERROR(__xludf.DUMMYFUNCTION("""COMPUTED_VALUE"""),0.509448935726825)</f>
        <v>0.5094489357</v>
      </c>
      <c r="N1124" s="15">
        <v>6584.0</v>
      </c>
      <c r="O1124" s="4"/>
      <c r="P1124" s="14" t="s">
        <v>3435</v>
      </c>
      <c r="Q1124" s="17">
        <f>IFERROR(__xludf.DUMMYFUNCTION("SPLIT(P:P, "" "")"),0.0788082609444144)</f>
        <v>0.07880826094</v>
      </c>
      <c r="R1124" s="4">
        <f>IFERROR(__xludf.DUMMYFUNCTION("""COMPUTED_VALUE"""),0.364317043287465)</f>
        <v>0.3643170433</v>
      </c>
      <c r="S1124" s="15">
        <v>9876.0</v>
      </c>
      <c r="T1124" s="4"/>
      <c r="U1124" s="4"/>
    </row>
    <row r="1125">
      <c r="A1125" s="4"/>
      <c r="B1125" s="17"/>
      <c r="C1125" s="4"/>
      <c r="D1125" s="4"/>
      <c r="E1125" s="4"/>
      <c r="F1125" s="4"/>
      <c r="G1125" s="17"/>
      <c r="H1125" s="4"/>
      <c r="I1125" s="4"/>
      <c r="J1125" s="4"/>
      <c r="K1125" s="14" t="s">
        <v>3436</v>
      </c>
      <c r="L1125" s="17">
        <f>IFERROR(__xludf.DUMMYFUNCTION("SPLIT(K:K, "" "")"),0.0811796990637445)</f>
        <v>0.08117969906</v>
      </c>
      <c r="M1125" s="4">
        <f>IFERROR(__xludf.DUMMYFUNCTION("""COMPUTED_VALUE"""),0.513539511128407)</f>
        <v>0.5135395111</v>
      </c>
      <c r="N1125" s="15">
        <v>6592.0</v>
      </c>
      <c r="O1125" s="4"/>
      <c r="P1125" s="14" t="s">
        <v>3437</v>
      </c>
      <c r="Q1125" s="17">
        <f>IFERROR(__xludf.DUMMYFUNCTION("SPLIT(P:P, "" "")"),0.0760464258774346)</f>
        <v>0.07604642588</v>
      </c>
      <c r="R1125" s="4">
        <f>IFERROR(__xludf.DUMMYFUNCTION("""COMPUTED_VALUE"""),0.357642787814193)</f>
        <v>0.3576427878</v>
      </c>
      <c r="S1125" s="15">
        <v>9888.0</v>
      </c>
      <c r="T1125" s="4"/>
      <c r="U1125" s="4"/>
    </row>
    <row r="1126">
      <c r="A1126" s="4"/>
      <c r="B1126" s="17"/>
      <c r="C1126" s="4"/>
      <c r="D1126" s="4"/>
      <c r="E1126" s="4"/>
      <c r="F1126" s="4"/>
      <c r="G1126" s="17"/>
      <c r="H1126" s="4"/>
      <c r="I1126" s="4"/>
      <c r="J1126" s="4"/>
      <c r="K1126" s="14" t="s">
        <v>3438</v>
      </c>
      <c r="L1126" s="17">
        <f>IFERROR(__xludf.DUMMYFUNCTION("SPLIT(K:K, "" "")"),0.0827604354508353)</f>
        <v>0.08276043545</v>
      </c>
      <c r="M1126" s="4">
        <f>IFERROR(__xludf.DUMMYFUNCTION("""COMPUTED_VALUE"""),0.513237007555559)</f>
        <v>0.5132370076</v>
      </c>
      <c r="N1126" s="15">
        <v>6600.0</v>
      </c>
      <c r="O1126" s="4"/>
      <c r="P1126" s="14" t="s">
        <v>3439</v>
      </c>
      <c r="Q1126" s="17">
        <f>IFERROR(__xludf.DUMMYFUNCTION("SPLIT(P:P, "" "")"),0.0759681452549038)</f>
        <v>0.07596814525</v>
      </c>
      <c r="R1126" s="4">
        <f>IFERROR(__xludf.DUMMYFUNCTION("""COMPUTED_VALUE"""),0.359827132853451)</f>
        <v>0.3598271329</v>
      </c>
      <c r="S1126" s="15">
        <v>9900.0</v>
      </c>
      <c r="T1126" s="4"/>
      <c r="U1126" s="4"/>
    </row>
    <row r="1127">
      <c r="A1127" s="4"/>
      <c r="B1127" s="17"/>
      <c r="C1127" s="4"/>
      <c r="D1127" s="4"/>
      <c r="E1127" s="4"/>
      <c r="F1127" s="4"/>
      <c r="G1127" s="17"/>
      <c r="H1127" s="4"/>
      <c r="I1127" s="4"/>
      <c r="J1127" s="4"/>
      <c r="K1127" s="14" t="s">
        <v>3440</v>
      </c>
      <c r="L1127" s="17">
        <f>IFERROR(__xludf.DUMMYFUNCTION("SPLIT(K:K, "" "")"),0.0826297379625311)</f>
        <v>0.08262973796</v>
      </c>
      <c r="M1127" s="4">
        <f>IFERROR(__xludf.DUMMYFUNCTION("""COMPUTED_VALUE"""),0.511528490855471)</f>
        <v>0.5115284909</v>
      </c>
      <c r="N1127" s="15">
        <v>6608.0</v>
      </c>
      <c r="O1127" s="4"/>
      <c r="P1127" s="14" t="s">
        <v>3441</v>
      </c>
      <c r="Q1127" s="17">
        <f>IFERROR(__xludf.DUMMYFUNCTION("SPLIT(P:P, "" "")"),0.0737211104727318)</f>
        <v>0.07372111047</v>
      </c>
      <c r="R1127" s="4">
        <f>IFERROR(__xludf.DUMMYFUNCTION("""COMPUTED_VALUE"""),0.359504583322035)</f>
        <v>0.3595045833</v>
      </c>
      <c r="S1127" s="15">
        <v>9912.0</v>
      </c>
      <c r="T1127" s="4"/>
      <c r="U1127" s="4"/>
    </row>
    <row r="1128">
      <c r="A1128" s="4"/>
      <c r="B1128" s="17"/>
      <c r="C1128" s="4"/>
      <c r="D1128" s="4"/>
      <c r="E1128" s="4"/>
      <c r="F1128" s="4"/>
      <c r="G1128" s="17"/>
      <c r="H1128" s="4"/>
      <c r="I1128" s="4"/>
      <c r="J1128" s="4"/>
      <c r="K1128" s="14" t="s">
        <v>3442</v>
      </c>
      <c r="L1128" s="17">
        <f>IFERROR(__xludf.DUMMYFUNCTION("SPLIT(K:K, "" "")"),0.0808169267957686)</f>
        <v>0.0808169268</v>
      </c>
      <c r="M1128" s="4">
        <f>IFERROR(__xludf.DUMMYFUNCTION("""COMPUTED_VALUE"""),0.512762980514503)</f>
        <v>0.5127629805</v>
      </c>
      <c r="N1128" s="15">
        <v>6616.0</v>
      </c>
      <c r="O1128" s="4"/>
      <c r="P1128" s="14" t="s">
        <v>3443</v>
      </c>
      <c r="Q1128" s="17">
        <f>IFERROR(__xludf.DUMMYFUNCTION("SPLIT(P:P, "" "")"),0.0747004258609037)</f>
        <v>0.07470042586</v>
      </c>
      <c r="R1128" s="4">
        <f>IFERROR(__xludf.DUMMYFUNCTION("""COMPUTED_VALUE"""),0.355370108840611)</f>
        <v>0.3553701088</v>
      </c>
      <c r="S1128" s="15">
        <v>9924.0</v>
      </c>
      <c r="T1128" s="4"/>
      <c r="U1128" s="4"/>
    </row>
    <row r="1129">
      <c r="A1129" s="4"/>
      <c r="B1129" s="17"/>
      <c r="C1129" s="4"/>
      <c r="D1129" s="4"/>
      <c r="E1129" s="4"/>
      <c r="F1129" s="4"/>
      <c r="G1129" s="17"/>
      <c r="H1129" s="4"/>
      <c r="I1129" s="4"/>
      <c r="J1129" s="4"/>
      <c r="K1129" s="24" t="s">
        <v>3444</v>
      </c>
      <c r="L1129" s="25">
        <f>IFERROR(__xludf.DUMMYFUNCTION("SPLIT(K:K, "" "")"),0.084893818059678)</f>
        <v>0.08489381806</v>
      </c>
      <c r="M1129" s="26">
        <f>IFERROR(__xludf.DUMMYFUNCTION("""COMPUTED_VALUE"""),0.50688014818067)</f>
        <v>0.5068801482</v>
      </c>
      <c r="N1129" s="27">
        <v>6624.0</v>
      </c>
      <c r="O1129" s="4"/>
      <c r="P1129" s="14" t="s">
        <v>3445</v>
      </c>
      <c r="Q1129" s="17">
        <f>IFERROR(__xludf.DUMMYFUNCTION("SPLIT(P:P, "" "")"),0.0737512315560851)</f>
        <v>0.07375123156</v>
      </c>
      <c r="R1129" s="4">
        <f>IFERROR(__xludf.DUMMYFUNCTION("""COMPUTED_VALUE"""),0.359255411352933)</f>
        <v>0.3592554114</v>
      </c>
      <c r="S1129" s="15">
        <v>9936.0</v>
      </c>
      <c r="T1129" s="4"/>
      <c r="U1129" s="4"/>
    </row>
    <row r="1130">
      <c r="A1130" s="4"/>
      <c r="B1130" s="17"/>
      <c r="C1130" s="4"/>
      <c r="D1130" s="4"/>
      <c r="E1130" s="4"/>
      <c r="F1130" s="4"/>
      <c r="G1130" s="17"/>
      <c r="H1130" s="4"/>
      <c r="I1130" s="4"/>
      <c r="J1130" s="4"/>
      <c r="K1130" s="6"/>
      <c r="L1130" s="17"/>
      <c r="M1130" s="4"/>
      <c r="N1130" s="6"/>
      <c r="O1130" s="4"/>
      <c r="P1130" s="14" t="s">
        <v>3446</v>
      </c>
      <c r="Q1130" s="17">
        <f>IFERROR(__xludf.DUMMYFUNCTION("SPLIT(P:P, "" "")"),0.0731162122971298)</f>
        <v>0.0731162123</v>
      </c>
      <c r="R1130" s="4">
        <f>IFERROR(__xludf.DUMMYFUNCTION("""COMPUTED_VALUE"""),0.356487000170375)</f>
        <v>0.3564870002</v>
      </c>
      <c r="S1130" s="15">
        <v>9948.0</v>
      </c>
      <c r="T1130" s="4"/>
      <c r="U1130" s="4"/>
    </row>
    <row r="1131">
      <c r="A1131" s="4"/>
      <c r="B1131" s="17"/>
      <c r="C1131" s="4"/>
      <c r="D1131" s="4"/>
      <c r="E1131" s="4"/>
      <c r="F1131" s="4"/>
      <c r="G1131" s="17"/>
      <c r="H1131" s="4"/>
      <c r="I1131" s="4"/>
      <c r="J1131" s="4"/>
      <c r="K1131" s="6"/>
      <c r="L1131" s="17"/>
      <c r="M1131" s="4"/>
      <c r="N1131" s="6"/>
      <c r="O1131" s="4"/>
      <c r="P1131" s="14" t="s">
        <v>3447</v>
      </c>
      <c r="Q1131" s="17">
        <f>IFERROR(__xludf.DUMMYFUNCTION("SPLIT(P:P, "" "")"),0.0737689682190424)</f>
        <v>0.07376896822</v>
      </c>
      <c r="R1131" s="4">
        <f>IFERROR(__xludf.DUMMYFUNCTION("""COMPUTED_VALUE"""),0.360218245856279)</f>
        <v>0.3602182459</v>
      </c>
      <c r="S1131" s="15">
        <v>9960.0</v>
      </c>
      <c r="T1131" s="4"/>
      <c r="U1131" s="4"/>
    </row>
    <row r="1132">
      <c r="A1132" s="4"/>
      <c r="B1132" s="17"/>
      <c r="C1132" s="4"/>
      <c r="D1132" s="4"/>
      <c r="E1132" s="4"/>
      <c r="F1132" s="4"/>
      <c r="G1132" s="17"/>
      <c r="H1132" s="4"/>
      <c r="I1132" s="4"/>
      <c r="J1132" s="4"/>
      <c r="K1132" s="6"/>
      <c r="L1132" s="17"/>
      <c r="M1132" s="4"/>
      <c r="N1132" s="6"/>
      <c r="O1132" s="4"/>
      <c r="P1132" s="14" t="s">
        <v>3448</v>
      </c>
      <c r="Q1132" s="17">
        <f>IFERROR(__xludf.DUMMYFUNCTION("SPLIT(P:P, "" "")"),0.0747371981984361)</f>
        <v>0.0747371982</v>
      </c>
      <c r="R1132" s="4">
        <f>IFERROR(__xludf.DUMMYFUNCTION("""COMPUTED_VALUE"""),0.367421437045226)</f>
        <v>0.367421437</v>
      </c>
      <c r="S1132" s="15">
        <v>9972.0</v>
      </c>
      <c r="T1132" s="4"/>
      <c r="U1132" s="4"/>
    </row>
    <row r="1133">
      <c r="A1133" s="4"/>
      <c r="B1133" s="17"/>
      <c r="C1133" s="4"/>
      <c r="D1133" s="4"/>
      <c r="E1133" s="4"/>
      <c r="F1133" s="4"/>
      <c r="G1133" s="17"/>
      <c r="H1133" s="4"/>
      <c r="I1133" s="4"/>
      <c r="J1133" s="4"/>
      <c r="K1133" s="6"/>
      <c r="L1133" s="17"/>
      <c r="M1133" s="4"/>
      <c r="N1133" s="6"/>
      <c r="O1133" s="4"/>
      <c r="P1133" s="14" t="s">
        <v>3449</v>
      </c>
      <c r="Q1133" s="17">
        <f>IFERROR(__xludf.DUMMYFUNCTION("SPLIT(P:P, "" "")"),0.0745812127169596)</f>
        <v>0.07458121272</v>
      </c>
      <c r="R1133" s="4">
        <f>IFERROR(__xludf.DUMMYFUNCTION("""COMPUTED_VALUE"""),0.369751062658652)</f>
        <v>0.3697510627</v>
      </c>
      <c r="S1133" s="15">
        <v>9984.0</v>
      </c>
      <c r="T1133" s="4"/>
      <c r="U1133" s="4"/>
    </row>
    <row r="1134">
      <c r="A1134" s="4"/>
      <c r="B1134" s="17"/>
      <c r="C1134" s="4"/>
      <c r="D1134" s="4"/>
      <c r="E1134" s="4"/>
      <c r="F1134" s="4"/>
      <c r="G1134" s="17"/>
      <c r="H1134" s="4"/>
      <c r="I1134" s="4"/>
      <c r="J1134" s="4"/>
      <c r="K1134" s="6"/>
      <c r="L1134" s="17"/>
      <c r="M1134" s="4"/>
      <c r="N1134" s="6"/>
      <c r="O1134" s="4"/>
      <c r="P1134" s="14" t="s">
        <v>3450</v>
      </c>
      <c r="Q1134" s="17">
        <f>IFERROR(__xludf.DUMMYFUNCTION("SPLIT(P:P, "" "")"),0.0735772727477092)</f>
        <v>0.07357727275</v>
      </c>
      <c r="R1134" s="4">
        <f>IFERROR(__xludf.DUMMYFUNCTION("""COMPUTED_VALUE"""),0.362671866980326)</f>
        <v>0.362671867</v>
      </c>
      <c r="S1134" s="15">
        <v>9996.0</v>
      </c>
      <c r="T1134" s="4"/>
      <c r="U1134" s="4"/>
    </row>
    <row r="1135">
      <c r="A1135" s="4"/>
      <c r="B1135" s="17"/>
      <c r="C1135" s="4"/>
      <c r="D1135" s="4"/>
      <c r="E1135" s="4"/>
      <c r="F1135" s="4"/>
      <c r="G1135" s="17"/>
      <c r="H1135" s="4"/>
      <c r="I1135" s="4"/>
      <c r="J1135" s="4"/>
      <c r="K1135" s="6"/>
      <c r="L1135" s="17"/>
      <c r="M1135" s="4"/>
      <c r="N1135" s="6"/>
      <c r="O1135" s="4"/>
      <c r="P1135" s="14" t="s">
        <v>3451</v>
      </c>
      <c r="Q1135" s="17">
        <f>IFERROR(__xludf.DUMMYFUNCTION("SPLIT(P:P, "" "")"),0.0766583210488257)</f>
        <v>0.07665832105</v>
      </c>
      <c r="R1135" s="4">
        <f>IFERROR(__xludf.DUMMYFUNCTION("""COMPUTED_VALUE"""),0.368042724193865)</f>
        <v>0.3680427242</v>
      </c>
      <c r="S1135" s="15">
        <v>10008.0</v>
      </c>
      <c r="T1135" s="4"/>
      <c r="U1135" s="4"/>
    </row>
    <row r="1136">
      <c r="A1136" s="4"/>
      <c r="B1136" s="17"/>
      <c r="C1136" s="4"/>
      <c r="D1136" s="4"/>
      <c r="E1136" s="4"/>
      <c r="F1136" s="4"/>
      <c r="G1136" s="17"/>
      <c r="H1136" s="4"/>
      <c r="I1136" s="4"/>
      <c r="J1136" s="4"/>
      <c r="K1136" s="6"/>
      <c r="L1136" s="17"/>
      <c r="M1136" s="4"/>
      <c r="N1136" s="6"/>
      <c r="O1136" s="4"/>
      <c r="P1136" s="14" t="s">
        <v>3452</v>
      </c>
      <c r="Q1136" s="17">
        <f>IFERROR(__xludf.DUMMYFUNCTION("SPLIT(P:P, "" "")"),0.0729030852004882)</f>
        <v>0.0729030852</v>
      </c>
      <c r="R1136" s="4">
        <f>IFERROR(__xludf.DUMMYFUNCTION("""COMPUTED_VALUE"""),0.357918775555711)</f>
        <v>0.3579187756</v>
      </c>
      <c r="S1136" s="15">
        <v>10020.0</v>
      </c>
      <c r="T1136" s="4"/>
      <c r="U1136" s="4"/>
    </row>
    <row r="1137">
      <c r="A1137" s="4"/>
      <c r="B1137" s="17"/>
      <c r="C1137" s="4"/>
      <c r="D1137" s="4"/>
      <c r="E1137" s="4"/>
      <c r="F1137" s="4"/>
      <c r="G1137" s="17"/>
      <c r="H1137" s="4"/>
      <c r="I1137" s="4"/>
      <c r="J1137" s="4"/>
      <c r="K1137" s="6"/>
      <c r="L1137" s="17"/>
      <c r="M1137" s="4"/>
      <c r="N1137" s="6"/>
      <c r="O1137" s="4"/>
      <c r="P1137" s="14" t="s">
        <v>3453</v>
      </c>
      <c r="Q1137" s="17">
        <f>IFERROR(__xludf.DUMMYFUNCTION("SPLIT(P:P, "" "")"),0.0730534724523406)</f>
        <v>0.07305347245</v>
      </c>
      <c r="R1137" s="4">
        <f>IFERROR(__xludf.DUMMYFUNCTION("""COMPUTED_VALUE"""),0.357724663254298)</f>
        <v>0.3577246633</v>
      </c>
      <c r="S1137" s="15">
        <v>10032.0</v>
      </c>
      <c r="T1137" s="4"/>
      <c r="U1137" s="4"/>
    </row>
    <row r="1138">
      <c r="A1138" s="4"/>
      <c r="B1138" s="17"/>
      <c r="C1138" s="4"/>
      <c r="D1138" s="4"/>
      <c r="E1138" s="4"/>
      <c r="F1138" s="4"/>
      <c r="G1138" s="17"/>
      <c r="H1138" s="4"/>
      <c r="I1138" s="4"/>
      <c r="J1138" s="4"/>
      <c r="K1138" s="6"/>
      <c r="L1138" s="17"/>
      <c r="M1138" s="4"/>
      <c r="N1138" s="6"/>
      <c r="O1138" s="4"/>
      <c r="P1138" s="14" t="s">
        <v>3454</v>
      </c>
      <c r="Q1138" s="17">
        <f>IFERROR(__xludf.DUMMYFUNCTION("SPLIT(P:P, "" "")"),0.0746166468253725)</f>
        <v>0.07461664683</v>
      </c>
      <c r="R1138" s="4">
        <f>IFERROR(__xludf.DUMMYFUNCTION("""COMPUTED_VALUE"""),0.355862403675392)</f>
        <v>0.3558624037</v>
      </c>
      <c r="S1138" s="15">
        <v>10044.0</v>
      </c>
      <c r="T1138" s="4"/>
      <c r="U1138" s="4"/>
    </row>
    <row r="1139">
      <c r="A1139" s="4"/>
      <c r="B1139" s="17"/>
      <c r="C1139" s="4"/>
      <c r="D1139" s="4"/>
      <c r="E1139" s="4"/>
      <c r="F1139" s="4"/>
      <c r="G1139" s="17"/>
      <c r="H1139" s="4"/>
      <c r="I1139" s="4"/>
      <c r="J1139" s="4"/>
      <c r="K1139" s="6"/>
      <c r="L1139" s="17"/>
      <c r="M1139" s="4"/>
      <c r="N1139" s="6"/>
      <c r="O1139" s="4"/>
      <c r="P1139" s="14" t="s">
        <v>3455</v>
      </c>
      <c r="Q1139" s="17">
        <f>IFERROR(__xludf.DUMMYFUNCTION("SPLIT(P:P, "" "")"),0.0726243341527493)</f>
        <v>0.07262433415</v>
      </c>
      <c r="R1139" s="4">
        <f>IFERROR(__xludf.DUMMYFUNCTION("""COMPUTED_VALUE"""),0.35912995695582)</f>
        <v>0.359129957</v>
      </c>
      <c r="S1139" s="15">
        <v>10056.0</v>
      </c>
      <c r="T1139" s="4"/>
      <c r="U1139" s="4"/>
    </row>
    <row r="1140">
      <c r="A1140" s="4"/>
      <c r="B1140" s="17"/>
      <c r="C1140" s="4"/>
      <c r="D1140" s="4"/>
      <c r="E1140" s="4"/>
      <c r="F1140" s="4"/>
      <c r="G1140" s="17"/>
      <c r="H1140" s="4"/>
      <c r="I1140" s="4"/>
      <c r="J1140" s="4"/>
      <c r="K1140" s="6"/>
      <c r="L1140" s="17"/>
      <c r="M1140" s="4"/>
      <c r="N1140" s="6"/>
      <c r="O1140" s="4"/>
      <c r="P1140" s="14" t="s">
        <v>3456</v>
      </c>
      <c r="Q1140" s="17">
        <f>IFERROR(__xludf.DUMMYFUNCTION("SPLIT(P:P, "" "")"),0.0756579911862964)</f>
        <v>0.07565799119</v>
      </c>
      <c r="R1140" s="4">
        <f>IFERROR(__xludf.DUMMYFUNCTION("""COMPUTED_VALUE"""),0.364761780249278)</f>
        <v>0.3647617802</v>
      </c>
      <c r="S1140" s="15">
        <v>10068.0</v>
      </c>
      <c r="T1140" s="4"/>
      <c r="U1140" s="4"/>
    </row>
    <row r="1141">
      <c r="A1141" s="4"/>
      <c r="B1141" s="17"/>
      <c r="C1141" s="4"/>
      <c r="D1141" s="4"/>
      <c r="E1141" s="4"/>
      <c r="F1141" s="4"/>
      <c r="G1141" s="17"/>
      <c r="H1141" s="4"/>
      <c r="I1141" s="4"/>
      <c r="J1141" s="4"/>
      <c r="K1141" s="6"/>
      <c r="L1141" s="17"/>
      <c r="M1141" s="4"/>
      <c r="N1141" s="6"/>
      <c r="O1141" s="4"/>
      <c r="P1141" s="14" t="s">
        <v>3457</v>
      </c>
      <c r="Q1141" s="17">
        <f>IFERROR(__xludf.DUMMYFUNCTION("SPLIT(P:P, "" "")"),0.0733691901958809)</f>
        <v>0.0733691902</v>
      </c>
      <c r="R1141" s="4">
        <f>IFERROR(__xludf.DUMMYFUNCTION("""COMPUTED_VALUE"""),0.361978066009387)</f>
        <v>0.361978066</v>
      </c>
      <c r="S1141" s="15">
        <v>10080.0</v>
      </c>
      <c r="T1141" s="4"/>
      <c r="U1141" s="4"/>
    </row>
    <row r="1142">
      <c r="A1142" s="4"/>
      <c r="B1142" s="17"/>
      <c r="C1142" s="4"/>
      <c r="D1142" s="4"/>
      <c r="E1142" s="4"/>
      <c r="F1142" s="4"/>
      <c r="G1142" s="17"/>
      <c r="H1142" s="4"/>
      <c r="I1142" s="4"/>
      <c r="J1142" s="4"/>
      <c r="K1142" s="6"/>
      <c r="L1142" s="17"/>
      <c r="M1142" s="4"/>
      <c r="N1142" s="6"/>
      <c r="O1142" s="4"/>
      <c r="P1142" s="14" t="s">
        <v>3458</v>
      </c>
      <c r="Q1142" s="17">
        <f>IFERROR(__xludf.DUMMYFUNCTION("SPLIT(P:P, "" "")"),0.0736307769441511)</f>
        <v>0.07363077694</v>
      </c>
      <c r="R1142" s="4">
        <f>IFERROR(__xludf.DUMMYFUNCTION("""COMPUTED_VALUE"""),0.361119355955435)</f>
        <v>0.361119356</v>
      </c>
      <c r="S1142" s="15">
        <v>10092.0</v>
      </c>
      <c r="T1142" s="4"/>
      <c r="U1142" s="4"/>
    </row>
    <row r="1143">
      <c r="A1143" s="4"/>
      <c r="B1143" s="17"/>
      <c r="C1143" s="4"/>
      <c r="D1143" s="4"/>
      <c r="E1143" s="4"/>
      <c r="F1143" s="4"/>
      <c r="G1143" s="17"/>
      <c r="H1143" s="4"/>
      <c r="I1143" s="4"/>
      <c r="J1143" s="4"/>
      <c r="K1143" s="6"/>
      <c r="L1143" s="17"/>
      <c r="M1143" s="4"/>
      <c r="N1143" s="6"/>
      <c r="O1143" s="4"/>
      <c r="P1143" s="14" t="s">
        <v>3459</v>
      </c>
      <c r="Q1143" s="17">
        <f>IFERROR(__xludf.DUMMYFUNCTION("SPLIT(P:P, "" "")"),0.073405743046203)</f>
        <v>0.07340574305</v>
      </c>
      <c r="R1143" s="4">
        <f>IFERROR(__xludf.DUMMYFUNCTION("""COMPUTED_VALUE"""),0.35898880405608)</f>
        <v>0.3589888041</v>
      </c>
      <c r="S1143" s="15">
        <v>10104.0</v>
      </c>
      <c r="T1143" s="4"/>
      <c r="U1143" s="4"/>
    </row>
    <row r="1144">
      <c r="A1144" s="4"/>
      <c r="B1144" s="17"/>
      <c r="C1144" s="4"/>
      <c r="D1144" s="4"/>
      <c r="E1144" s="4"/>
      <c r="F1144" s="4"/>
      <c r="G1144" s="17"/>
      <c r="H1144" s="4"/>
      <c r="I1144" s="4"/>
      <c r="J1144" s="4"/>
      <c r="K1144" s="6"/>
      <c r="L1144" s="17"/>
      <c r="M1144" s="4"/>
      <c r="N1144" s="6"/>
      <c r="O1144" s="4"/>
      <c r="P1144" s="14" t="s">
        <v>3460</v>
      </c>
      <c r="Q1144" s="17">
        <f>IFERROR(__xludf.DUMMYFUNCTION("SPLIT(P:P, "" "")"),0.0738309418894234)</f>
        <v>0.07383094189</v>
      </c>
      <c r="R1144" s="4">
        <f>IFERROR(__xludf.DUMMYFUNCTION("""COMPUTED_VALUE"""),0.360250644286718)</f>
        <v>0.3602506443</v>
      </c>
      <c r="S1144" s="15">
        <v>10116.0</v>
      </c>
      <c r="T1144" s="4"/>
      <c r="U1144" s="4"/>
    </row>
    <row r="1145">
      <c r="A1145" s="4"/>
      <c r="B1145" s="17"/>
      <c r="C1145" s="4"/>
      <c r="D1145" s="4"/>
      <c r="E1145" s="4"/>
      <c r="F1145" s="4"/>
      <c r="G1145" s="17"/>
      <c r="H1145" s="4"/>
      <c r="I1145" s="4"/>
      <c r="J1145" s="4"/>
      <c r="K1145" s="6"/>
      <c r="L1145" s="17"/>
      <c r="M1145" s="4"/>
      <c r="N1145" s="6"/>
      <c r="O1145" s="4"/>
      <c r="P1145" s="14" t="s">
        <v>3461</v>
      </c>
      <c r="Q1145" s="17">
        <f>IFERROR(__xludf.DUMMYFUNCTION("SPLIT(P:P, "" "")"),0.0726747061649126)</f>
        <v>0.07267470616</v>
      </c>
      <c r="R1145" s="4">
        <f>IFERROR(__xludf.DUMMYFUNCTION("""COMPUTED_VALUE"""),0.355334226351286)</f>
        <v>0.3553342264</v>
      </c>
      <c r="S1145" s="15">
        <v>10128.0</v>
      </c>
      <c r="T1145" s="4"/>
      <c r="U1145" s="4"/>
    </row>
    <row r="1146">
      <c r="A1146" s="4"/>
      <c r="B1146" s="17"/>
      <c r="C1146" s="4"/>
      <c r="D1146" s="4"/>
      <c r="E1146" s="4"/>
      <c r="F1146" s="4"/>
      <c r="G1146" s="17"/>
      <c r="H1146" s="4"/>
      <c r="I1146" s="4"/>
      <c r="J1146" s="4"/>
      <c r="K1146" s="6"/>
      <c r="L1146" s="17"/>
      <c r="M1146" s="4"/>
      <c r="N1146" s="6"/>
      <c r="O1146" s="4"/>
      <c r="P1146" s="14" t="s">
        <v>3462</v>
      </c>
      <c r="Q1146" s="17">
        <f>IFERROR(__xludf.DUMMYFUNCTION("SPLIT(P:P, "" "")"),0.0733680509993362)</f>
        <v>0.073368051</v>
      </c>
      <c r="R1146" s="4">
        <f>IFERROR(__xludf.DUMMYFUNCTION("""COMPUTED_VALUE"""),0.362831668664294)</f>
        <v>0.3628316687</v>
      </c>
      <c r="S1146" s="15">
        <v>10140.0</v>
      </c>
      <c r="T1146" s="4"/>
      <c r="U1146" s="4"/>
    </row>
    <row r="1147">
      <c r="A1147" s="4"/>
      <c r="B1147" s="17"/>
      <c r="C1147" s="4"/>
      <c r="D1147" s="4"/>
      <c r="E1147" s="4"/>
      <c r="F1147" s="4"/>
      <c r="G1147" s="17"/>
      <c r="H1147" s="4"/>
      <c r="I1147" s="4"/>
      <c r="J1147" s="4"/>
      <c r="K1147" s="6"/>
      <c r="L1147" s="17"/>
      <c r="M1147" s="4"/>
      <c r="N1147" s="6"/>
      <c r="O1147" s="4"/>
      <c r="P1147" s="14" t="s">
        <v>3463</v>
      </c>
      <c r="Q1147" s="17">
        <f>IFERROR(__xludf.DUMMYFUNCTION("SPLIT(P:P, "" "")"),0.0749652765325034)</f>
        <v>0.07496527653</v>
      </c>
      <c r="R1147" s="4">
        <f>IFERROR(__xludf.DUMMYFUNCTION("""COMPUTED_VALUE"""),0.365795149327884)</f>
        <v>0.3657951493</v>
      </c>
      <c r="S1147" s="15">
        <v>10152.0</v>
      </c>
      <c r="T1147" s="4"/>
      <c r="U1147" s="4"/>
    </row>
    <row r="1148">
      <c r="A1148" s="4"/>
      <c r="B1148" s="17"/>
      <c r="C1148" s="4"/>
      <c r="D1148" s="4"/>
      <c r="E1148" s="4"/>
      <c r="F1148" s="4"/>
      <c r="G1148" s="17"/>
      <c r="H1148" s="4"/>
      <c r="I1148" s="4"/>
      <c r="J1148" s="4"/>
      <c r="K1148" s="6"/>
      <c r="L1148" s="17"/>
      <c r="M1148" s="4"/>
      <c r="N1148" s="6"/>
      <c r="O1148" s="4"/>
      <c r="P1148" s="14" t="s">
        <v>3464</v>
      </c>
      <c r="Q1148" s="17">
        <f>IFERROR(__xludf.DUMMYFUNCTION("SPLIT(P:P, "" "")"),0.0736906328636239)</f>
        <v>0.07369063286</v>
      </c>
      <c r="R1148" s="4">
        <f>IFERROR(__xludf.DUMMYFUNCTION("""COMPUTED_VALUE"""),0.3638841604531)</f>
        <v>0.3638841605</v>
      </c>
      <c r="S1148" s="15">
        <v>10164.0</v>
      </c>
      <c r="T1148" s="4"/>
      <c r="U1148" s="4"/>
    </row>
    <row r="1149">
      <c r="A1149" s="4"/>
      <c r="B1149" s="17"/>
      <c r="C1149" s="4"/>
      <c r="D1149" s="4"/>
      <c r="E1149" s="4"/>
      <c r="F1149" s="4"/>
      <c r="G1149" s="17"/>
      <c r="H1149" s="4"/>
      <c r="I1149" s="4"/>
      <c r="J1149" s="4"/>
      <c r="K1149" s="6"/>
      <c r="L1149" s="17"/>
      <c r="M1149" s="4"/>
      <c r="N1149" s="6"/>
      <c r="O1149" s="4"/>
      <c r="P1149" s="14" t="s">
        <v>3465</v>
      </c>
      <c r="Q1149" s="17">
        <f>IFERROR(__xludf.DUMMYFUNCTION("SPLIT(P:P, "" "")"),0.073402483399003)</f>
        <v>0.0734024834</v>
      </c>
      <c r="R1149" s="4">
        <f>IFERROR(__xludf.DUMMYFUNCTION("""COMPUTED_VALUE"""),0.355647770851228)</f>
        <v>0.3556477709</v>
      </c>
      <c r="S1149" s="15">
        <v>10176.0</v>
      </c>
      <c r="T1149" s="4"/>
      <c r="U1149" s="4"/>
    </row>
    <row r="1150">
      <c r="A1150" s="4"/>
      <c r="B1150" s="17"/>
      <c r="C1150" s="4"/>
      <c r="D1150" s="4"/>
      <c r="E1150" s="4"/>
      <c r="F1150" s="4"/>
      <c r="G1150" s="17"/>
      <c r="H1150" s="4"/>
      <c r="I1150" s="4"/>
      <c r="J1150" s="4"/>
      <c r="K1150" s="6"/>
      <c r="L1150" s="30"/>
      <c r="M1150" s="4"/>
      <c r="N1150" s="6"/>
      <c r="O1150" s="4"/>
      <c r="P1150" s="14" t="s">
        <v>3466</v>
      </c>
      <c r="Q1150" s="17">
        <f>IFERROR(__xludf.DUMMYFUNCTION("SPLIT(P:P, "" "")"),0.0753246864885859)</f>
        <v>0.07532468649</v>
      </c>
      <c r="R1150" s="4">
        <f>IFERROR(__xludf.DUMMYFUNCTION("""COMPUTED_VALUE"""),0.366347710893926)</f>
        <v>0.3663477109</v>
      </c>
      <c r="S1150" s="15">
        <v>10188.0</v>
      </c>
      <c r="T1150" s="4"/>
      <c r="U1150" s="4"/>
    </row>
    <row r="1151">
      <c r="A1151" s="4"/>
      <c r="B1151" s="17"/>
      <c r="C1151" s="4"/>
      <c r="D1151" s="4"/>
      <c r="E1151" s="4"/>
      <c r="F1151" s="4"/>
      <c r="G1151" s="17"/>
      <c r="H1151" s="4"/>
      <c r="I1151" s="4"/>
      <c r="J1151" s="4"/>
      <c r="K1151" s="6"/>
      <c r="L1151" s="17"/>
      <c r="M1151" s="4"/>
      <c r="N1151" s="6"/>
      <c r="O1151" s="4"/>
      <c r="P1151" s="14" t="s">
        <v>3467</v>
      </c>
      <c r="Q1151" s="17">
        <f>IFERROR(__xludf.DUMMYFUNCTION("SPLIT(P:P, "" "")"),0.0718250192853254)</f>
        <v>0.07182501929</v>
      </c>
      <c r="R1151" s="4">
        <f>IFERROR(__xludf.DUMMYFUNCTION("""COMPUTED_VALUE"""),0.359489685926708)</f>
        <v>0.3594896859</v>
      </c>
      <c r="S1151" s="15">
        <v>10200.0</v>
      </c>
      <c r="T1151" s="4"/>
      <c r="U1151" s="4"/>
    </row>
    <row r="1152">
      <c r="A1152" s="4"/>
      <c r="B1152" s="17"/>
      <c r="C1152" s="4"/>
      <c r="D1152" s="4"/>
      <c r="E1152" s="4"/>
      <c r="F1152" s="4"/>
      <c r="G1152" s="17"/>
      <c r="H1152" s="4"/>
      <c r="I1152" s="4"/>
      <c r="J1152" s="4"/>
      <c r="K1152" s="6"/>
      <c r="L1152" s="17"/>
      <c r="M1152" s="4"/>
      <c r="N1152" s="6"/>
      <c r="O1152" s="4"/>
      <c r="P1152" s="14" t="s">
        <v>3468</v>
      </c>
      <c r="Q1152" s="17">
        <f>IFERROR(__xludf.DUMMYFUNCTION("SPLIT(P:P, "" "")"),0.073464229745016)</f>
        <v>0.07346422975</v>
      </c>
      <c r="R1152" s="4">
        <f>IFERROR(__xludf.DUMMYFUNCTION("""COMPUTED_VALUE"""),0.36449190038818)</f>
        <v>0.3644919004</v>
      </c>
      <c r="S1152" s="15">
        <v>10212.0</v>
      </c>
      <c r="T1152" s="4"/>
      <c r="U1152" s="4"/>
    </row>
    <row r="1153">
      <c r="A1153" s="4"/>
      <c r="B1153" s="17"/>
      <c r="C1153" s="4"/>
      <c r="D1153" s="4"/>
      <c r="E1153" s="4"/>
      <c r="F1153" s="4"/>
      <c r="G1153" s="17"/>
      <c r="H1153" s="4"/>
      <c r="I1153" s="4"/>
      <c r="J1153" s="4"/>
      <c r="K1153" s="6"/>
      <c r="L1153" s="17"/>
      <c r="M1153" s="4"/>
      <c r="N1153" s="6"/>
      <c r="O1153" s="4"/>
      <c r="P1153" s="14" t="s">
        <v>3469</v>
      </c>
      <c r="Q1153" s="17">
        <f>IFERROR(__xludf.DUMMYFUNCTION("SPLIT(P:P, "" "")"),0.0772200393416597)</f>
        <v>0.07722003934</v>
      </c>
      <c r="R1153" s="4">
        <f>IFERROR(__xludf.DUMMYFUNCTION("""COMPUTED_VALUE"""),0.366617951224764)</f>
        <v>0.3666179512</v>
      </c>
      <c r="S1153" s="15">
        <v>10224.0</v>
      </c>
      <c r="T1153" s="4"/>
      <c r="U1153" s="4"/>
    </row>
    <row r="1154">
      <c r="A1154" s="4"/>
      <c r="B1154" s="17"/>
      <c r="C1154" s="4"/>
      <c r="D1154" s="4"/>
      <c r="E1154" s="4"/>
      <c r="F1154" s="4"/>
      <c r="G1154" s="17"/>
      <c r="H1154" s="4"/>
      <c r="I1154" s="4"/>
      <c r="J1154" s="4"/>
      <c r="K1154" s="6"/>
      <c r="L1154" s="17"/>
      <c r="M1154" s="4"/>
      <c r="N1154" s="6"/>
      <c r="O1154" s="4"/>
      <c r="P1154" s="14" t="s">
        <v>3470</v>
      </c>
      <c r="Q1154" s="17">
        <f>IFERROR(__xludf.DUMMYFUNCTION("SPLIT(P:P, "" "")"),0.0731542344375401)</f>
        <v>0.07315423444</v>
      </c>
      <c r="R1154" s="4">
        <f>IFERROR(__xludf.DUMMYFUNCTION("""COMPUTED_VALUE"""),0.361488117627519)</f>
        <v>0.3614881176</v>
      </c>
      <c r="S1154" s="15">
        <v>10236.0</v>
      </c>
      <c r="T1154" s="4"/>
      <c r="U1154" s="4"/>
    </row>
    <row r="1155">
      <c r="A1155" s="4"/>
      <c r="B1155" s="17"/>
      <c r="C1155" s="4"/>
      <c r="D1155" s="4"/>
      <c r="E1155" s="4"/>
      <c r="F1155" s="4"/>
      <c r="G1155" s="17"/>
      <c r="H1155" s="4"/>
      <c r="I1155" s="4"/>
      <c r="J1155" s="4"/>
      <c r="K1155" s="6"/>
      <c r="L1155" s="17"/>
      <c r="M1155" s="4"/>
      <c r="N1155" s="6"/>
      <c r="O1155" s="4"/>
      <c r="P1155" s="14" t="s">
        <v>3471</v>
      </c>
      <c r="Q1155" s="17">
        <f>IFERROR(__xludf.DUMMYFUNCTION("SPLIT(P:P, "" "")"),0.0739595619987574)</f>
        <v>0.073959562</v>
      </c>
      <c r="R1155" s="4">
        <f>IFERROR(__xludf.DUMMYFUNCTION("""COMPUTED_VALUE"""),0.361079281096939)</f>
        <v>0.3610792811</v>
      </c>
      <c r="S1155" s="15">
        <v>10248.0</v>
      </c>
      <c r="T1155" s="4"/>
      <c r="U1155" s="4"/>
    </row>
    <row r="1156">
      <c r="A1156" s="4"/>
      <c r="B1156" s="17"/>
      <c r="C1156" s="4"/>
      <c r="D1156" s="4"/>
      <c r="E1156" s="4"/>
      <c r="F1156" s="4"/>
      <c r="G1156" s="17"/>
      <c r="H1156" s="4"/>
      <c r="I1156" s="4"/>
      <c r="J1156" s="4"/>
      <c r="K1156" s="6"/>
      <c r="L1156" s="17"/>
      <c r="M1156" s="4"/>
      <c r="N1156" s="6"/>
      <c r="O1156" s="4"/>
      <c r="P1156" s="14" t="s">
        <v>3472</v>
      </c>
      <c r="Q1156" s="17">
        <f>IFERROR(__xludf.DUMMYFUNCTION("SPLIT(P:P, "" "")"),0.0727899159790685)</f>
        <v>0.07278991598</v>
      </c>
      <c r="R1156" s="4">
        <f>IFERROR(__xludf.DUMMYFUNCTION("""COMPUTED_VALUE"""),0.353563789602036)</f>
        <v>0.3535637896</v>
      </c>
      <c r="S1156" s="15">
        <v>10260.0</v>
      </c>
      <c r="T1156" s="4"/>
      <c r="U1156" s="4"/>
    </row>
    <row r="1157">
      <c r="A1157" s="4"/>
      <c r="B1157" s="17"/>
      <c r="C1157" s="4"/>
      <c r="D1157" s="4"/>
      <c r="E1157" s="4"/>
      <c r="F1157" s="4"/>
      <c r="G1157" s="17"/>
      <c r="H1157" s="4"/>
      <c r="I1157" s="4"/>
      <c r="J1157" s="4"/>
      <c r="K1157" s="6"/>
      <c r="L1157" s="17"/>
      <c r="M1157" s="4"/>
      <c r="N1157" s="6"/>
      <c r="O1157" s="4"/>
      <c r="P1157" s="14" t="s">
        <v>3473</v>
      </c>
      <c r="Q1157" s="17">
        <f>IFERROR(__xludf.DUMMYFUNCTION("SPLIT(P:P, "" "")"),0.0730125987330338)</f>
        <v>0.07301259873</v>
      </c>
      <c r="R1157" s="4">
        <f>IFERROR(__xludf.DUMMYFUNCTION("""COMPUTED_VALUE"""),0.362537529106462)</f>
        <v>0.3625375291</v>
      </c>
      <c r="S1157" s="15">
        <v>10272.0</v>
      </c>
      <c r="T1157" s="4"/>
      <c r="U1157" s="4"/>
    </row>
    <row r="1158">
      <c r="A1158" s="4"/>
      <c r="B1158" s="17"/>
      <c r="C1158" s="4"/>
      <c r="D1158" s="4"/>
      <c r="E1158" s="4"/>
      <c r="F1158" s="4"/>
      <c r="G1158" s="17"/>
      <c r="H1158" s="4"/>
      <c r="I1158" s="4"/>
      <c r="J1158" s="4"/>
      <c r="K1158" s="6"/>
      <c r="L1158" s="17"/>
      <c r="M1158" s="4"/>
      <c r="N1158" s="6"/>
      <c r="O1158" s="4"/>
      <c r="P1158" s="14" t="s">
        <v>3474</v>
      </c>
      <c r="Q1158" s="17">
        <f>IFERROR(__xludf.DUMMYFUNCTION("SPLIT(P:P, "" "")"),0.0733469172769055)</f>
        <v>0.07334691728</v>
      </c>
      <c r="R1158" s="4">
        <f>IFERROR(__xludf.DUMMYFUNCTION("""COMPUTED_VALUE"""),0.360291711466066)</f>
        <v>0.3602917115</v>
      </c>
      <c r="S1158" s="15">
        <v>10284.0</v>
      </c>
      <c r="T1158" s="4"/>
      <c r="U1158" s="4"/>
    </row>
    <row r="1159">
      <c r="A1159" s="4"/>
      <c r="B1159" s="17"/>
      <c r="C1159" s="4"/>
      <c r="D1159" s="4"/>
      <c r="E1159" s="4"/>
      <c r="F1159" s="4"/>
      <c r="G1159" s="17"/>
      <c r="H1159" s="4"/>
      <c r="I1159" s="4"/>
      <c r="J1159" s="4"/>
      <c r="K1159" s="6"/>
      <c r="L1159" s="17"/>
      <c r="M1159" s="4"/>
      <c r="N1159" s="6"/>
      <c r="O1159" s="4"/>
      <c r="P1159" s="14" t="s">
        <v>3475</v>
      </c>
      <c r="Q1159" s="17">
        <f>IFERROR(__xludf.DUMMYFUNCTION("SPLIT(P:P, "" "")"),0.0776371034342928)</f>
        <v>0.07763710343</v>
      </c>
      <c r="R1159" s="4">
        <f>IFERROR(__xludf.DUMMYFUNCTION("""COMPUTED_VALUE"""),0.371858379438405)</f>
        <v>0.3718583794</v>
      </c>
      <c r="S1159" s="15">
        <v>10296.0</v>
      </c>
      <c r="T1159" s="4"/>
      <c r="U1159" s="4"/>
    </row>
    <row r="1160">
      <c r="A1160" s="4"/>
      <c r="B1160" s="17"/>
      <c r="C1160" s="4"/>
      <c r="D1160" s="4"/>
      <c r="E1160" s="4"/>
      <c r="F1160" s="4"/>
      <c r="G1160" s="17"/>
      <c r="H1160" s="4"/>
      <c r="I1160" s="4"/>
      <c r="J1160" s="4"/>
      <c r="K1160" s="6"/>
      <c r="L1160" s="17"/>
      <c r="M1160" s="4"/>
      <c r="N1160" s="6"/>
      <c r="O1160" s="4"/>
      <c r="P1160" s="14" t="s">
        <v>3476</v>
      </c>
      <c r="Q1160" s="17">
        <f>IFERROR(__xludf.DUMMYFUNCTION("SPLIT(P:P, "" "")"),0.0743164198484822)</f>
        <v>0.07431641985</v>
      </c>
      <c r="R1160" s="4">
        <f>IFERROR(__xludf.DUMMYFUNCTION("""COMPUTED_VALUE"""),0.366412532853764)</f>
        <v>0.3664125329</v>
      </c>
      <c r="S1160" s="15">
        <v>10308.0</v>
      </c>
      <c r="T1160" s="4"/>
      <c r="U1160" s="4"/>
    </row>
    <row r="1161">
      <c r="A1161" s="4"/>
      <c r="B1161" s="17"/>
      <c r="C1161" s="4"/>
      <c r="D1161" s="4"/>
      <c r="E1161" s="4"/>
      <c r="F1161" s="4"/>
      <c r="G1161" s="17"/>
      <c r="H1161" s="4"/>
      <c r="I1161" s="4"/>
      <c r="J1161" s="4"/>
      <c r="K1161" s="6"/>
      <c r="L1161" s="17"/>
      <c r="M1161" s="4"/>
      <c r="N1161" s="6"/>
      <c r="O1161" s="4"/>
      <c r="P1161" s="14" t="s">
        <v>3477</v>
      </c>
      <c r="Q1161" s="17">
        <f>IFERROR(__xludf.DUMMYFUNCTION("SPLIT(P:P, "" "")"),0.0737299593815095)</f>
        <v>0.07372995938</v>
      </c>
      <c r="R1161" s="4">
        <f>IFERROR(__xludf.DUMMYFUNCTION("""COMPUTED_VALUE"""),0.356732126549511)</f>
        <v>0.3567321265</v>
      </c>
      <c r="S1161" s="15">
        <v>10320.0</v>
      </c>
      <c r="T1161" s="4"/>
      <c r="U1161" s="4"/>
    </row>
    <row r="1162">
      <c r="A1162" s="4"/>
      <c r="B1162" s="17"/>
      <c r="C1162" s="4"/>
      <c r="D1162" s="4"/>
      <c r="E1162" s="4"/>
      <c r="F1162" s="4"/>
      <c r="G1162" s="17"/>
      <c r="H1162" s="4"/>
      <c r="I1162" s="4"/>
      <c r="J1162" s="4"/>
      <c r="K1162" s="6"/>
      <c r="L1162" s="17"/>
      <c r="M1162" s="4"/>
      <c r="N1162" s="6"/>
      <c r="O1162" s="4"/>
      <c r="P1162" s="14" t="s">
        <v>3478</v>
      </c>
      <c r="Q1162" s="17">
        <f>IFERROR(__xludf.DUMMYFUNCTION("SPLIT(P:P, "" "")"),0.0724704101743501)</f>
        <v>0.07247041017</v>
      </c>
      <c r="R1162" s="4">
        <f>IFERROR(__xludf.DUMMYFUNCTION("""COMPUTED_VALUE"""),0.362188520889924)</f>
        <v>0.3621885209</v>
      </c>
      <c r="S1162" s="15">
        <v>10332.0</v>
      </c>
      <c r="T1162" s="4"/>
      <c r="U1162" s="4"/>
    </row>
    <row r="1163">
      <c r="A1163" s="4"/>
      <c r="B1163" s="17"/>
      <c r="C1163" s="4"/>
      <c r="D1163" s="4"/>
      <c r="E1163" s="4"/>
      <c r="F1163" s="4"/>
      <c r="G1163" s="17"/>
      <c r="H1163" s="4"/>
      <c r="I1163" s="4"/>
      <c r="J1163" s="4"/>
      <c r="K1163" s="6"/>
      <c r="L1163" s="17"/>
      <c r="M1163" s="4"/>
      <c r="N1163" s="6"/>
      <c r="O1163" s="4"/>
      <c r="P1163" s="14" t="s">
        <v>3479</v>
      </c>
      <c r="Q1163" s="17">
        <f>IFERROR(__xludf.DUMMYFUNCTION("SPLIT(P:P, "" "")"),0.0733713440141526)</f>
        <v>0.07337134401</v>
      </c>
      <c r="R1163" s="4">
        <f>IFERROR(__xludf.DUMMYFUNCTION("""COMPUTED_VALUE"""),0.355185751905011)</f>
        <v>0.3551857519</v>
      </c>
      <c r="S1163" s="15">
        <v>10344.0</v>
      </c>
      <c r="T1163" s="4"/>
      <c r="U1163" s="4"/>
    </row>
    <row r="1164">
      <c r="A1164" s="4"/>
      <c r="B1164" s="17"/>
      <c r="C1164" s="4"/>
      <c r="D1164" s="4"/>
      <c r="E1164" s="4"/>
      <c r="F1164" s="4"/>
      <c r="G1164" s="17"/>
      <c r="H1164" s="4"/>
      <c r="I1164" s="4"/>
      <c r="J1164" s="4"/>
      <c r="K1164" s="6"/>
      <c r="L1164" s="17"/>
      <c r="M1164" s="4"/>
      <c r="N1164" s="6"/>
      <c r="O1164" s="4"/>
      <c r="P1164" s="14" t="s">
        <v>3480</v>
      </c>
      <c r="Q1164" s="17">
        <f>IFERROR(__xludf.DUMMYFUNCTION("SPLIT(P:P, "" "")"),0.0729278660192061)</f>
        <v>0.07292786602</v>
      </c>
      <c r="R1164" s="4">
        <f>IFERROR(__xludf.DUMMYFUNCTION("""COMPUTED_VALUE"""),0.362930235923703)</f>
        <v>0.3629302359</v>
      </c>
      <c r="S1164" s="15">
        <v>10356.0</v>
      </c>
      <c r="T1164" s="4"/>
      <c r="U1164" s="4"/>
    </row>
    <row r="1165">
      <c r="A1165" s="4"/>
      <c r="B1165" s="17"/>
      <c r="C1165" s="4"/>
      <c r="D1165" s="4"/>
      <c r="E1165" s="4"/>
      <c r="F1165" s="4"/>
      <c r="G1165" s="17"/>
      <c r="H1165" s="4"/>
      <c r="I1165" s="4"/>
      <c r="J1165" s="4"/>
      <c r="K1165" s="6"/>
      <c r="L1165" s="17"/>
      <c r="M1165" s="4"/>
      <c r="N1165" s="6"/>
      <c r="O1165" s="4"/>
      <c r="P1165" s="14" t="s">
        <v>3481</v>
      </c>
      <c r="Q1165" s="17">
        <f>IFERROR(__xludf.DUMMYFUNCTION("SPLIT(P:P, "" "")"),0.0736582741923234)</f>
        <v>0.07365827419</v>
      </c>
      <c r="R1165" s="4">
        <f>IFERROR(__xludf.DUMMYFUNCTION("""COMPUTED_VALUE"""),0.360186475711566)</f>
        <v>0.3601864757</v>
      </c>
      <c r="S1165" s="15">
        <v>10368.0</v>
      </c>
      <c r="T1165" s="4"/>
      <c r="U1165" s="4"/>
    </row>
    <row r="1166">
      <c r="A1166" s="4"/>
      <c r="B1166" s="17"/>
      <c r="C1166" s="4"/>
      <c r="D1166" s="4"/>
      <c r="E1166" s="4"/>
      <c r="F1166" s="4"/>
      <c r="G1166" s="17"/>
      <c r="H1166" s="4"/>
      <c r="I1166" s="4"/>
      <c r="J1166" s="4"/>
      <c r="K1166" s="6"/>
      <c r="L1166" s="17"/>
      <c r="M1166" s="4"/>
      <c r="N1166" s="6"/>
      <c r="O1166" s="4"/>
      <c r="P1166" s="14" t="s">
        <v>3482</v>
      </c>
      <c r="Q1166" s="17">
        <f>IFERROR(__xludf.DUMMYFUNCTION("SPLIT(P:P, "" "")"),0.0731207079038266)</f>
        <v>0.0731207079</v>
      </c>
      <c r="R1166" s="4">
        <f>IFERROR(__xludf.DUMMYFUNCTION("""COMPUTED_VALUE"""),0.360873947033194)</f>
        <v>0.360873947</v>
      </c>
      <c r="S1166" s="15">
        <v>10380.0</v>
      </c>
      <c r="T1166" s="4"/>
      <c r="U1166" s="4"/>
    </row>
    <row r="1167">
      <c r="A1167" s="4"/>
      <c r="B1167" s="17"/>
      <c r="C1167" s="4"/>
      <c r="D1167" s="4"/>
      <c r="E1167" s="4"/>
      <c r="F1167" s="4"/>
      <c r="G1167" s="17"/>
      <c r="H1167" s="4"/>
      <c r="I1167" s="4"/>
      <c r="J1167" s="4"/>
      <c r="K1167" s="6"/>
      <c r="L1167" s="17"/>
      <c r="M1167" s="4"/>
      <c r="N1167" s="6"/>
      <c r="O1167" s="4"/>
      <c r="P1167" s="14" t="s">
        <v>3483</v>
      </c>
      <c r="Q1167" s="17">
        <f>IFERROR(__xludf.DUMMYFUNCTION("SPLIT(P:P, "" "")"),0.0730001780822061)</f>
        <v>0.07300017808</v>
      </c>
      <c r="R1167" s="4">
        <f>IFERROR(__xludf.DUMMYFUNCTION("""COMPUTED_VALUE"""),0.36194318117357)</f>
        <v>0.3619431812</v>
      </c>
      <c r="S1167" s="15">
        <v>10392.0</v>
      </c>
      <c r="T1167" s="4"/>
      <c r="U1167" s="4"/>
    </row>
    <row r="1168">
      <c r="A1168" s="4"/>
      <c r="B1168" s="17"/>
      <c r="C1168" s="4"/>
      <c r="D1168" s="4"/>
      <c r="E1168" s="4"/>
      <c r="F1168" s="4"/>
      <c r="G1168" s="17"/>
      <c r="H1168" s="4"/>
      <c r="I1168" s="4"/>
      <c r="J1168" s="4"/>
      <c r="K1168" s="6"/>
      <c r="L1168" s="17"/>
      <c r="M1168" s="4"/>
      <c r="N1168" s="6"/>
      <c r="O1168" s="4"/>
      <c r="P1168" s="14" t="s">
        <v>3484</v>
      </c>
      <c r="Q1168" s="17">
        <f>IFERROR(__xludf.DUMMYFUNCTION("SPLIT(P:P, "" "")"),0.0715148418400746)</f>
        <v>0.07151484184</v>
      </c>
      <c r="R1168" s="4">
        <f>IFERROR(__xludf.DUMMYFUNCTION("""COMPUTED_VALUE"""),0.355501433926575)</f>
        <v>0.3555014339</v>
      </c>
      <c r="S1168" s="15">
        <v>10404.0</v>
      </c>
      <c r="T1168" s="4"/>
      <c r="U1168" s="4"/>
    </row>
    <row r="1169">
      <c r="A1169" s="4"/>
      <c r="B1169" s="17"/>
      <c r="C1169" s="4"/>
      <c r="D1169" s="4"/>
      <c r="E1169" s="4"/>
      <c r="F1169" s="4"/>
      <c r="G1169" s="17"/>
      <c r="H1169" s="4"/>
      <c r="I1169" s="4"/>
      <c r="J1169" s="4"/>
      <c r="K1169" s="6"/>
      <c r="L1169" s="17"/>
      <c r="M1169" s="4"/>
      <c r="N1169" s="6"/>
      <c r="O1169" s="4"/>
      <c r="P1169" s="14" t="s">
        <v>3485</v>
      </c>
      <c r="Q1169" s="17">
        <f>IFERROR(__xludf.DUMMYFUNCTION("SPLIT(P:P, "" "")"),0.0731822147842368)</f>
        <v>0.07318221478</v>
      </c>
      <c r="R1169" s="4">
        <f>IFERROR(__xludf.DUMMYFUNCTION("""COMPUTED_VALUE"""),0.35655635268915)</f>
        <v>0.3565563527</v>
      </c>
      <c r="S1169" s="15">
        <v>10416.0</v>
      </c>
      <c r="T1169" s="4"/>
      <c r="U1169" s="4"/>
    </row>
    <row r="1170">
      <c r="A1170" s="4"/>
      <c r="B1170" s="17"/>
      <c r="C1170" s="4"/>
      <c r="D1170" s="4"/>
      <c r="E1170" s="4"/>
      <c r="F1170" s="4"/>
      <c r="G1170" s="17"/>
      <c r="H1170" s="4"/>
      <c r="I1170" s="4"/>
      <c r="J1170" s="4"/>
      <c r="K1170" s="6"/>
      <c r="L1170" s="17"/>
      <c r="M1170" s="4"/>
      <c r="N1170" s="6"/>
      <c r="O1170" s="4"/>
      <c r="P1170" s="14" t="s">
        <v>3486</v>
      </c>
      <c r="Q1170" s="17">
        <f>IFERROR(__xludf.DUMMYFUNCTION("SPLIT(P:P, "" "")"),0.0738578081483267)</f>
        <v>0.07385780815</v>
      </c>
      <c r="R1170" s="4">
        <f>IFERROR(__xludf.DUMMYFUNCTION("""COMPUTED_VALUE"""),0.362250156248905)</f>
        <v>0.3622501562</v>
      </c>
      <c r="S1170" s="15">
        <v>10428.0</v>
      </c>
      <c r="T1170" s="4"/>
      <c r="U1170" s="4"/>
    </row>
    <row r="1171">
      <c r="A1171" s="4"/>
      <c r="B1171" s="17"/>
      <c r="C1171" s="4"/>
      <c r="D1171" s="4"/>
      <c r="E1171" s="4"/>
      <c r="F1171" s="4"/>
      <c r="G1171" s="17"/>
      <c r="H1171" s="4"/>
      <c r="I1171" s="4"/>
      <c r="J1171" s="4"/>
      <c r="K1171" s="6"/>
      <c r="L1171" s="17"/>
      <c r="M1171" s="4"/>
      <c r="N1171" s="6"/>
      <c r="O1171" s="4"/>
      <c r="P1171" s="14" t="s">
        <v>3487</v>
      </c>
      <c r="Q1171" s="17">
        <f>IFERROR(__xludf.DUMMYFUNCTION("SPLIT(P:P, "" "")"),0.0742059380914894)</f>
        <v>0.07420593809</v>
      </c>
      <c r="R1171" s="4">
        <f>IFERROR(__xludf.DUMMYFUNCTION("""COMPUTED_VALUE"""),0.362127749718808)</f>
        <v>0.3621277497</v>
      </c>
      <c r="S1171" s="15">
        <v>10440.0</v>
      </c>
      <c r="T1171" s="4"/>
      <c r="U1171" s="4"/>
    </row>
    <row r="1172">
      <c r="A1172" s="4"/>
      <c r="B1172" s="17"/>
      <c r="C1172" s="4"/>
      <c r="D1172" s="4"/>
      <c r="E1172" s="4"/>
      <c r="F1172" s="4"/>
      <c r="G1172" s="17"/>
      <c r="H1172" s="4"/>
      <c r="I1172" s="4"/>
      <c r="J1172" s="4"/>
      <c r="K1172" s="6"/>
      <c r="L1172" s="17"/>
      <c r="M1172" s="4"/>
      <c r="N1172" s="6"/>
      <c r="O1172" s="4"/>
      <c r="P1172" s="14" t="s">
        <v>3488</v>
      </c>
      <c r="Q1172" s="17">
        <f>IFERROR(__xludf.DUMMYFUNCTION("SPLIT(P:P, "" "")"),0.0739388396331772)</f>
        <v>0.07393883963</v>
      </c>
      <c r="R1172" s="4">
        <f>IFERROR(__xludf.DUMMYFUNCTION("""COMPUTED_VALUE"""),0.358310989962859)</f>
        <v>0.35831099</v>
      </c>
      <c r="S1172" s="15">
        <v>10452.0</v>
      </c>
      <c r="T1172" s="4"/>
      <c r="U1172" s="4"/>
    </row>
    <row r="1173">
      <c r="A1173" s="4"/>
      <c r="B1173" s="17"/>
      <c r="C1173" s="4"/>
      <c r="D1173" s="4"/>
      <c r="E1173" s="4"/>
      <c r="F1173" s="4"/>
      <c r="G1173" s="17"/>
      <c r="H1173" s="4"/>
      <c r="I1173" s="4"/>
      <c r="J1173" s="4"/>
      <c r="K1173" s="6"/>
      <c r="L1173" s="17"/>
      <c r="M1173" s="4"/>
      <c r="N1173" s="6"/>
      <c r="O1173" s="4"/>
      <c r="P1173" s="14" t="s">
        <v>3489</v>
      </c>
      <c r="Q1173" s="17">
        <f>IFERROR(__xludf.DUMMYFUNCTION("SPLIT(P:P, "" "")"),0.0723834905668484)</f>
        <v>0.07238349057</v>
      </c>
      <c r="R1173" s="4">
        <f>IFERROR(__xludf.DUMMYFUNCTION("""COMPUTED_VALUE"""),0.362904740433307)</f>
        <v>0.3629047404</v>
      </c>
      <c r="S1173" s="15">
        <v>10464.0</v>
      </c>
      <c r="T1173" s="4"/>
      <c r="U1173" s="4"/>
    </row>
    <row r="1174">
      <c r="A1174" s="4"/>
      <c r="B1174" s="17"/>
      <c r="C1174" s="4"/>
      <c r="D1174" s="4"/>
      <c r="E1174" s="4"/>
      <c r="F1174" s="4"/>
      <c r="G1174" s="17"/>
      <c r="H1174" s="4"/>
      <c r="I1174" s="4"/>
      <c r="J1174" s="4"/>
      <c r="K1174" s="6"/>
      <c r="L1174" s="17"/>
      <c r="M1174" s="4"/>
      <c r="N1174" s="6"/>
      <c r="O1174" s="4"/>
      <c r="P1174" s="14" t="s">
        <v>3490</v>
      </c>
      <c r="Q1174" s="17">
        <f>IFERROR(__xludf.DUMMYFUNCTION("SPLIT(P:P, "" "")"),0.0720250405332105)</f>
        <v>0.07202504053</v>
      </c>
      <c r="R1174" s="4">
        <f>IFERROR(__xludf.DUMMYFUNCTION("""COMPUTED_VALUE"""),0.365535812409859)</f>
        <v>0.3655358124</v>
      </c>
      <c r="S1174" s="15">
        <v>10476.0</v>
      </c>
      <c r="T1174" s="4"/>
      <c r="U1174" s="4"/>
    </row>
    <row r="1175">
      <c r="A1175" s="4"/>
      <c r="B1175" s="17"/>
      <c r="C1175" s="4"/>
      <c r="D1175" s="4"/>
      <c r="E1175" s="4"/>
      <c r="F1175" s="4"/>
      <c r="G1175" s="17"/>
      <c r="H1175" s="4"/>
      <c r="I1175" s="4"/>
      <c r="J1175" s="4"/>
      <c r="K1175" s="6"/>
      <c r="L1175" s="17"/>
      <c r="M1175" s="4"/>
      <c r="N1175" s="6"/>
      <c r="O1175" s="4"/>
      <c r="P1175" s="14" t="s">
        <v>3491</v>
      </c>
      <c r="Q1175" s="17">
        <f>IFERROR(__xludf.DUMMYFUNCTION("SPLIT(P:P, "" "")"),0.0716873136918086)</f>
        <v>0.07168731369</v>
      </c>
      <c r="R1175" s="4">
        <f>IFERROR(__xludf.DUMMYFUNCTION("""COMPUTED_VALUE"""),0.362593692090418)</f>
        <v>0.3625936921</v>
      </c>
      <c r="S1175" s="15">
        <v>10488.0</v>
      </c>
      <c r="T1175" s="4"/>
      <c r="U1175" s="4"/>
    </row>
    <row r="1176">
      <c r="A1176" s="4"/>
      <c r="B1176" s="17"/>
      <c r="C1176" s="4"/>
      <c r="D1176" s="4"/>
      <c r="E1176" s="4"/>
      <c r="F1176" s="4"/>
      <c r="G1176" s="17"/>
      <c r="H1176" s="4"/>
      <c r="I1176" s="4"/>
      <c r="J1176" s="4"/>
      <c r="K1176" s="6"/>
      <c r="L1176" s="17"/>
      <c r="M1176" s="4"/>
      <c r="N1176" s="6"/>
      <c r="O1176" s="4"/>
      <c r="P1176" s="24" t="s">
        <v>3492</v>
      </c>
      <c r="Q1176" s="25">
        <f>IFERROR(__xludf.DUMMYFUNCTION("SPLIT(P:P, "" "")"),0.0726792411218513)</f>
        <v>0.07267924112</v>
      </c>
      <c r="R1176" s="26">
        <f>IFERROR(__xludf.DUMMYFUNCTION("""COMPUTED_VALUE"""),0.36481010370582)</f>
        <v>0.3648101037</v>
      </c>
      <c r="S1176" s="27">
        <v>10500.0</v>
      </c>
      <c r="T1176" s="4"/>
      <c r="U1176" s="4"/>
    </row>
    <row r="1177">
      <c r="A1177" s="4"/>
      <c r="B1177" s="17"/>
      <c r="C1177" s="4"/>
      <c r="D1177" s="4"/>
      <c r="E1177" s="4"/>
      <c r="F1177" s="4"/>
      <c r="G1177" s="17"/>
      <c r="H1177" s="4"/>
      <c r="I1177" s="4"/>
      <c r="J1177" s="4"/>
      <c r="K1177" s="6"/>
      <c r="L1177" s="17"/>
      <c r="M1177" s="4"/>
      <c r="N1177" s="6"/>
      <c r="O1177" s="4"/>
      <c r="P1177" s="4"/>
      <c r="Q1177" s="17"/>
      <c r="R1177" s="4"/>
      <c r="S1177" s="4"/>
      <c r="T1177" s="4"/>
      <c r="U1177" s="4"/>
    </row>
    <row r="1178">
      <c r="A1178" s="4"/>
      <c r="B1178" s="17"/>
      <c r="C1178" s="4"/>
      <c r="D1178" s="4"/>
      <c r="E1178" s="4"/>
      <c r="F1178" s="4"/>
      <c r="G1178" s="17"/>
      <c r="H1178" s="4"/>
      <c r="I1178" s="4"/>
      <c r="J1178" s="4"/>
      <c r="K1178" s="6"/>
      <c r="L1178" s="17"/>
      <c r="M1178" s="4"/>
      <c r="N1178" s="6"/>
      <c r="O1178" s="4"/>
      <c r="P1178" s="4"/>
      <c r="Q1178" s="17"/>
      <c r="R1178" s="4"/>
      <c r="S1178" s="4"/>
      <c r="T1178" s="4"/>
      <c r="U1178" s="4"/>
    </row>
    <row r="1179">
      <c r="A1179" s="4"/>
      <c r="B1179" s="17"/>
      <c r="C1179" s="4"/>
      <c r="D1179" s="4"/>
      <c r="E1179" s="4"/>
      <c r="F1179" s="4"/>
      <c r="G1179" s="17"/>
      <c r="H1179" s="4"/>
      <c r="I1179" s="4"/>
      <c r="J1179" s="4"/>
      <c r="K1179" s="6"/>
      <c r="L1179" s="17"/>
      <c r="M1179" s="4"/>
      <c r="N1179" s="6"/>
      <c r="O1179" s="4"/>
      <c r="P1179" s="4"/>
      <c r="Q1179" s="17"/>
      <c r="R1179" s="4"/>
      <c r="S1179" s="4"/>
      <c r="T1179" s="4"/>
      <c r="U1179" s="4"/>
    </row>
    <row r="1180">
      <c r="A1180" s="4"/>
      <c r="B1180" s="17"/>
      <c r="C1180" s="4"/>
      <c r="D1180" s="4"/>
      <c r="E1180" s="4"/>
      <c r="F1180" s="4"/>
      <c r="G1180" s="17"/>
      <c r="H1180" s="4"/>
      <c r="I1180" s="4"/>
      <c r="J1180" s="4"/>
      <c r="K1180" s="6"/>
      <c r="L1180" s="17"/>
      <c r="M1180" s="4"/>
      <c r="N1180" s="6"/>
      <c r="O1180" s="4"/>
      <c r="P1180" s="4"/>
      <c r="Q1180" s="17"/>
      <c r="R1180" s="4"/>
      <c r="S1180" s="4"/>
      <c r="T1180" s="4"/>
      <c r="U1180" s="4"/>
    </row>
    <row r="1181">
      <c r="A1181" s="4"/>
      <c r="B1181" s="17"/>
      <c r="C1181" s="4"/>
      <c r="D1181" s="4"/>
      <c r="E1181" s="4"/>
      <c r="F1181" s="4"/>
      <c r="G1181" s="17"/>
      <c r="H1181" s="4"/>
      <c r="I1181" s="4"/>
      <c r="J1181" s="4"/>
      <c r="K1181" s="6"/>
      <c r="L1181" s="17"/>
      <c r="M1181" s="4"/>
      <c r="N1181" s="6"/>
      <c r="O1181" s="4"/>
      <c r="P1181" s="4"/>
      <c r="Q1181" s="4"/>
      <c r="R1181" s="4"/>
      <c r="S1181" s="4"/>
      <c r="T1181" s="4"/>
      <c r="U1181" s="4"/>
    </row>
    <row r="1182">
      <c r="A1182" s="4"/>
      <c r="B1182" s="17"/>
      <c r="C1182" s="4"/>
      <c r="D1182" s="4"/>
      <c r="E1182" s="4"/>
      <c r="F1182" s="4"/>
      <c r="G1182" s="17"/>
      <c r="H1182" s="4"/>
      <c r="I1182" s="4"/>
      <c r="J1182" s="4"/>
      <c r="K1182" s="6"/>
      <c r="L1182" s="17"/>
      <c r="M1182" s="4"/>
      <c r="N1182" s="6"/>
      <c r="O1182" s="4"/>
      <c r="P1182" s="4"/>
      <c r="Q1182" s="4"/>
      <c r="R1182" s="4"/>
      <c r="S1182" s="4"/>
      <c r="T1182" s="4"/>
      <c r="U1182" s="4"/>
    </row>
    <row r="1183">
      <c r="A1183" s="4"/>
      <c r="B1183" s="17"/>
      <c r="C1183" s="4"/>
      <c r="D1183" s="4"/>
      <c r="E1183" s="4"/>
      <c r="F1183" s="4"/>
      <c r="G1183" s="17"/>
      <c r="H1183" s="4"/>
      <c r="I1183" s="4"/>
      <c r="J1183" s="4"/>
      <c r="K1183" s="6"/>
      <c r="L1183" s="17"/>
      <c r="M1183" s="4"/>
      <c r="N1183" s="6"/>
      <c r="O1183" s="4"/>
      <c r="P1183" s="4"/>
      <c r="Q1183" s="4"/>
      <c r="R1183" s="4"/>
      <c r="S1183" s="4"/>
      <c r="T1183" s="4"/>
      <c r="U1183" s="4"/>
    </row>
    <row r="1184">
      <c r="A1184" s="4"/>
      <c r="B1184" s="17"/>
      <c r="C1184" s="4"/>
      <c r="D1184" s="4"/>
      <c r="E1184" s="4"/>
      <c r="F1184" s="4"/>
      <c r="G1184" s="17"/>
      <c r="H1184" s="4"/>
      <c r="I1184" s="4"/>
      <c r="J1184" s="4"/>
      <c r="K1184" s="6"/>
      <c r="L1184" s="17"/>
      <c r="M1184" s="4"/>
      <c r="N1184" s="6"/>
      <c r="O1184" s="4"/>
      <c r="P1184" s="4"/>
      <c r="Q1184" s="4"/>
      <c r="R1184" s="4"/>
      <c r="S1184" s="4"/>
      <c r="T1184" s="4"/>
      <c r="U1184" s="4"/>
    </row>
    <row r="1185">
      <c r="A1185" s="4"/>
      <c r="B1185" s="17"/>
      <c r="C1185" s="4"/>
      <c r="D1185" s="4"/>
      <c r="E1185" s="4"/>
      <c r="F1185" s="4"/>
      <c r="G1185" s="17"/>
      <c r="H1185" s="4"/>
      <c r="I1185" s="4"/>
      <c r="J1185" s="4"/>
      <c r="K1185" s="6"/>
      <c r="L1185" s="17"/>
      <c r="M1185" s="4"/>
      <c r="N1185" s="6"/>
      <c r="O1185" s="4"/>
      <c r="P1185" s="4"/>
      <c r="Q1185" s="4"/>
      <c r="R1185" s="4"/>
      <c r="S1185" s="4"/>
      <c r="T1185" s="4"/>
      <c r="U1185" s="4"/>
    </row>
    <row r="1186">
      <c r="A1186" s="4"/>
      <c r="B1186" s="17"/>
      <c r="C1186" s="4"/>
      <c r="D1186" s="4"/>
      <c r="E1186" s="4"/>
      <c r="F1186" s="4"/>
      <c r="G1186" s="17"/>
      <c r="H1186" s="4"/>
      <c r="I1186" s="4"/>
      <c r="J1186" s="4"/>
      <c r="K1186" s="6"/>
      <c r="L1186" s="17"/>
      <c r="M1186" s="4"/>
      <c r="N1186" s="6"/>
      <c r="O1186" s="4"/>
      <c r="P1186" s="4"/>
      <c r="Q1186" s="4"/>
      <c r="R1186" s="4"/>
      <c r="S1186" s="4"/>
      <c r="T1186" s="4"/>
      <c r="U1186" s="4"/>
    </row>
    <row r="1187">
      <c r="A1187" s="4"/>
      <c r="B1187" s="17"/>
      <c r="C1187" s="4"/>
      <c r="D1187" s="4"/>
      <c r="E1187" s="4"/>
      <c r="F1187" s="4"/>
      <c r="G1187" s="17"/>
      <c r="H1187" s="4"/>
      <c r="I1187" s="4"/>
      <c r="J1187" s="4"/>
      <c r="K1187" s="6"/>
      <c r="L1187" s="17"/>
      <c r="M1187" s="4"/>
      <c r="N1187" s="6"/>
      <c r="O1187" s="4"/>
      <c r="P1187" s="4"/>
      <c r="Q1187" s="4"/>
      <c r="R1187" s="4"/>
      <c r="S1187" s="4"/>
      <c r="T1187" s="4"/>
      <c r="U1187" s="4"/>
    </row>
    <row r="1188">
      <c r="A1188" s="4"/>
      <c r="B1188" s="17"/>
      <c r="C1188" s="4"/>
      <c r="D1188" s="4"/>
      <c r="E1188" s="4"/>
      <c r="F1188" s="4"/>
      <c r="G1188" s="17"/>
      <c r="H1188" s="4"/>
      <c r="I1188" s="4"/>
      <c r="J1188" s="4"/>
      <c r="K1188" s="6"/>
      <c r="L1188" s="17"/>
      <c r="M1188" s="4"/>
      <c r="N1188" s="6"/>
      <c r="O1188" s="4"/>
      <c r="P1188" s="4"/>
      <c r="Q1188" s="4"/>
      <c r="R1188" s="4"/>
      <c r="S1188" s="4"/>
      <c r="T1188" s="4"/>
      <c r="U1188" s="4"/>
    </row>
    <row r="1189">
      <c r="A1189" s="4"/>
      <c r="B1189" s="17"/>
      <c r="C1189" s="4"/>
      <c r="D1189" s="4"/>
      <c r="E1189" s="4"/>
      <c r="F1189" s="4"/>
      <c r="G1189" s="17"/>
      <c r="H1189" s="4"/>
      <c r="I1189" s="4"/>
      <c r="J1189" s="4"/>
      <c r="K1189" s="6"/>
      <c r="L1189" s="17"/>
      <c r="M1189" s="4"/>
      <c r="N1189" s="6"/>
      <c r="O1189" s="4"/>
      <c r="P1189" s="4"/>
      <c r="Q1189" s="4"/>
      <c r="R1189" s="4"/>
      <c r="S1189" s="4"/>
      <c r="T1189" s="4"/>
      <c r="U1189" s="4"/>
    </row>
    <row r="1190">
      <c r="A1190" s="4"/>
      <c r="B1190" s="17"/>
      <c r="C1190" s="4"/>
      <c r="D1190" s="4"/>
      <c r="E1190" s="4"/>
      <c r="F1190" s="4"/>
      <c r="G1190" s="17"/>
      <c r="H1190" s="4"/>
      <c r="I1190" s="4"/>
      <c r="J1190" s="4"/>
      <c r="K1190" s="6"/>
      <c r="L1190" s="17"/>
      <c r="M1190" s="4"/>
      <c r="N1190" s="6"/>
      <c r="O1190" s="4"/>
      <c r="P1190" s="4"/>
      <c r="Q1190" s="4"/>
      <c r="R1190" s="4"/>
      <c r="S1190" s="4"/>
      <c r="T1190" s="4"/>
      <c r="U1190" s="4"/>
    </row>
    <row r="1191">
      <c r="A1191" s="4"/>
      <c r="B1191" s="17"/>
      <c r="C1191" s="4"/>
      <c r="D1191" s="4"/>
      <c r="E1191" s="4"/>
      <c r="F1191" s="4"/>
      <c r="G1191" s="17"/>
      <c r="H1191" s="4"/>
      <c r="I1191" s="4"/>
      <c r="J1191" s="4"/>
      <c r="K1191" s="6"/>
      <c r="L1191" s="17"/>
      <c r="M1191" s="4"/>
      <c r="N1191" s="6"/>
      <c r="O1191" s="4"/>
      <c r="P1191" s="4"/>
      <c r="Q1191" s="4"/>
      <c r="R1191" s="4"/>
      <c r="S1191" s="4"/>
      <c r="T1191" s="4"/>
      <c r="U1191" s="4"/>
    </row>
    <row r="1192">
      <c r="A1192" s="4"/>
      <c r="B1192" s="17"/>
      <c r="C1192" s="4"/>
      <c r="D1192" s="4"/>
      <c r="E1192" s="4"/>
      <c r="F1192" s="4"/>
      <c r="G1192" s="17"/>
      <c r="H1192" s="4"/>
      <c r="I1192" s="4"/>
      <c r="J1192" s="4"/>
      <c r="K1192" s="6"/>
      <c r="L1192" s="17"/>
      <c r="M1192" s="4"/>
      <c r="N1192" s="6"/>
      <c r="O1192" s="4"/>
      <c r="P1192" s="4"/>
      <c r="Q1192" s="4"/>
      <c r="R1192" s="4"/>
      <c r="S1192" s="4"/>
      <c r="T1192" s="4"/>
      <c r="U1192" s="4"/>
    </row>
    <row r="1193">
      <c r="A1193" s="4"/>
      <c r="B1193" s="17"/>
      <c r="C1193" s="4"/>
      <c r="D1193" s="4"/>
      <c r="E1193" s="4"/>
      <c r="F1193" s="4"/>
      <c r="G1193" s="17"/>
      <c r="H1193" s="4"/>
      <c r="I1193" s="4"/>
      <c r="J1193" s="4"/>
      <c r="K1193" s="6"/>
      <c r="L1193" s="17"/>
      <c r="M1193" s="4"/>
      <c r="N1193" s="6"/>
      <c r="O1193" s="4"/>
      <c r="P1193" s="4"/>
      <c r="Q1193" s="4"/>
      <c r="R1193" s="4"/>
      <c r="S1193" s="4"/>
      <c r="T1193" s="4"/>
      <c r="U1193" s="4"/>
    </row>
    <row r="1194">
      <c r="A1194" s="4"/>
      <c r="B1194" s="17"/>
      <c r="C1194" s="4"/>
      <c r="D1194" s="4"/>
      <c r="E1194" s="4"/>
      <c r="F1194" s="4"/>
      <c r="G1194" s="17"/>
      <c r="H1194" s="4"/>
      <c r="I1194" s="4"/>
      <c r="J1194" s="4"/>
      <c r="K1194" s="6"/>
      <c r="L1194" s="17"/>
      <c r="M1194" s="4"/>
      <c r="N1194" s="6"/>
      <c r="O1194" s="4"/>
      <c r="P1194" s="4"/>
      <c r="Q1194" s="4"/>
      <c r="R1194" s="4"/>
      <c r="S1194" s="4"/>
      <c r="T1194" s="4"/>
      <c r="U1194" s="4"/>
    </row>
    <row r="1195">
      <c r="A1195" s="4"/>
      <c r="B1195" s="17"/>
      <c r="C1195" s="4"/>
      <c r="D1195" s="4"/>
      <c r="E1195" s="4"/>
      <c r="F1195" s="4"/>
      <c r="G1195" s="17"/>
      <c r="H1195" s="4"/>
      <c r="I1195" s="4"/>
      <c r="J1195" s="4"/>
      <c r="K1195" s="6"/>
      <c r="L1195" s="17"/>
      <c r="M1195" s="4"/>
      <c r="N1195" s="6"/>
      <c r="O1195" s="4"/>
      <c r="P1195" s="4"/>
      <c r="Q1195" s="4"/>
      <c r="R1195" s="4"/>
      <c r="S1195" s="4"/>
      <c r="T1195" s="4"/>
      <c r="U1195" s="4"/>
    </row>
    <row r="1196">
      <c r="A1196" s="4"/>
      <c r="B1196" s="17"/>
      <c r="C1196" s="4"/>
      <c r="D1196" s="4"/>
      <c r="E1196" s="4"/>
      <c r="F1196" s="4"/>
      <c r="G1196" s="17"/>
      <c r="H1196" s="4"/>
      <c r="I1196" s="4"/>
      <c r="J1196" s="4"/>
      <c r="K1196" s="6"/>
      <c r="L1196" s="17"/>
      <c r="M1196" s="4"/>
      <c r="N1196" s="6"/>
      <c r="O1196" s="4"/>
      <c r="P1196" s="4"/>
      <c r="Q1196" s="4"/>
      <c r="R1196" s="4"/>
      <c r="S1196" s="4"/>
      <c r="T1196" s="4"/>
      <c r="U1196" s="4"/>
    </row>
    <row r="1197">
      <c r="A1197" s="4"/>
      <c r="B1197" s="17"/>
      <c r="C1197" s="4"/>
      <c r="D1197" s="4"/>
      <c r="E1197" s="4"/>
      <c r="F1197" s="4"/>
      <c r="G1197" s="17"/>
      <c r="H1197" s="4"/>
      <c r="I1197" s="4"/>
      <c r="J1197" s="4"/>
      <c r="K1197" s="6"/>
      <c r="L1197" s="17"/>
      <c r="M1197" s="4"/>
      <c r="N1197" s="6"/>
      <c r="O1197" s="4"/>
      <c r="P1197" s="4"/>
      <c r="Q1197" s="4"/>
      <c r="R1197" s="4"/>
      <c r="S1197" s="4"/>
      <c r="T1197" s="4"/>
      <c r="U1197" s="4"/>
    </row>
    <row r="1198">
      <c r="A1198" s="4"/>
      <c r="B1198" s="17"/>
      <c r="C1198" s="4"/>
      <c r="D1198" s="4"/>
      <c r="E1198" s="4"/>
      <c r="F1198" s="4"/>
      <c r="G1198" s="17"/>
      <c r="H1198" s="4"/>
      <c r="I1198" s="4"/>
      <c r="J1198" s="4"/>
      <c r="K1198" s="6"/>
      <c r="L1198" s="17"/>
      <c r="M1198" s="4"/>
      <c r="N1198" s="6"/>
      <c r="O1198" s="4"/>
      <c r="P1198" s="4"/>
      <c r="Q1198" s="4"/>
      <c r="R1198" s="4"/>
      <c r="S1198" s="4"/>
      <c r="T1198" s="4"/>
      <c r="U1198" s="4"/>
    </row>
    <row r="1199">
      <c r="A1199" s="4"/>
      <c r="B1199" s="17"/>
      <c r="C1199" s="4"/>
      <c r="D1199" s="4"/>
      <c r="E1199" s="4"/>
      <c r="F1199" s="4"/>
      <c r="G1199" s="17"/>
      <c r="H1199" s="4"/>
      <c r="I1199" s="4"/>
      <c r="J1199" s="4"/>
      <c r="K1199" s="6"/>
      <c r="L1199" s="17"/>
      <c r="M1199" s="4"/>
      <c r="N1199" s="6"/>
      <c r="O1199" s="4"/>
      <c r="P1199" s="4"/>
      <c r="Q1199" s="4"/>
      <c r="R1199" s="4"/>
      <c r="S1199" s="4"/>
      <c r="T1199" s="4"/>
      <c r="U1199" s="4"/>
    </row>
    <row r="1200">
      <c r="A1200" s="4"/>
      <c r="B1200" s="17"/>
      <c r="C1200" s="4"/>
      <c r="D1200" s="4"/>
      <c r="E1200" s="4"/>
      <c r="F1200" s="4"/>
      <c r="G1200" s="17"/>
      <c r="H1200" s="4"/>
      <c r="I1200" s="4"/>
      <c r="J1200" s="4"/>
      <c r="K1200" s="6"/>
      <c r="L1200" s="17"/>
      <c r="M1200" s="4"/>
      <c r="N1200" s="6"/>
      <c r="O1200" s="4"/>
      <c r="P1200" s="4"/>
      <c r="Q1200" s="4"/>
      <c r="R1200" s="4"/>
      <c r="S1200" s="4"/>
      <c r="T1200" s="4"/>
      <c r="U1200" s="4"/>
    </row>
    <row r="1201">
      <c r="A1201" s="4"/>
      <c r="B1201" s="17"/>
      <c r="C1201" s="4"/>
      <c r="D1201" s="4"/>
      <c r="E1201" s="4"/>
      <c r="F1201" s="4"/>
      <c r="G1201" s="17"/>
      <c r="H1201" s="4"/>
      <c r="I1201" s="4"/>
      <c r="J1201" s="4"/>
      <c r="K1201" s="6"/>
      <c r="L1201" s="17"/>
      <c r="M1201" s="4"/>
      <c r="N1201" s="6"/>
      <c r="O1201" s="4"/>
      <c r="P1201" s="4"/>
      <c r="Q1201" s="4"/>
      <c r="R1201" s="4"/>
      <c r="S1201" s="4"/>
      <c r="T1201" s="4"/>
      <c r="U1201" s="4"/>
    </row>
    <row r="1202">
      <c r="A1202" s="4"/>
      <c r="B1202" s="17"/>
      <c r="C1202" s="4"/>
      <c r="D1202" s="4"/>
      <c r="E1202" s="4"/>
      <c r="F1202" s="4"/>
      <c r="G1202" s="17"/>
      <c r="H1202" s="4"/>
      <c r="I1202" s="4"/>
      <c r="J1202" s="4"/>
      <c r="K1202" s="6"/>
      <c r="L1202" s="17"/>
      <c r="M1202" s="4"/>
      <c r="N1202" s="6"/>
      <c r="O1202" s="4"/>
      <c r="P1202" s="4"/>
      <c r="Q1202" s="4"/>
      <c r="R1202" s="4"/>
      <c r="S1202" s="4"/>
      <c r="T1202" s="4"/>
      <c r="U1202" s="4"/>
    </row>
    <row r="1203">
      <c r="A1203" s="4"/>
      <c r="B1203" s="17"/>
      <c r="C1203" s="4"/>
      <c r="D1203" s="4"/>
      <c r="E1203" s="4"/>
      <c r="F1203" s="4"/>
      <c r="G1203" s="17"/>
      <c r="H1203" s="4"/>
      <c r="I1203" s="4"/>
      <c r="J1203" s="4"/>
      <c r="K1203" s="6"/>
      <c r="L1203" s="17"/>
      <c r="M1203" s="4"/>
      <c r="N1203" s="6"/>
      <c r="O1203" s="4"/>
      <c r="P1203" s="4"/>
      <c r="Q1203" s="4"/>
      <c r="R1203" s="4"/>
      <c r="S1203" s="4"/>
      <c r="T1203" s="4"/>
      <c r="U1203" s="4"/>
    </row>
    <row r="1204">
      <c r="A1204" s="4"/>
      <c r="B1204" s="17"/>
      <c r="C1204" s="4"/>
      <c r="D1204" s="4"/>
      <c r="E1204" s="4"/>
      <c r="F1204" s="4"/>
      <c r="G1204" s="17"/>
      <c r="H1204" s="4"/>
      <c r="I1204" s="4"/>
      <c r="J1204" s="4"/>
      <c r="K1204" s="6"/>
      <c r="L1204" s="17"/>
      <c r="M1204" s="4"/>
      <c r="N1204" s="6"/>
      <c r="O1204" s="4"/>
      <c r="P1204" s="4"/>
      <c r="Q1204" s="4"/>
      <c r="R1204" s="4"/>
      <c r="S1204" s="4"/>
      <c r="T1204" s="4"/>
      <c r="U1204" s="4"/>
    </row>
    <row r="1205">
      <c r="A1205" s="4"/>
      <c r="B1205" s="17"/>
      <c r="C1205" s="4"/>
      <c r="D1205" s="4"/>
      <c r="E1205" s="4"/>
      <c r="F1205" s="4"/>
      <c r="G1205" s="17"/>
      <c r="H1205" s="4"/>
      <c r="I1205" s="4"/>
      <c r="J1205" s="4"/>
      <c r="K1205" s="6"/>
      <c r="L1205" s="17"/>
      <c r="M1205" s="4"/>
      <c r="N1205" s="6"/>
      <c r="O1205" s="4"/>
      <c r="P1205" s="4"/>
      <c r="Q1205" s="4"/>
      <c r="R1205" s="4"/>
      <c r="S1205" s="4"/>
      <c r="T1205" s="4"/>
      <c r="U1205" s="4"/>
    </row>
    <row r="1206">
      <c r="A1206" s="4"/>
      <c r="B1206" s="17"/>
      <c r="C1206" s="4"/>
      <c r="D1206" s="4"/>
      <c r="E1206" s="4"/>
      <c r="F1206" s="4"/>
      <c r="G1206" s="17"/>
      <c r="H1206" s="4"/>
      <c r="I1206" s="4"/>
      <c r="J1206" s="4"/>
      <c r="K1206" s="6"/>
      <c r="L1206" s="17"/>
      <c r="M1206" s="4"/>
      <c r="N1206" s="6"/>
      <c r="O1206" s="4"/>
      <c r="P1206" s="4"/>
      <c r="Q1206" s="4"/>
      <c r="R1206" s="4"/>
      <c r="S1206" s="4"/>
      <c r="T1206" s="4"/>
      <c r="U1206" s="4"/>
    </row>
    <row r="1207">
      <c r="A1207" s="4"/>
      <c r="B1207" s="17"/>
      <c r="C1207" s="4"/>
      <c r="D1207" s="4"/>
      <c r="E1207" s="4"/>
      <c r="F1207" s="4"/>
      <c r="G1207" s="17"/>
      <c r="H1207" s="4"/>
      <c r="I1207" s="4"/>
      <c r="J1207" s="4"/>
      <c r="K1207" s="6"/>
      <c r="L1207" s="17"/>
      <c r="M1207" s="4"/>
      <c r="N1207" s="6"/>
      <c r="O1207" s="4"/>
      <c r="P1207" s="4"/>
      <c r="Q1207" s="4"/>
      <c r="R1207" s="4"/>
      <c r="S1207" s="4"/>
      <c r="T1207" s="4"/>
      <c r="U1207" s="4"/>
    </row>
    <row r="1208">
      <c r="A1208" s="4"/>
      <c r="B1208" s="17"/>
      <c r="C1208" s="4"/>
      <c r="D1208" s="4"/>
      <c r="E1208" s="4"/>
      <c r="F1208" s="4"/>
      <c r="G1208" s="17"/>
      <c r="H1208" s="4"/>
      <c r="I1208" s="4"/>
      <c r="J1208" s="4"/>
      <c r="K1208" s="6"/>
      <c r="L1208" s="17"/>
      <c r="M1208" s="4"/>
      <c r="N1208" s="6"/>
      <c r="O1208" s="4"/>
      <c r="P1208" s="4"/>
      <c r="Q1208" s="4"/>
      <c r="R1208" s="4"/>
      <c r="S1208" s="4"/>
      <c r="T1208" s="4"/>
      <c r="U1208" s="4"/>
    </row>
    <row r="1209">
      <c r="A1209" s="4"/>
      <c r="B1209" s="17"/>
      <c r="C1209" s="4"/>
      <c r="D1209" s="4"/>
      <c r="E1209" s="4"/>
      <c r="F1209" s="4"/>
      <c r="G1209" s="17"/>
      <c r="H1209" s="4"/>
      <c r="I1209" s="4"/>
      <c r="J1209" s="4"/>
      <c r="K1209" s="6"/>
      <c r="L1209" s="17"/>
      <c r="M1209" s="4"/>
      <c r="N1209" s="6"/>
      <c r="O1209" s="4"/>
      <c r="P1209" s="4"/>
      <c r="Q1209" s="4"/>
      <c r="R1209" s="4"/>
      <c r="S1209" s="4"/>
      <c r="T1209" s="4"/>
      <c r="U1209" s="4"/>
    </row>
    <row r="1210">
      <c r="A1210" s="4"/>
      <c r="B1210" s="17"/>
      <c r="C1210" s="4"/>
      <c r="D1210" s="4"/>
      <c r="E1210" s="4"/>
      <c r="F1210" s="4"/>
      <c r="G1210" s="17"/>
      <c r="H1210" s="4"/>
      <c r="I1210" s="4"/>
      <c r="J1210" s="4"/>
      <c r="K1210" s="6"/>
      <c r="L1210" s="17"/>
      <c r="M1210" s="4"/>
      <c r="N1210" s="6"/>
      <c r="O1210" s="4"/>
      <c r="P1210" s="4"/>
      <c r="Q1210" s="4"/>
      <c r="R1210" s="4"/>
      <c r="S1210" s="4"/>
      <c r="T1210" s="4"/>
      <c r="U1210" s="4"/>
    </row>
    <row r="1211">
      <c r="A1211" s="4"/>
      <c r="B1211" s="17"/>
      <c r="C1211" s="4"/>
      <c r="D1211" s="4"/>
      <c r="E1211" s="4"/>
      <c r="F1211" s="4"/>
      <c r="G1211" s="17"/>
      <c r="H1211" s="4"/>
      <c r="I1211" s="4"/>
      <c r="J1211" s="4"/>
      <c r="K1211" s="6"/>
      <c r="L1211" s="17"/>
      <c r="M1211" s="4"/>
      <c r="N1211" s="6"/>
      <c r="O1211" s="4"/>
      <c r="P1211" s="4"/>
      <c r="Q1211" s="4"/>
      <c r="R1211" s="4"/>
      <c r="S1211" s="4"/>
      <c r="T1211" s="4"/>
      <c r="U1211" s="4"/>
    </row>
    <row r="1212">
      <c r="A1212" s="4"/>
      <c r="B1212" s="17"/>
      <c r="C1212" s="4"/>
      <c r="D1212" s="4"/>
      <c r="E1212" s="4"/>
      <c r="F1212" s="4"/>
      <c r="G1212" s="17"/>
      <c r="H1212" s="4"/>
      <c r="I1212" s="4"/>
      <c r="J1212" s="4"/>
      <c r="K1212" s="6"/>
      <c r="L1212" s="17"/>
      <c r="M1212" s="4"/>
      <c r="N1212" s="6"/>
      <c r="O1212" s="4"/>
      <c r="P1212" s="4"/>
      <c r="Q1212" s="4"/>
      <c r="R1212" s="4"/>
      <c r="S1212" s="4"/>
      <c r="T1212" s="4"/>
      <c r="U1212" s="4"/>
    </row>
    <row r="1213">
      <c r="A1213" s="4"/>
      <c r="B1213" s="17"/>
      <c r="C1213" s="4"/>
      <c r="D1213" s="4"/>
      <c r="E1213" s="4"/>
      <c r="F1213" s="4"/>
      <c r="G1213" s="17"/>
      <c r="H1213" s="4"/>
      <c r="I1213" s="4"/>
      <c r="J1213" s="4"/>
      <c r="K1213" s="6"/>
      <c r="L1213" s="17"/>
      <c r="M1213" s="4"/>
      <c r="N1213" s="6"/>
      <c r="O1213" s="4"/>
      <c r="P1213" s="4"/>
      <c r="Q1213" s="4"/>
      <c r="R1213" s="4"/>
      <c r="S1213" s="4"/>
      <c r="T1213" s="4"/>
      <c r="U1213" s="4"/>
    </row>
    <row r="1214">
      <c r="A1214" s="4"/>
      <c r="B1214" s="17"/>
      <c r="C1214" s="4"/>
      <c r="D1214" s="4"/>
      <c r="E1214" s="4"/>
      <c r="F1214" s="4"/>
      <c r="G1214" s="17"/>
      <c r="H1214" s="4"/>
      <c r="I1214" s="4"/>
      <c r="J1214" s="4"/>
      <c r="K1214" s="6"/>
      <c r="L1214" s="17"/>
      <c r="M1214" s="4"/>
      <c r="N1214" s="6"/>
      <c r="O1214" s="4"/>
      <c r="P1214" s="4"/>
      <c r="Q1214" s="4"/>
      <c r="R1214" s="4"/>
      <c r="S1214" s="4"/>
      <c r="T1214" s="4"/>
      <c r="U1214" s="4"/>
    </row>
    <row r="1215">
      <c r="A1215" s="4"/>
      <c r="B1215" s="17"/>
      <c r="C1215" s="4"/>
      <c r="D1215" s="4"/>
      <c r="E1215" s="4"/>
      <c r="F1215" s="4"/>
      <c r="G1215" s="17"/>
      <c r="H1215" s="4"/>
      <c r="I1215" s="4"/>
      <c r="J1215" s="4"/>
      <c r="K1215" s="6"/>
      <c r="L1215" s="17"/>
      <c r="M1215" s="4"/>
      <c r="N1215" s="6"/>
      <c r="O1215" s="4"/>
      <c r="P1215" s="4"/>
      <c r="Q1215" s="4"/>
      <c r="R1215" s="4"/>
      <c r="S1215" s="4"/>
      <c r="T1215" s="4"/>
      <c r="U1215" s="4"/>
    </row>
    <row r="1216">
      <c r="A1216" s="4"/>
      <c r="B1216" s="17"/>
      <c r="C1216" s="4"/>
      <c r="D1216" s="4"/>
      <c r="E1216" s="4"/>
      <c r="F1216" s="4"/>
      <c r="G1216" s="17"/>
      <c r="H1216" s="4"/>
      <c r="I1216" s="4"/>
      <c r="J1216" s="4"/>
      <c r="K1216" s="6"/>
      <c r="L1216" s="17"/>
      <c r="M1216" s="4"/>
      <c r="N1216" s="6"/>
      <c r="O1216" s="4"/>
      <c r="P1216" s="4"/>
      <c r="Q1216" s="4"/>
      <c r="R1216" s="4"/>
      <c r="S1216" s="4"/>
      <c r="T1216" s="4"/>
      <c r="U1216" s="4"/>
    </row>
    <row r="1217">
      <c r="A1217" s="4"/>
      <c r="B1217" s="17"/>
      <c r="C1217" s="4"/>
      <c r="D1217" s="4"/>
      <c r="E1217" s="4"/>
      <c r="F1217" s="4"/>
      <c r="G1217" s="17"/>
      <c r="H1217" s="4"/>
      <c r="I1217" s="4"/>
      <c r="J1217" s="4"/>
      <c r="K1217" s="6"/>
      <c r="L1217" s="17"/>
      <c r="M1217" s="4"/>
      <c r="N1217" s="6"/>
      <c r="O1217" s="4"/>
      <c r="P1217" s="4"/>
      <c r="Q1217" s="4"/>
      <c r="R1217" s="4"/>
      <c r="S1217" s="4"/>
      <c r="T1217" s="4"/>
      <c r="U1217" s="4"/>
    </row>
    <row r="1218">
      <c r="A1218" s="4"/>
      <c r="B1218" s="17"/>
      <c r="C1218" s="4"/>
      <c r="D1218" s="4"/>
      <c r="E1218" s="4"/>
      <c r="F1218" s="4"/>
      <c r="G1218" s="17"/>
      <c r="H1218" s="4"/>
      <c r="I1218" s="4"/>
      <c r="J1218" s="4"/>
      <c r="K1218" s="6"/>
      <c r="L1218" s="17"/>
      <c r="M1218" s="4"/>
      <c r="N1218" s="6"/>
      <c r="O1218" s="4"/>
      <c r="P1218" s="4"/>
      <c r="Q1218" s="4"/>
      <c r="R1218" s="4"/>
      <c r="S1218" s="4"/>
      <c r="T1218" s="4"/>
      <c r="U1218" s="4"/>
    </row>
    <row r="1219">
      <c r="A1219" s="4"/>
      <c r="B1219" s="17"/>
      <c r="C1219" s="4"/>
      <c r="D1219" s="4"/>
      <c r="E1219" s="4"/>
      <c r="F1219" s="4"/>
      <c r="G1219" s="17"/>
      <c r="H1219" s="4"/>
      <c r="I1219" s="4"/>
      <c r="J1219" s="4"/>
      <c r="K1219" s="6"/>
      <c r="L1219" s="17"/>
      <c r="M1219" s="4"/>
      <c r="N1219" s="6"/>
      <c r="O1219" s="4"/>
      <c r="P1219" s="4"/>
      <c r="Q1219" s="4"/>
      <c r="R1219" s="4"/>
      <c r="S1219" s="4"/>
      <c r="T1219" s="4"/>
      <c r="U1219" s="4"/>
    </row>
    <row r="1220">
      <c r="A1220" s="4"/>
      <c r="B1220" s="17"/>
      <c r="C1220" s="4"/>
      <c r="D1220" s="4"/>
      <c r="E1220" s="4"/>
      <c r="F1220" s="4"/>
      <c r="G1220" s="17"/>
      <c r="H1220" s="4"/>
      <c r="I1220" s="4"/>
      <c r="J1220" s="4"/>
      <c r="K1220" s="6"/>
      <c r="L1220" s="17"/>
      <c r="M1220" s="4"/>
      <c r="N1220" s="6"/>
      <c r="O1220" s="4"/>
      <c r="P1220" s="4"/>
      <c r="Q1220" s="4"/>
      <c r="R1220" s="4"/>
      <c r="S1220" s="4"/>
      <c r="T1220" s="4"/>
      <c r="U1220" s="4"/>
    </row>
    <row r="1221">
      <c r="A1221" s="4"/>
      <c r="B1221" s="17"/>
      <c r="C1221" s="4"/>
      <c r="D1221" s="4"/>
      <c r="E1221" s="4"/>
      <c r="F1221" s="4"/>
      <c r="G1221" s="17"/>
      <c r="H1221" s="4"/>
      <c r="I1221" s="4"/>
      <c r="J1221" s="4"/>
      <c r="K1221" s="6"/>
      <c r="L1221" s="17"/>
      <c r="M1221" s="4"/>
      <c r="N1221" s="6"/>
      <c r="O1221" s="4"/>
      <c r="P1221" s="4"/>
      <c r="Q1221" s="4"/>
      <c r="R1221" s="4"/>
      <c r="S1221" s="4"/>
      <c r="T1221" s="4"/>
      <c r="U1221" s="4"/>
    </row>
    <row r="1222">
      <c r="A1222" s="4"/>
      <c r="B1222" s="17"/>
      <c r="C1222" s="4"/>
      <c r="D1222" s="4"/>
      <c r="E1222" s="4"/>
      <c r="F1222" s="4"/>
      <c r="G1222" s="17"/>
      <c r="H1222" s="4"/>
      <c r="I1222" s="4"/>
      <c r="J1222" s="4"/>
      <c r="K1222" s="6"/>
      <c r="L1222" s="17"/>
      <c r="M1222" s="4"/>
      <c r="N1222" s="6"/>
      <c r="O1222" s="4"/>
      <c r="P1222" s="4"/>
      <c r="Q1222" s="4"/>
      <c r="R1222" s="4"/>
      <c r="S1222" s="4"/>
      <c r="T1222" s="4"/>
      <c r="U1222" s="4"/>
    </row>
    <row r="1223">
      <c r="A1223" s="4"/>
      <c r="B1223" s="17"/>
      <c r="C1223" s="4"/>
      <c r="D1223" s="4"/>
      <c r="E1223" s="4"/>
      <c r="F1223" s="4"/>
      <c r="G1223" s="17"/>
      <c r="H1223" s="4"/>
      <c r="I1223" s="4"/>
      <c r="J1223" s="4"/>
      <c r="K1223" s="6"/>
      <c r="L1223" s="17"/>
      <c r="M1223" s="4"/>
      <c r="N1223" s="6"/>
      <c r="O1223" s="4"/>
      <c r="P1223" s="4"/>
      <c r="Q1223" s="4"/>
      <c r="R1223" s="4"/>
      <c r="S1223" s="4"/>
      <c r="T1223" s="4"/>
      <c r="U1223" s="4"/>
    </row>
    <row r="1224">
      <c r="A1224" s="4"/>
      <c r="B1224" s="17"/>
      <c r="C1224" s="4"/>
      <c r="D1224" s="4"/>
      <c r="E1224" s="4"/>
      <c r="F1224" s="4"/>
      <c r="G1224" s="17"/>
      <c r="H1224" s="4"/>
      <c r="I1224" s="4"/>
      <c r="J1224" s="4"/>
      <c r="K1224" s="6"/>
      <c r="L1224" s="17"/>
      <c r="M1224" s="4"/>
      <c r="N1224" s="6"/>
      <c r="O1224" s="4"/>
      <c r="P1224" s="4"/>
      <c r="Q1224" s="4"/>
      <c r="R1224" s="4"/>
      <c r="S1224" s="4"/>
      <c r="T1224" s="4"/>
      <c r="U1224" s="4"/>
    </row>
    <row r="1225">
      <c r="A1225" s="4"/>
      <c r="B1225" s="17"/>
      <c r="C1225" s="4"/>
      <c r="D1225" s="4"/>
      <c r="E1225" s="4"/>
      <c r="F1225" s="4"/>
      <c r="G1225" s="17"/>
      <c r="H1225" s="4"/>
      <c r="I1225" s="4"/>
      <c r="J1225" s="4"/>
      <c r="K1225" s="6"/>
      <c r="L1225" s="17"/>
      <c r="M1225" s="4"/>
      <c r="N1225" s="6"/>
      <c r="O1225" s="4"/>
      <c r="P1225" s="4"/>
      <c r="Q1225" s="4"/>
      <c r="R1225" s="4"/>
      <c r="S1225" s="4"/>
      <c r="T1225" s="4"/>
      <c r="U1225" s="4"/>
    </row>
    <row r="1226">
      <c r="A1226" s="4"/>
      <c r="B1226" s="17"/>
      <c r="C1226" s="4"/>
      <c r="D1226" s="4"/>
      <c r="E1226" s="4"/>
      <c r="F1226" s="4"/>
      <c r="G1226" s="17"/>
      <c r="H1226" s="4"/>
      <c r="I1226" s="4"/>
      <c r="J1226" s="4"/>
      <c r="K1226" s="6"/>
      <c r="L1226" s="17"/>
      <c r="M1226" s="4"/>
      <c r="N1226" s="6"/>
      <c r="O1226" s="4"/>
      <c r="P1226" s="4"/>
      <c r="Q1226" s="4"/>
      <c r="R1226" s="4"/>
      <c r="S1226" s="4"/>
      <c r="T1226" s="4"/>
      <c r="U1226" s="4"/>
    </row>
    <row r="1227">
      <c r="A1227" s="4"/>
      <c r="B1227" s="17"/>
      <c r="C1227" s="4"/>
      <c r="D1227" s="4"/>
      <c r="E1227" s="4"/>
      <c r="F1227" s="4"/>
      <c r="G1227" s="17"/>
      <c r="H1227" s="4"/>
      <c r="I1227" s="4"/>
      <c r="J1227" s="4"/>
      <c r="K1227" s="6"/>
      <c r="L1227" s="17"/>
      <c r="M1227" s="4"/>
      <c r="N1227" s="6"/>
      <c r="O1227" s="4"/>
      <c r="P1227" s="4"/>
      <c r="Q1227" s="4"/>
      <c r="R1227" s="4"/>
      <c r="S1227" s="4"/>
      <c r="T1227" s="4"/>
      <c r="U1227" s="4"/>
    </row>
    <row r="1228">
      <c r="A1228" s="4"/>
      <c r="B1228" s="17"/>
      <c r="C1228" s="4"/>
      <c r="D1228" s="4"/>
      <c r="E1228" s="4"/>
      <c r="F1228" s="4"/>
      <c r="G1228" s="17"/>
      <c r="H1228" s="4"/>
      <c r="I1228" s="4"/>
      <c r="J1228" s="4"/>
      <c r="K1228" s="6"/>
      <c r="L1228" s="17"/>
      <c r="M1228" s="4"/>
      <c r="N1228" s="6"/>
      <c r="O1228" s="4"/>
      <c r="P1228" s="4"/>
      <c r="Q1228" s="4"/>
      <c r="R1228" s="4"/>
      <c r="S1228" s="4"/>
      <c r="T1228" s="4"/>
      <c r="U1228" s="4"/>
    </row>
    <row r="1229">
      <c r="A1229" s="4"/>
      <c r="B1229" s="17"/>
      <c r="C1229" s="4"/>
      <c r="D1229" s="4"/>
      <c r="E1229" s="4"/>
      <c r="F1229" s="4"/>
      <c r="G1229" s="17"/>
      <c r="H1229" s="4"/>
      <c r="I1229" s="4"/>
      <c r="J1229" s="4"/>
      <c r="K1229" s="6"/>
      <c r="L1229" s="17"/>
      <c r="M1229" s="4"/>
      <c r="N1229" s="6"/>
      <c r="O1229" s="4"/>
      <c r="P1229" s="4"/>
      <c r="Q1229" s="4"/>
      <c r="R1229" s="4"/>
      <c r="S1229" s="4"/>
      <c r="T1229" s="4"/>
      <c r="U1229" s="4"/>
    </row>
    <row r="1230">
      <c r="A1230" s="4"/>
      <c r="B1230" s="17"/>
      <c r="C1230" s="4"/>
      <c r="D1230" s="4"/>
      <c r="E1230" s="4"/>
      <c r="F1230" s="4"/>
      <c r="G1230" s="17"/>
      <c r="H1230" s="4"/>
      <c r="I1230" s="4"/>
      <c r="J1230" s="4"/>
      <c r="K1230" s="6"/>
      <c r="L1230" s="17"/>
      <c r="M1230" s="4"/>
      <c r="N1230" s="6"/>
      <c r="O1230" s="4"/>
      <c r="P1230" s="4"/>
      <c r="Q1230" s="4"/>
      <c r="R1230" s="4"/>
      <c r="S1230" s="4"/>
      <c r="T1230" s="4"/>
      <c r="U1230" s="4"/>
    </row>
    <row r="1231">
      <c r="A1231" s="4"/>
      <c r="B1231" s="17"/>
      <c r="C1231" s="4"/>
      <c r="D1231" s="4"/>
      <c r="E1231" s="4"/>
      <c r="F1231" s="4"/>
      <c r="G1231" s="17"/>
      <c r="H1231" s="4"/>
      <c r="I1231" s="4"/>
      <c r="J1231" s="4"/>
      <c r="K1231" s="6"/>
      <c r="L1231" s="17"/>
      <c r="M1231" s="4"/>
      <c r="N1231" s="6"/>
      <c r="O1231" s="4"/>
      <c r="P1231" s="4"/>
      <c r="Q1231" s="4"/>
      <c r="R1231" s="4"/>
      <c r="S1231" s="4"/>
      <c r="T1231" s="4"/>
      <c r="U1231" s="4"/>
    </row>
    <row r="1232">
      <c r="A1232" s="4"/>
      <c r="B1232" s="17"/>
      <c r="C1232" s="4"/>
      <c r="D1232" s="4"/>
      <c r="E1232" s="4"/>
      <c r="F1232" s="4"/>
      <c r="G1232" s="17"/>
      <c r="H1232" s="4"/>
      <c r="I1232" s="4"/>
      <c r="J1232" s="4"/>
      <c r="K1232" s="6"/>
      <c r="L1232" s="17"/>
      <c r="M1232" s="4"/>
      <c r="N1232" s="6"/>
      <c r="O1232" s="4"/>
      <c r="P1232" s="4"/>
      <c r="Q1232" s="4"/>
      <c r="R1232" s="4"/>
      <c r="S1232" s="4"/>
      <c r="T1232" s="4"/>
      <c r="U1232" s="4"/>
    </row>
    <row r="1233">
      <c r="A1233" s="4"/>
      <c r="B1233" s="17"/>
      <c r="C1233" s="4"/>
      <c r="D1233" s="4"/>
      <c r="E1233" s="4"/>
      <c r="F1233" s="4"/>
      <c r="G1233" s="17"/>
      <c r="H1233" s="4"/>
      <c r="I1233" s="4"/>
      <c r="J1233" s="4"/>
      <c r="K1233" s="6"/>
      <c r="L1233" s="17"/>
      <c r="M1233" s="4"/>
      <c r="N1233" s="6"/>
      <c r="O1233" s="4"/>
      <c r="P1233" s="4"/>
      <c r="Q1233" s="4"/>
      <c r="R1233" s="4"/>
      <c r="S1233" s="4"/>
      <c r="T1233" s="4"/>
      <c r="U1233" s="4"/>
    </row>
    <row r="1234">
      <c r="A1234" s="4"/>
      <c r="B1234" s="17"/>
      <c r="C1234" s="4"/>
      <c r="D1234" s="4"/>
      <c r="E1234" s="4"/>
      <c r="F1234" s="4"/>
      <c r="G1234" s="17"/>
      <c r="H1234" s="4"/>
      <c r="I1234" s="4"/>
      <c r="J1234" s="4"/>
      <c r="K1234" s="6"/>
      <c r="L1234" s="17"/>
      <c r="M1234" s="4"/>
      <c r="N1234" s="6"/>
      <c r="O1234" s="4"/>
      <c r="P1234" s="4"/>
      <c r="Q1234" s="4"/>
      <c r="R1234" s="4"/>
      <c r="S1234" s="4"/>
      <c r="T1234" s="4"/>
      <c r="U1234" s="4"/>
    </row>
    <row r="1235">
      <c r="A1235" s="4"/>
      <c r="B1235" s="17"/>
      <c r="C1235" s="4"/>
      <c r="D1235" s="4"/>
      <c r="E1235" s="4"/>
      <c r="F1235" s="4"/>
      <c r="G1235" s="17"/>
      <c r="H1235" s="4"/>
      <c r="I1235" s="4"/>
      <c r="J1235" s="4"/>
      <c r="K1235" s="6"/>
      <c r="L1235" s="17"/>
      <c r="M1235" s="4"/>
      <c r="N1235" s="6"/>
      <c r="O1235" s="4"/>
      <c r="P1235" s="4"/>
      <c r="Q1235" s="4"/>
      <c r="R1235" s="4"/>
      <c r="S1235" s="4"/>
      <c r="T1235" s="4"/>
      <c r="U1235" s="4"/>
    </row>
    <row r="1236">
      <c r="A1236" s="4"/>
      <c r="B1236" s="17"/>
      <c r="C1236" s="4"/>
      <c r="D1236" s="4"/>
      <c r="E1236" s="4"/>
      <c r="F1236" s="4"/>
      <c r="G1236" s="17"/>
      <c r="H1236" s="4"/>
      <c r="I1236" s="4"/>
      <c r="J1236" s="4"/>
      <c r="K1236" s="6"/>
      <c r="L1236" s="17"/>
      <c r="M1236" s="4"/>
      <c r="N1236" s="6"/>
      <c r="O1236" s="4"/>
      <c r="P1236" s="4"/>
      <c r="Q1236" s="4"/>
      <c r="R1236" s="4"/>
      <c r="S1236" s="4"/>
      <c r="T1236" s="4"/>
      <c r="U1236" s="4"/>
    </row>
    <row r="1237">
      <c r="A1237" s="4"/>
      <c r="B1237" s="17"/>
      <c r="C1237" s="4"/>
      <c r="D1237" s="4"/>
      <c r="E1237" s="4"/>
      <c r="F1237" s="4"/>
      <c r="G1237" s="17"/>
      <c r="H1237" s="4"/>
      <c r="I1237" s="4"/>
      <c r="J1237" s="4"/>
      <c r="K1237" s="6"/>
      <c r="L1237" s="17"/>
      <c r="M1237" s="4"/>
      <c r="N1237" s="6"/>
      <c r="O1237" s="4"/>
      <c r="P1237" s="4"/>
      <c r="Q1237" s="4"/>
      <c r="R1237" s="4"/>
      <c r="S1237" s="4"/>
      <c r="T1237" s="4"/>
      <c r="U1237" s="4"/>
    </row>
    <row r="1238">
      <c r="A1238" s="4"/>
      <c r="B1238" s="17"/>
      <c r="C1238" s="4"/>
      <c r="D1238" s="4"/>
      <c r="E1238" s="4"/>
      <c r="F1238" s="4"/>
      <c r="G1238" s="17"/>
      <c r="H1238" s="4"/>
      <c r="I1238" s="4"/>
      <c r="J1238" s="4"/>
      <c r="K1238" s="6"/>
      <c r="L1238" s="17"/>
      <c r="M1238" s="4"/>
      <c r="N1238" s="6"/>
      <c r="O1238" s="4"/>
      <c r="P1238" s="4"/>
      <c r="Q1238" s="4"/>
      <c r="R1238" s="4"/>
      <c r="S1238" s="4"/>
      <c r="T1238" s="4"/>
      <c r="U1238" s="4"/>
    </row>
    <row r="1239">
      <c r="A1239" s="4"/>
      <c r="B1239" s="17"/>
      <c r="C1239" s="4"/>
      <c r="D1239" s="4"/>
      <c r="E1239" s="4"/>
      <c r="F1239" s="4"/>
      <c r="G1239" s="17"/>
      <c r="H1239" s="4"/>
      <c r="I1239" s="4"/>
      <c r="J1239" s="4"/>
      <c r="K1239" s="6"/>
      <c r="L1239" s="17"/>
      <c r="M1239" s="4"/>
      <c r="N1239" s="6"/>
      <c r="O1239" s="4"/>
      <c r="P1239" s="4"/>
      <c r="Q1239" s="4"/>
      <c r="R1239" s="4"/>
      <c r="S1239" s="4"/>
      <c r="T1239" s="4"/>
      <c r="U1239" s="4"/>
    </row>
    <row r="1240">
      <c r="A1240" s="4"/>
      <c r="B1240" s="17"/>
      <c r="C1240" s="4"/>
      <c r="D1240" s="4"/>
      <c r="E1240" s="4"/>
      <c r="F1240" s="4"/>
      <c r="G1240" s="17"/>
      <c r="H1240" s="4"/>
      <c r="I1240" s="4"/>
      <c r="J1240" s="4"/>
      <c r="K1240" s="6"/>
      <c r="L1240" s="17"/>
      <c r="M1240" s="4"/>
      <c r="N1240" s="6"/>
      <c r="O1240" s="4"/>
      <c r="P1240" s="4"/>
      <c r="Q1240" s="4"/>
      <c r="R1240" s="4"/>
      <c r="S1240" s="4"/>
      <c r="T1240" s="4"/>
      <c r="U1240" s="4"/>
    </row>
    <row r="1241">
      <c r="A1241" s="4"/>
      <c r="B1241" s="17"/>
      <c r="C1241" s="4"/>
      <c r="D1241" s="4"/>
      <c r="E1241" s="4"/>
      <c r="F1241" s="4"/>
      <c r="G1241" s="17"/>
      <c r="H1241" s="4"/>
      <c r="I1241" s="4"/>
      <c r="J1241" s="4"/>
      <c r="K1241" s="6"/>
      <c r="L1241" s="17"/>
      <c r="M1241" s="4"/>
      <c r="N1241" s="6"/>
      <c r="O1241" s="4"/>
      <c r="P1241" s="4"/>
      <c r="Q1241" s="4"/>
      <c r="R1241" s="4"/>
      <c r="S1241" s="4"/>
      <c r="T1241" s="4"/>
      <c r="U1241" s="4"/>
    </row>
    <row r="1242">
      <c r="A1242" s="4"/>
      <c r="B1242" s="17"/>
      <c r="C1242" s="4"/>
      <c r="D1242" s="4"/>
      <c r="E1242" s="4"/>
      <c r="F1242" s="4"/>
      <c r="G1242" s="17"/>
      <c r="H1242" s="4"/>
      <c r="I1242" s="4"/>
      <c r="J1242" s="4"/>
      <c r="K1242" s="6"/>
      <c r="L1242" s="17"/>
      <c r="M1242" s="4"/>
      <c r="N1242" s="6"/>
      <c r="O1242" s="4"/>
      <c r="P1242" s="4"/>
      <c r="Q1242" s="4"/>
      <c r="R1242" s="4"/>
      <c r="S1242" s="4"/>
      <c r="T1242" s="4"/>
      <c r="U1242" s="4"/>
    </row>
    <row r="1243">
      <c r="A1243" s="4"/>
      <c r="B1243" s="17"/>
      <c r="C1243" s="4"/>
      <c r="D1243" s="4"/>
      <c r="E1243" s="4"/>
      <c r="F1243" s="4"/>
      <c r="G1243" s="17"/>
      <c r="H1243" s="4"/>
      <c r="I1243" s="4"/>
      <c r="J1243" s="4"/>
      <c r="K1243" s="6"/>
      <c r="L1243" s="17"/>
      <c r="M1243" s="4"/>
      <c r="N1243" s="6"/>
      <c r="O1243" s="4"/>
      <c r="P1243" s="4"/>
      <c r="Q1243" s="4"/>
      <c r="R1243" s="4"/>
      <c r="S1243" s="4"/>
      <c r="T1243" s="4"/>
      <c r="U1243" s="4"/>
    </row>
    <row r="1244">
      <c r="A1244" s="4"/>
      <c r="B1244" s="17"/>
      <c r="C1244" s="4"/>
      <c r="D1244" s="4"/>
      <c r="E1244" s="4"/>
      <c r="F1244" s="4"/>
      <c r="G1244" s="17"/>
      <c r="H1244" s="4"/>
      <c r="I1244" s="4"/>
      <c r="J1244" s="4"/>
      <c r="K1244" s="6"/>
      <c r="L1244" s="17"/>
      <c r="M1244" s="4"/>
      <c r="N1244" s="6"/>
      <c r="O1244" s="4"/>
      <c r="P1244" s="4"/>
      <c r="Q1244" s="4"/>
      <c r="R1244" s="4"/>
      <c r="S1244" s="4"/>
      <c r="T1244" s="4"/>
      <c r="U1244" s="4"/>
    </row>
    <row r="1245">
      <c r="A1245" s="4"/>
      <c r="B1245" s="17"/>
      <c r="C1245" s="4"/>
      <c r="D1245" s="4"/>
      <c r="E1245" s="4"/>
      <c r="F1245" s="4"/>
      <c r="G1245" s="17"/>
      <c r="H1245" s="4"/>
      <c r="I1245" s="4"/>
      <c r="J1245" s="4"/>
      <c r="K1245" s="6"/>
      <c r="L1245" s="17"/>
      <c r="M1245" s="4"/>
      <c r="N1245" s="6"/>
      <c r="O1245" s="4"/>
      <c r="P1245" s="4"/>
      <c r="Q1245" s="4"/>
      <c r="R1245" s="4"/>
      <c r="S1245" s="4"/>
      <c r="T1245" s="4"/>
      <c r="U1245" s="4"/>
    </row>
    <row r="1246">
      <c r="A1246" s="4"/>
      <c r="B1246" s="17"/>
      <c r="C1246" s="4"/>
      <c r="D1246" s="4"/>
      <c r="E1246" s="4"/>
      <c r="F1246" s="4"/>
      <c r="G1246" s="17"/>
      <c r="H1246" s="4"/>
      <c r="I1246" s="4"/>
      <c r="J1246" s="4"/>
      <c r="K1246" s="6"/>
      <c r="L1246" s="17"/>
      <c r="M1246" s="4"/>
      <c r="N1246" s="6"/>
      <c r="O1246" s="4"/>
      <c r="P1246" s="4"/>
      <c r="Q1246" s="4"/>
      <c r="R1246" s="4"/>
      <c r="S1246" s="4"/>
      <c r="T1246" s="4"/>
      <c r="U1246" s="4"/>
    </row>
    <row r="1247">
      <c r="A1247" s="4"/>
      <c r="B1247" s="17"/>
      <c r="C1247" s="4"/>
      <c r="D1247" s="4"/>
      <c r="E1247" s="4"/>
      <c r="F1247" s="4"/>
      <c r="G1247" s="17"/>
      <c r="H1247" s="4"/>
      <c r="I1247" s="4"/>
      <c r="J1247" s="4"/>
      <c r="K1247" s="6"/>
      <c r="L1247" s="17"/>
      <c r="M1247" s="4"/>
      <c r="N1247" s="6"/>
      <c r="O1247" s="4"/>
      <c r="P1247" s="4"/>
      <c r="Q1247" s="4"/>
      <c r="R1247" s="4"/>
      <c r="S1247" s="4"/>
      <c r="T1247" s="4"/>
      <c r="U1247" s="4"/>
    </row>
    <row r="1248">
      <c r="A1248" s="4"/>
      <c r="B1248" s="17"/>
      <c r="C1248" s="4"/>
      <c r="D1248" s="4"/>
      <c r="E1248" s="4"/>
      <c r="F1248" s="4"/>
      <c r="G1248" s="17"/>
      <c r="H1248" s="4"/>
      <c r="I1248" s="4"/>
      <c r="J1248" s="4"/>
      <c r="K1248" s="6"/>
      <c r="L1248" s="17"/>
      <c r="M1248" s="4"/>
      <c r="N1248" s="6"/>
      <c r="O1248" s="4"/>
      <c r="P1248" s="4"/>
      <c r="Q1248" s="4"/>
      <c r="R1248" s="4"/>
      <c r="S1248" s="4"/>
      <c r="T1248" s="4"/>
      <c r="U1248" s="4"/>
    </row>
    <row r="1249">
      <c r="A1249" s="4"/>
      <c r="B1249" s="17"/>
      <c r="C1249" s="4"/>
      <c r="D1249" s="4"/>
      <c r="E1249" s="4"/>
      <c r="F1249" s="4"/>
      <c r="G1249" s="17"/>
      <c r="H1249" s="4"/>
      <c r="I1249" s="4"/>
      <c r="J1249" s="4"/>
      <c r="K1249" s="6"/>
      <c r="L1249" s="17"/>
      <c r="M1249" s="4"/>
      <c r="N1249" s="6"/>
      <c r="O1249" s="4"/>
      <c r="P1249" s="4"/>
      <c r="Q1249" s="4"/>
      <c r="R1249" s="4"/>
      <c r="S1249" s="4"/>
      <c r="T1249" s="4"/>
      <c r="U1249" s="4"/>
    </row>
    <row r="1250">
      <c r="A1250" s="4"/>
      <c r="B1250" s="17"/>
      <c r="C1250" s="4"/>
      <c r="D1250" s="4"/>
      <c r="E1250" s="4"/>
      <c r="F1250" s="4"/>
      <c r="G1250" s="17"/>
      <c r="H1250" s="4"/>
      <c r="I1250" s="4"/>
      <c r="J1250" s="4"/>
      <c r="K1250" s="6"/>
      <c r="L1250" s="17"/>
      <c r="M1250" s="4"/>
      <c r="N1250" s="6"/>
      <c r="O1250" s="4"/>
      <c r="P1250" s="4"/>
      <c r="Q1250" s="4"/>
      <c r="R1250" s="4"/>
      <c r="S1250" s="4"/>
      <c r="T1250" s="4"/>
      <c r="U1250" s="4"/>
    </row>
    <row r="1251">
      <c r="A1251" s="4"/>
      <c r="B1251" s="17"/>
      <c r="C1251" s="4"/>
      <c r="D1251" s="4"/>
      <c r="E1251" s="4"/>
      <c r="F1251" s="4"/>
      <c r="G1251" s="17"/>
      <c r="H1251" s="4"/>
      <c r="I1251" s="4"/>
      <c r="J1251" s="4"/>
      <c r="K1251" s="6"/>
      <c r="L1251" s="17"/>
      <c r="M1251" s="4"/>
      <c r="N1251" s="6"/>
      <c r="O1251" s="4"/>
      <c r="P1251" s="4"/>
      <c r="Q1251" s="4"/>
      <c r="R1251" s="4"/>
      <c r="S1251" s="4"/>
      <c r="T1251" s="4"/>
      <c r="U1251" s="4"/>
    </row>
    <row r="1252">
      <c r="A1252" s="4"/>
      <c r="B1252" s="17"/>
      <c r="C1252" s="4"/>
      <c r="D1252" s="4"/>
      <c r="E1252" s="4"/>
      <c r="F1252" s="4"/>
      <c r="G1252" s="17"/>
      <c r="H1252" s="4"/>
      <c r="I1252" s="4"/>
      <c r="J1252" s="4"/>
      <c r="K1252" s="6"/>
      <c r="L1252" s="17"/>
      <c r="M1252" s="4"/>
      <c r="N1252" s="6"/>
      <c r="O1252" s="4"/>
      <c r="P1252" s="4"/>
      <c r="Q1252" s="4"/>
      <c r="R1252" s="4"/>
      <c r="S1252" s="4"/>
      <c r="T1252" s="4"/>
      <c r="U1252" s="4"/>
    </row>
    <row r="1253">
      <c r="A1253" s="4"/>
      <c r="B1253" s="17"/>
      <c r="C1253" s="4"/>
      <c r="D1253" s="4"/>
      <c r="E1253" s="4"/>
      <c r="F1253" s="4"/>
      <c r="G1253" s="17"/>
      <c r="H1253" s="4"/>
      <c r="I1253" s="4"/>
      <c r="J1253" s="4"/>
      <c r="K1253" s="6"/>
      <c r="L1253" s="17"/>
      <c r="M1253" s="4"/>
      <c r="N1253" s="6"/>
      <c r="O1253" s="4"/>
      <c r="P1253" s="4"/>
      <c r="Q1253" s="4"/>
      <c r="R1253" s="4"/>
      <c r="S1253" s="4"/>
      <c r="T1253" s="4"/>
      <c r="U1253" s="4"/>
    </row>
    <row r="1254">
      <c r="A1254" s="4"/>
      <c r="B1254" s="17"/>
      <c r="C1254" s="4"/>
      <c r="D1254" s="4"/>
      <c r="E1254" s="4"/>
      <c r="F1254" s="4"/>
      <c r="G1254" s="17"/>
      <c r="H1254" s="4"/>
      <c r="I1254" s="4"/>
      <c r="J1254" s="4"/>
      <c r="K1254" s="6"/>
      <c r="L1254" s="17"/>
      <c r="M1254" s="4"/>
      <c r="N1254" s="6"/>
      <c r="O1254" s="4"/>
      <c r="P1254" s="4"/>
      <c r="Q1254" s="4"/>
      <c r="R1254" s="4"/>
      <c r="S1254" s="4"/>
      <c r="T1254" s="4"/>
      <c r="U1254" s="4"/>
    </row>
    <row r="1255">
      <c r="A1255" s="4"/>
      <c r="B1255" s="17"/>
      <c r="C1255" s="4"/>
      <c r="D1255" s="4"/>
      <c r="E1255" s="4"/>
      <c r="F1255" s="4"/>
      <c r="G1255" s="17"/>
      <c r="H1255" s="4"/>
      <c r="I1255" s="4"/>
      <c r="J1255" s="4"/>
      <c r="K1255" s="6"/>
      <c r="L1255" s="17"/>
      <c r="M1255" s="4"/>
      <c r="N1255" s="6"/>
      <c r="O1255" s="4"/>
      <c r="P1255" s="4"/>
      <c r="Q1255" s="4"/>
      <c r="R1255" s="4"/>
      <c r="S1255" s="4"/>
      <c r="T1255" s="4"/>
      <c r="U1255" s="4"/>
    </row>
    <row r="1256">
      <c r="A1256" s="4"/>
      <c r="B1256" s="17"/>
      <c r="C1256" s="4"/>
      <c r="D1256" s="4"/>
      <c r="E1256" s="4"/>
      <c r="F1256" s="4"/>
      <c r="G1256" s="17"/>
      <c r="H1256" s="4"/>
      <c r="I1256" s="4"/>
      <c r="J1256" s="4"/>
      <c r="K1256" s="6"/>
      <c r="L1256" s="17"/>
      <c r="M1256" s="4"/>
      <c r="N1256" s="6"/>
      <c r="O1256" s="4"/>
      <c r="P1256" s="4"/>
      <c r="Q1256" s="4"/>
      <c r="R1256" s="4"/>
      <c r="S1256" s="4"/>
      <c r="T1256" s="4"/>
      <c r="U1256" s="4"/>
    </row>
    <row r="1257">
      <c r="A1257" s="4"/>
      <c r="B1257" s="17"/>
      <c r="C1257" s="4"/>
      <c r="D1257" s="4"/>
      <c r="E1257" s="4"/>
      <c r="F1257" s="4"/>
      <c r="G1257" s="17"/>
      <c r="H1257" s="4"/>
      <c r="I1257" s="4"/>
      <c r="J1257" s="4"/>
      <c r="K1257" s="6"/>
      <c r="L1257" s="17"/>
      <c r="M1257" s="4"/>
      <c r="N1257" s="6"/>
      <c r="O1257" s="4"/>
      <c r="P1257" s="4"/>
      <c r="Q1257" s="4"/>
      <c r="R1257" s="4"/>
      <c r="S1257" s="4"/>
      <c r="T1257" s="4"/>
      <c r="U1257" s="4"/>
    </row>
    <row r="1258">
      <c r="A1258" s="4"/>
      <c r="B1258" s="17"/>
      <c r="C1258" s="4"/>
      <c r="D1258" s="4"/>
      <c r="E1258" s="4"/>
      <c r="F1258" s="4"/>
      <c r="G1258" s="17"/>
      <c r="H1258" s="4"/>
      <c r="I1258" s="4"/>
      <c r="J1258" s="4"/>
      <c r="K1258" s="6"/>
      <c r="L1258" s="17"/>
      <c r="M1258" s="4"/>
      <c r="N1258" s="6"/>
      <c r="O1258" s="4"/>
      <c r="P1258" s="4"/>
      <c r="Q1258" s="4"/>
      <c r="R1258" s="4"/>
      <c r="S1258" s="4"/>
      <c r="T1258" s="4"/>
      <c r="U1258" s="4"/>
    </row>
    <row r="1259">
      <c r="A1259" s="4"/>
      <c r="B1259" s="17"/>
      <c r="C1259" s="4"/>
      <c r="D1259" s="4"/>
      <c r="E1259" s="4"/>
      <c r="F1259" s="4"/>
      <c r="G1259" s="17"/>
      <c r="H1259" s="4"/>
      <c r="I1259" s="4"/>
      <c r="J1259" s="4"/>
      <c r="K1259" s="6"/>
      <c r="L1259" s="17"/>
      <c r="M1259" s="4"/>
      <c r="N1259" s="6"/>
      <c r="O1259" s="4"/>
      <c r="P1259" s="4"/>
      <c r="Q1259" s="4"/>
      <c r="R1259" s="4"/>
      <c r="S1259" s="4"/>
      <c r="T1259" s="4"/>
      <c r="U1259" s="4"/>
    </row>
    <row r="1260">
      <c r="A1260" s="4"/>
      <c r="B1260" s="17"/>
      <c r="C1260" s="4"/>
      <c r="D1260" s="4"/>
      <c r="E1260" s="4"/>
      <c r="F1260" s="4"/>
      <c r="G1260" s="17"/>
      <c r="H1260" s="4"/>
      <c r="I1260" s="4"/>
      <c r="J1260" s="4"/>
      <c r="K1260" s="6"/>
      <c r="L1260" s="17"/>
      <c r="M1260" s="4"/>
      <c r="N1260" s="6"/>
      <c r="O1260" s="4"/>
      <c r="P1260" s="4"/>
      <c r="Q1260" s="4"/>
      <c r="R1260" s="4"/>
      <c r="S1260" s="4"/>
      <c r="T1260" s="4"/>
      <c r="U1260" s="4"/>
    </row>
    <row r="1261">
      <c r="A1261" s="4"/>
      <c r="B1261" s="17"/>
      <c r="C1261" s="4"/>
      <c r="D1261" s="4"/>
      <c r="E1261" s="4"/>
      <c r="F1261" s="4"/>
      <c r="G1261" s="17"/>
      <c r="H1261" s="4"/>
      <c r="I1261" s="4"/>
      <c r="J1261" s="4"/>
      <c r="K1261" s="6"/>
      <c r="L1261" s="17"/>
      <c r="M1261" s="4"/>
      <c r="N1261" s="6"/>
      <c r="O1261" s="4"/>
      <c r="P1261" s="4"/>
      <c r="Q1261" s="4"/>
      <c r="R1261" s="4"/>
      <c r="S1261" s="4"/>
      <c r="T1261" s="4"/>
      <c r="U1261" s="4"/>
    </row>
    <row r="1262">
      <c r="A1262" s="4"/>
      <c r="B1262" s="17"/>
      <c r="C1262" s="4"/>
      <c r="D1262" s="4"/>
      <c r="E1262" s="4"/>
      <c r="F1262" s="4"/>
      <c r="G1262" s="17"/>
      <c r="H1262" s="4"/>
      <c r="I1262" s="4"/>
      <c r="J1262" s="4"/>
      <c r="K1262" s="6"/>
      <c r="L1262" s="17"/>
      <c r="M1262" s="4"/>
      <c r="N1262" s="6"/>
      <c r="O1262" s="4"/>
      <c r="P1262" s="4"/>
      <c r="Q1262" s="4"/>
      <c r="R1262" s="4"/>
      <c r="S1262" s="4"/>
      <c r="T1262" s="4"/>
      <c r="U1262" s="4"/>
    </row>
    <row r="1263">
      <c r="A1263" s="4"/>
      <c r="B1263" s="17"/>
      <c r="C1263" s="4"/>
      <c r="D1263" s="4"/>
      <c r="E1263" s="4"/>
      <c r="F1263" s="4"/>
      <c r="G1263" s="17"/>
      <c r="H1263" s="4"/>
      <c r="I1263" s="4"/>
      <c r="J1263" s="4"/>
      <c r="K1263" s="6"/>
      <c r="L1263" s="17"/>
      <c r="M1263" s="4"/>
      <c r="N1263" s="6"/>
      <c r="O1263" s="4"/>
      <c r="P1263" s="4"/>
      <c r="Q1263" s="4"/>
      <c r="R1263" s="4"/>
      <c r="S1263" s="4"/>
      <c r="T1263" s="4"/>
      <c r="U1263" s="4"/>
    </row>
    <row r="1264">
      <c r="A1264" s="4"/>
      <c r="B1264" s="17"/>
      <c r="C1264" s="4"/>
      <c r="D1264" s="4"/>
      <c r="E1264" s="4"/>
      <c r="F1264" s="4"/>
      <c r="G1264" s="17"/>
      <c r="H1264" s="4"/>
      <c r="I1264" s="4"/>
      <c r="J1264" s="4"/>
      <c r="K1264" s="6"/>
      <c r="L1264" s="17"/>
      <c r="M1264" s="4"/>
      <c r="N1264" s="6"/>
      <c r="O1264" s="4"/>
      <c r="P1264" s="4"/>
      <c r="Q1264" s="4"/>
      <c r="R1264" s="4"/>
      <c r="S1264" s="4"/>
      <c r="T1264" s="4"/>
      <c r="U1264" s="4"/>
    </row>
    <row r="1265">
      <c r="A1265" s="4"/>
      <c r="B1265" s="17"/>
      <c r="C1265" s="4"/>
      <c r="D1265" s="4"/>
      <c r="E1265" s="4"/>
      <c r="F1265" s="4"/>
      <c r="G1265" s="17"/>
      <c r="H1265" s="4"/>
      <c r="I1265" s="4"/>
      <c r="J1265" s="4"/>
      <c r="K1265" s="6"/>
      <c r="L1265" s="17"/>
      <c r="M1265" s="4"/>
      <c r="N1265" s="6"/>
      <c r="O1265" s="4"/>
      <c r="P1265" s="4"/>
      <c r="Q1265" s="4"/>
      <c r="R1265" s="4"/>
      <c r="S1265" s="4"/>
      <c r="T1265" s="4"/>
      <c r="U1265" s="4"/>
    </row>
    <row r="1266">
      <c r="A1266" s="4"/>
      <c r="B1266" s="17"/>
      <c r="C1266" s="4"/>
      <c r="D1266" s="4"/>
      <c r="E1266" s="4"/>
      <c r="F1266" s="4"/>
      <c r="G1266" s="17"/>
      <c r="H1266" s="4"/>
      <c r="I1266" s="4"/>
      <c r="J1266" s="4"/>
      <c r="K1266" s="6"/>
      <c r="L1266" s="17"/>
      <c r="M1266" s="4"/>
      <c r="N1266" s="6"/>
      <c r="O1266" s="4"/>
      <c r="P1266" s="4"/>
      <c r="Q1266" s="4"/>
      <c r="R1266" s="4"/>
      <c r="S1266" s="4"/>
      <c r="T1266" s="4"/>
      <c r="U1266" s="4"/>
    </row>
    <row r="1267">
      <c r="A1267" s="4"/>
      <c r="B1267" s="17"/>
      <c r="C1267" s="4"/>
      <c r="D1267" s="4"/>
      <c r="E1267" s="4"/>
      <c r="F1267" s="4"/>
      <c r="G1267" s="17"/>
      <c r="H1267" s="4"/>
      <c r="I1267" s="4"/>
      <c r="J1267" s="4"/>
      <c r="K1267" s="6"/>
      <c r="L1267" s="17"/>
      <c r="M1267" s="4"/>
      <c r="N1267" s="6"/>
      <c r="O1267" s="4"/>
      <c r="P1267" s="4"/>
      <c r="Q1267" s="4"/>
      <c r="R1267" s="4"/>
      <c r="S1267" s="4"/>
      <c r="T1267" s="4"/>
      <c r="U1267" s="4"/>
    </row>
    <row r="1268">
      <c r="A1268" s="4"/>
      <c r="B1268" s="17"/>
      <c r="C1268" s="4"/>
      <c r="D1268" s="4"/>
      <c r="E1268" s="4"/>
      <c r="F1268" s="4"/>
      <c r="G1268" s="17"/>
      <c r="H1268" s="4"/>
      <c r="I1268" s="4"/>
      <c r="J1268" s="4"/>
      <c r="K1268" s="6"/>
      <c r="L1268" s="17"/>
      <c r="M1268" s="4"/>
      <c r="N1268" s="6"/>
      <c r="O1268" s="4"/>
      <c r="P1268" s="4"/>
      <c r="Q1268" s="4"/>
      <c r="R1268" s="4"/>
      <c r="S1268" s="4"/>
      <c r="T1268" s="4"/>
      <c r="U1268" s="4"/>
    </row>
    <row r="1269">
      <c r="A1269" s="4"/>
      <c r="B1269" s="17"/>
      <c r="C1269" s="4"/>
      <c r="D1269" s="4"/>
      <c r="E1269" s="4"/>
      <c r="F1269" s="4"/>
      <c r="G1269" s="17"/>
      <c r="H1269" s="4"/>
      <c r="I1269" s="4"/>
      <c r="J1269" s="4"/>
      <c r="K1269" s="6"/>
      <c r="L1269" s="17"/>
      <c r="M1269" s="4"/>
      <c r="N1269" s="6"/>
      <c r="O1269" s="4"/>
      <c r="P1269" s="4"/>
      <c r="Q1269" s="4"/>
      <c r="R1269" s="4"/>
      <c r="S1269" s="4"/>
      <c r="T1269" s="4"/>
      <c r="U1269" s="4"/>
    </row>
    <row r="1270">
      <c r="A1270" s="4"/>
      <c r="B1270" s="17"/>
      <c r="C1270" s="4"/>
      <c r="D1270" s="4"/>
      <c r="E1270" s="4"/>
      <c r="F1270" s="4"/>
      <c r="G1270" s="17"/>
      <c r="H1270" s="4"/>
      <c r="I1270" s="4"/>
      <c r="J1270" s="4"/>
      <c r="K1270" s="6"/>
      <c r="L1270" s="17"/>
      <c r="M1270" s="4"/>
      <c r="N1270" s="6"/>
      <c r="O1270" s="4"/>
      <c r="P1270" s="4"/>
      <c r="Q1270" s="4"/>
      <c r="R1270" s="4"/>
      <c r="S1270" s="4"/>
      <c r="T1270" s="4"/>
      <c r="U1270" s="4"/>
    </row>
    <row r="1271">
      <c r="A1271" s="4"/>
      <c r="B1271" s="17"/>
      <c r="C1271" s="4"/>
      <c r="D1271" s="4"/>
      <c r="E1271" s="4"/>
      <c r="F1271" s="4"/>
      <c r="G1271" s="17"/>
      <c r="H1271" s="4"/>
      <c r="I1271" s="4"/>
      <c r="J1271" s="4"/>
      <c r="K1271" s="6"/>
      <c r="L1271" s="17"/>
      <c r="M1271" s="4"/>
      <c r="N1271" s="6"/>
      <c r="O1271" s="4"/>
      <c r="P1271" s="4"/>
      <c r="Q1271" s="4"/>
      <c r="R1271" s="4"/>
      <c r="S1271" s="4"/>
      <c r="T1271" s="4"/>
      <c r="U1271" s="4"/>
    </row>
    <row r="1272">
      <c r="A1272" s="4"/>
      <c r="B1272" s="17"/>
      <c r="C1272" s="4"/>
      <c r="D1272" s="4"/>
      <c r="E1272" s="4"/>
      <c r="F1272" s="4"/>
      <c r="G1272" s="17"/>
      <c r="H1272" s="4"/>
      <c r="I1272" s="4"/>
      <c r="J1272" s="4"/>
      <c r="K1272" s="6"/>
      <c r="L1272" s="17"/>
      <c r="M1272" s="4"/>
      <c r="N1272" s="6"/>
      <c r="O1272" s="4"/>
      <c r="P1272" s="4"/>
      <c r="Q1272" s="4"/>
      <c r="R1272" s="4"/>
      <c r="S1272" s="4"/>
      <c r="T1272" s="4"/>
      <c r="U1272" s="4"/>
    </row>
    <row r="1273">
      <c r="A1273" s="4"/>
      <c r="B1273" s="17"/>
      <c r="C1273" s="4"/>
      <c r="D1273" s="4"/>
      <c r="E1273" s="4"/>
      <c r="F1273" s="4"/>
      <c r="G1273" s="17"/>
      <c r="H1273" s="4"/>
      <c r="I1273" s="4"/>
      <c r="J1273" s="4"/>
      <c r="K1273" s="6"/>
      <c r="L1273" s="17"/>
      <c r="M1273" s="4"/>
      <c r="N1273" s="6"/>
      <c r="O1273" s="4"/>
      <c r="P1273" s="4"/>
      <c r="Q1273" s="4"/>
      <c r="R1273" s="4"/>
      <c r="S1273" s="4"/>
      <c r="T1273" s="4"/>
      <c r="U1273" s="4"/>
    </row>
    <row r="1274">
      <c r="A1274" s="4"/>
      <c r="B1274" s="17"/>
      <c r="C1274" s="4"/>
      <c r="D1274" s="4"/>
      <c r="E1274" s="4"/>
      <c r="F1274" s="4"/>
      <c r="G1274" s="17"/>
      <c r="H1274" s="4"/>
      <c r="I1274" s="4"/>
      <c r="J1274" s="4"/>
      <c r="K1274" s="6"/>
      <c r="L1274" s="17"/>
      <c r="M1274" s="4"/>
      <c r="N1274" s="6"/>
      <c r="O1274" s="4"/>
      <c r="P1274" s="4"/>
      <c r="Q1274" s="4"/>
      <c r="R1274" s="4"/>
      <c r="S1274" s="4"/>
      <c r="T1274" s="4"/>
      <c r="U1274" s="4"/>
    </row>
    <row r="1275">
      <c r="A1275" s="4"/>
      <c r="B1275" s="17"/>
      <c r="C1275" s="4"/>
      <c r="D1275" s="4"/>
      <c r="E1275" s="4"/>
      <c r="F1275" s="4"/>
      <c r="G1275" s="17"/>
      <c r="H1275" s="4"/>
      <c r="I1275" s="4"/>
      <c r="J1275" s="4"/>
      <c r="K1275" s="6"/>
      <c r="L1275" s="17"/>
      <c r="M1275" s="4"/>
      <c r="N1275" s="6"/>
      <c r="O1275" s="4"/>
      <c r="P1275" s="4"/>
      <c r="Q1275" s="4"/>
      <c r="R1275" s="4"/>
      <c r="S1275" s="4"/>
      <c r="T1275" s="4"/>
      <c r="U1275" s="4"/>
    </row>
    <row r="1276">
      <c r="A1276" s="4"/>
      <c r="B1276" s="17"/>
      <c r="C1276" s="4"/>
      <c r="D1276" s="4"/>
      <c r="E1276" s="4"/>
      <c r="F1276" s="4"/>
      <c r="G1276" s="17"/>
      <c r="H1276" s="4"/>
      <c r="I1276" s="4"/>
      <c r="J1276" s="4"/>
      <c r="K1276" s="6"/>
      <c r="L1276" s="17"/>
      <c r="M1276" s="4"/>
      <c r="N1276" s="6"/>
      <c r="O1276" s="4"/>
      <c r="P1276" s="4"/>
      <c r="Q1276" s="4"/>
      <c r="R1276" s="4"/>
      <c r="S1276" s="4"/>
      <c r="T1276" s="4"/>
      <c r="U1276" s="4"/>
    </row>
    <row r="1277">
      <c r="A1277" s="4"/>
      <c r="B1277" s="17"/>
      <c r="C1277" s="4"/>
      <c r="D1277" s="4"/>
      <c r="E1277" s="4"/>
      <c r="F1277" s="4"/>
      <c r="G1277" s="17"/>
      <c r="H1277" s="4"/>
      <c r="I1277" s="4"/>
      <c r="J1277" s="4"/>
      <c r="K1277" s="6"/>
      <c r="L1277" s="17"/>
      <c r="M1277" s="4"/>
      <c r="N1277" s="6"/>
      <c r="O1277" s="4"/>
      <c r="P1277" s="4"/>
      <c r="Q1277" s="4"/>
      <c r="R1277" s="4"/>
      <c r="S1277" s="4"/>
      <c r="T1277" s="4"/>
      <c r="U1277" s="4"/>
    </row>
    <row r="1278">
      <c r="A1278" s="4"/>
      <c r="B1278" s="17"/>
      <c r="C1278" s="4"/>
      <c r="D1278" s="4"/>
      <c r="E1278" s="4"/>
      <c r="F1278" s="4"/>
      <c r="G1278" s="17"/>
      <c r="H1278" s="4"/>
      <c r="I1278" s="4"/>
      <c r="J1278" s="4"/>
      <c r="K1278" s="6"/>
      <c r="L1278" s="17"/>
      <c r="M1278" s="4"/>
      <c r="N1278" s="6"/>
      <c r="O1278" s="4"/>
      <c r="P1278" s="4"/>
      <c r="Q1278" s="4"/>
      <c r="R1278" s="4"/>
      <c r="S1278" s="4"/>
      <c r="T1278" s="4"/>
      <c r="U1278" s="4"/>
    </row>
    <row r="1279">
      <c r="A1279" s="4"/>
      <c r="B1279" s="17"/>
      <c r="C1279" s="4"/>
      <c r="D1279" s="4"/>
      <c r="E1279" s="4"/>
      <c r="F1279" s="4"/>
      <c r="G1279" s="17"/>
      <c r="H1279" s="4"/>
      <c r="I1279" s="4"/>
      <c r="J1279" s="4"/>
      <c r="K1279" s="6"/>
      <c r="L1279" s="17"/>
      <c r="M1279" s="4"/>
      <c r="N1279" s="6"/>
      <c r="O1279" s="4"/>
      <c r="P1279" s="4"/>
      <c r="Q1279" s="4"/>
      <c r="R1279" s="4"/>
      <c r="S1279" s="4"/>
      <c r="T1279" s="4"/>
      <c r="U1279" s="4"/>
    </row>
    <row r="1280">
      <c r="A1280" s="4"/>
      <c r="B1280" s="17"/>
      <c r="C1280" s="4"/>
      <c r="D1280" s="4"/>
      <c r="E1280" s="4"/>
      <c r="F1280" s="4"/>
      <c r="G1280" s="17"/>
      <c r="H1280" s="4"/>
      <c r="I1280" s="4"/>
      <c r="J1280" s="4"/>
      <c r="K1280" s="6"/>
      <c r="L1280" s="17"/>
      <c r="M1280" s="4"/>
      <c r="N1280" s="6"/>
      <c r="O1280" s="4"/>
      <c r="P1280" s="4"/>
      <c r="Q1280" s="4"/>
      <c r="R1280" s="4"/>
      <c r="S1280" s="4"/>
      <c r="T1280" s="4"/>
      <c r="U1280" s="4"/>
    </row>
    <row r="1281">
      <c r="A1281" s="4"/>
      <c r="B1281" s="17"/>
      <c r="C1281" s="4"/>
      <c r="D1281" s="4"/>
      <c r="E1281" s="4"/>
      <c r="F1281" s="4"/>
      <c r="G1281" s="17"/>
      <c r="H1281" s="4"/>
      <c r="I1281" s="4"/>
      <c r="J1281" s="4"/>
      <c r="K1281" s="6"/>
      <c r="L1281" s="17"/>
      <c r="M1281" s="4"/>
      <c r="N1281" s="6"/>
      <c r="O1281" s="4"/>
      <c r="P1281" s="4"/>
      <c r="Q1281" s="4"/>
      <c r="R1281" s="4"/>
      <c r="S1281" s="4"/>
      <c r="T1281" s="4"/>
      <c r="U1281" s="4"/>
    </row>
    <row r="1282">
      <c r="A1282" s="4"/>
      <c r="B1282" s="17"/>
      <c r="C1282" s="4"/>
      <c r="D1282" s="4"/>
      <c r="E1282" s="4"/>
      <c r="F1282" s="4"/>
      <c r="G1282" s="17"/>
      <c r="H1282" s="4"/>
      <c r="I1282" s="4"/>
      <c r="J1282" s="4"/>
      <c r="K1282" s="6"/>
      <c r="L1282" s="17"/>
      <c r="M1282" s="4"/>
      <c r="N1282" s="6"/>
      <c r="O1282" s="4"/>
      <c r="P1282" s="4"/>
      <c r="Q1282" s="4"/>
      <c r="R1282" s="4"/>
      <c r="S1282" s="4"/>
      <c r="T1282" s="4"/>
      <c r="U1282" s="4"/>
    </row>
    <row r="1283">
      <c r="A1283" s="4"/>
      <c r="B1283" s="17"/>
      <c r="C1283" s="4"/>
      <c r="D1283" s="4"/>
      <c r="E1283" s="4"/>
      <c r="F1283" s="4"/>
      <c r="G1283" s="17"/>
      <c r="H1283" s="4"/>
      <c r="I1283" s="4"/>
      <c r="J1283" s="4"/>
      <c r="K1283" s="6"/>
      <c r="L1283" s="17"/>
      <c r="M1283" s="4"/>
      <c r="N1283" s="6"/>
      <c r="O1283" s="4"/>
      <c r="P1283" s="4"/>
      <c r="Q1283" s="4"/>
      <c r="R1283" s="4"/>
      <c r="S1283" s="4"/>
      <c r="T1283" s="4"/>
      <c r="U1283" s="4"/>
    </row>
    <row r="1284">
      <c r="A1284" s="4"/>
      <c r="B1284" s="17"/>
      <c r="C1284" s="4"/>
      <c r="D1284" s="4"/>
      <c r="E1284" s="4"/>
      <c r="F1284" s="4"/>
      <c r="G1284" s="17"/>
      <c r="H1284" s="4"/>
      <c r="I1284" s="4"/>
      <c r="J1284" s="4"/>
      <c r="K1284" s="6"/>
      <c r="L1284" s="17"/>
      <c r="M1284" s="4"/>
      <c r="N1284" s="6"/>
      <c r="O1284" s="4"/>
      <c r="P1284" s="4"/>
      <c r="Q1284" s="4"/>
      <c r="R1284" s="4"/>
      <c r="S1284" s="4"/>
      <c r="T1284" s="4"/>
      <c r="U1284" s="4"/>
    </row>
    <row r="1285">
      <c r="A1285" s="4"/>
      <c r="B1285" s="17"/>
      <c r="C1285" s="4"/>
      <c r="D1285" s="4"/>
      <c r="E1285" s="4"/>
      <c r="F1285" s="4"/>
      <c r="G1285" s="17"/>
      <c r="H1285" s="4"/>
      <c r="I1285" s="4"/>
      <c r="J1285" s="4"/>
      <c r="K1285" s="6"/>
      <c r="L1285" s="17"/>
      <c r="M1285" s="4"/>
      <c r="N1285" s="6"/>
      <c r="O1285" s="4"/>
      <c r="P1285" s="4"/>
      <c r="Q1285" s="4"/>
      <c r="R1285" s="4"/>
      <c r="S1285" s="4"/>
      <c r="T1285" s="4"/>
      <c r="U1285" s="4"/>
    </row>
    <row r="1286">
      <c r="A1286" s="4"/>
      <c r="B1286" s="17"/>
      <c r="C1286" s="4"/>
      <c r="D1286" s="4"/>
      <c r="E1286" s="4"/>
      <c r="F1286" s="4"/>
      <c r="G1286" s="17"/>
      <c r="H1286" s="4"/>
      <c r="I1286" s="4"/>
      <c r="J1286" s="4"/>
      <c r="K1286" s="6"/>
      <c r="L1286" s="17"/>
      <c r="M1286" s="4"/>
      <c r="N1286" s="6"/>
      <c r="O1286" s="4"/>
      <c r="P1286" s="4"/>
      <c r="Q1286" s="4"/>
      <c r="R1286" s="4"/>
      <c r="S1286" s="4"/>
      <c r="T1286" s="4"/>
      <c r="U1286" s="4"/>
    </row>
    <row r="1287">
      <c r="A1287" s="4"/>
      <c r="B1287" s="17"/>
      <c r="C1287" s="4"/>
      <c r="D1287" s="4"/>
      <c r="E1287" s="4"/>
      <c r="F1287" s="4"/>
      <c r="G1287" s="17"/>
      <c r="H1287" s="4"/>
      <c r="I1287" s="4"/>
      <c r="J1287" s="4"/>
      <c r="K1287" s="6"/>
      <c r="L1287" s="17"/>
      <c r="M1287" s="4"/>
      <c r="N1287" s="6"/>
      <c r="O1287" s="4"/>
      <c r="P1287" s="4"/>
      <c r="Q1287" s="4"/>
      <c r="R1287" s="4"/>
      <c r="S1287" s="4"/>
      <c r="T1287" s="4"/>
      <c r="U1287" s="4"/>
    </row>
    <row r="1288">
      <c r="A1288" s="4"/>
      <c r="B1288" s="17"/>
      <c r="C1288" s="4"/>
      <c r="D1288" s="4"/>
      <c r="E1288" s="4"/>
      <c r="F1288" s="4"/>
      <c r="G1288" s="17"/>
      <c r="H1288" s="4"/>
      <c r="I1288" s="4"/>
      <c r="J1288" s="4"/>
      <c r="K1288" s="6"/>
      <c r="L1288" s="17"/>
      <c r="M1288" s="4"/>
      <c r="N1288" s="6"/>
      <c r="O1288" s="4"/>
      <c r="P1288" s="4"/>
      <c r="Q1288" s="4"/>
      <c r="R1288" s="4"/>
      <c r="S1288" s="4"/>
      <c r="T1288" s="4"/>
      <c r="U1288" s="4"/>
    </row>
    <row r="1289">
      <c r="A1289" s="4"/>
      <c r="B1289" s="17"/>
      <c r="C1289" s="4"/>
      <c r="D1289" s="4"/>
      <c r="E1289" s="4"/>
      <c r="F1289" s="4"/>
      <c r="G1289" s="17"/>
      <c r="H1289" s="4"/>
      <c r="I1289" s="4"/>
      <c r="J1289" s="4"/>
      <c r="K1289" s="6"/>
      <c r="L1289" s="17"/>
      <c r="M1289" s="4"/>
      <c r="N1289" s="6"/>
      <c r="O1289" s="4"/>
      <c r="P1289" s="4"/>
      <c r="Q1289" s="4"/>
      <c r="R1289" s="4"/>
      <c r="S1289" s="4"/>
      <c r="T1289" s="4"/>
      <c r="U1289" s="4"/>
    </row>
    <row r="1290">
      <c r="A1290" s="4"/>
      <c r="B1290" s="17"/>
      <c r="C1290" s="4"/>
      <c r="D1290" s="4"/>
      <c r="E1290" s="4"/>
      <c r="F1290" s="4"/>
      <c r="G1290" s="17"/>
      <c r="H1290" s="4"/>
      <c r="I1290" s="4"/>
      <c r="J1290" s="4"/>
      <c r="K1290" s="6"/>
      <c r="L1290" s="17"/>
      <c r="M1290" s="4"/>
      <c r="N1290" s="6"/>
      <c r="O1290" s="4"/>
      <c r="P1290" s="4"/>
      <c r="Q1290" s="4"/>
      <c r="R1290" s="4"/>
      <c r="S1290" s="4"/>
      <c r="T1290" s="4"/>
      <c r="U1290" s="4"/>
    </row>
    <row r="1291">
      <c r="A1291" s="4"/>
      <c r="B1291" s="17"/>
      <c r="C1291" s="4"/>
      <c r="D1291" s="4"/>
      <c r="E1291" s="4"/>
      <c r="F1291" s="4"/>
      <c r="G1291" s="17"/>
      <c r="H1291" s="4"/>
      <c r="I1291" s="4"/>
      <c r="J1291" s="4"/>
      <c r="K1291" s="6"/>
      <c r="L1291" s="17"/>
      <c r="M1291" s="4"/>
      <c r="N1291" s="6"/>
      <c r="O1291" s="4"/>
      <c r="P1291" s="4"/>
      <c r="Q1291" s="4"/>
      <c r="R1291" s="4"/>
      <c r="S1291" s="4"/>
      <c r="T1291" s="4"/>
      <c r="U1291" s="4"/>
    </row>
    <row r="1292">
      <c r="A1292" s="4"/>
      <c r="B1292" s="17"/>
      <c r="C1292" s="4"/>
      <c r="D1292" s="4"/>
      <c r="E1292" s="4"/>
      <c r="F1292" s="4"/>
      <c r="G1292" s="17"/>
      <c r="H1292" s="4"/>
      <c r="I1292" s="4"/>
      <c r="J1292" s="4"/>
      <c r="K1292" s="6"/>
      <c r="L1292" s="17"/>
      <c r="M1292" s="4"/>
      <c r="N1292" s="6"/>
      <c r="O1292" s="4"/>
      <c r="P1292" s="4"/>
      <c r="Q1292" s="4"/>
      <c r="R1292" s="4"/>
      <c r="S1292" s="4"/>
      <c r="T1292" s="4"/>
      <c r="U1292" s="4"/>
    </row>
    <row r="1293">
      <c r="A1293" s="4"/>
      <c r="B1293" s="17"/>
      <c r="C1293" s="4"/>
      <c r="D1293" s="4"/>
      <c r="E1293" s="4"/>
      <c r="F1293" s="4"/>
      <c r="G1293" s="17"/>
      <c r="H1293" s="4"/>
      <c r="I1293" s="4"/>
      <c r="J1293" s="4"/>
      <c r="K1293" s="6"/>
      <c r="L1293" s="17"/>
      <c r="M1293" s="4"/>
      <c r="N1293" s="6"/>
      <c r="O1293" s="4"/>
      <c r="P1293" s="4"/>
      <c r="Q1293" s="4"/>
      <c r="R1293" s="4"/>
      <c r="S1293" s="4"/>
      <c r="T1293" s="4"/>
      <c r="U1293" s="4"/>
    </row>
    <row r="1294">
      <c r="A1294" s="4"/>
      <c r="B1294" s="17"/>
      <c r="C1294" s="4"/>
      <c r="D1294" s="4"/>
      <c r="E1294" s="4"/>
      <c r="F1294" s="4"/>
      <c r="G1294" s="17"/>
      <c r="H1294" s="4"/>
      <c r="I1294" s="4"/>
      <c r="J1294" s="4"/>
      <c r="K1294" s="6"/>
      <c r="L1294" s="17"/>
      <c r="M1294" s="4"/>
      <c r="N1294" s="6"/>
      <c r="O1294" s="4"/>
      <c r="P1294" s="4"/>
      <c r="Q1294" s="4"/>
      <c r="R1294" s="4"/>
      <c r="S1294" s="4"/>
      <c r="T1294" s="4"/>
      <c r="U1294" s="4"/>
    </row>
    <row r="1295">
      <c r="A1295" s="4"/>
      <c r="B1295" s="17"/>
      <c r="C1295" s="4"/>
      <c r="D1295" s="4"/>
      <c r="E1295" s="4"/>
      <c r="F1295" s="4"/>
      <c r="G1295" s="17"/>
      <c r="H1295" s="4"/>
      <c r="I1295" s="4"/>
      <c r="J1295" s="4"/>
      <c r="K1295" s="6"/>
      <c r="L1295" s="17"/>
      <c r="M1295" s="4"/>
      <c r="N1295" s="6"/>
      <c r="O1295" s="4"/>
      <c r="P1295" s="4"/>
      <c r="Q1295" s="4"/>
      <c r="R1295" s="4"/>
      <c r="S1295" s="4"/>
      <c r="T1295" s="4"/>
      <c r="U1295" s="4"/>
    </row>
    <row r="1296">
      <c r="A1296" s="4"/>
      <c r="B1296" s="17"/>
      <c r="C1296" s="4"/>
      <c r="D1296" s="4"/>
      <c r="E1296" s="4"/>
      <c r="F1296" s="4"/>
      <c r="G1296" s="17"/>
      <c r="H1296" s="4"/>
      <c r="I1296" s="4"/>
      <c r="J1296" s="4"/>
      <c r="K1296" s="6"/>
      <c r="L1296" s="17"/>
      <c r="M1296" s="4"/>
      <c r="N1296" s="6"/>
      <c r="O1296" s="4"/>
      <c r="P1296" s="4"/>
      <c r="Q1296" s="4"/>
      <c r="R1296" s="4"/>
      <c r="S1296" s="4"/>
      <c r="T1296" s="4"/>
      <c r="U1296" s="4"/>
    </row>
    <row r="1297">
      <c r="A1297" s="4"/>
      <c r="B1297" s="17"/>
      <c r="C1297" s="4"/>
      <c r="D1297" s="4"/>
      <c r="E1297" s="4"/>
      <c r="F1297" s="4"/>
      <c r="G1297" s="17"/>
      <c r="H1297" s="4"/>
      <c r="I1297" s="4"/>
      <c r="J1297" s="4"/>
      <c r="K1297" s="6"/>
      <c r="L1297" s="17"/>
      <c r="M1297" s="4"/>
      <c r="N1297" s="6"/>
      <c r="O1297" s="4"/>
      <c r="P1297" s="4"/>
      <c r="Q1297" s="4"/>
      <c r="R1297" s="4"/>
      <c r="S1297" s="4"/>
      <c r="T1297" s="4"/>
      <c r="U1297" s="4"/>
    </row>
    <row r="1298">
      <c r="A1298" s="4"/>
      <c r="B1298" s="17"/>
      <c r="C1298" s="4"/>
      <c r="D1298" s="4"/>
      <c r="E1298" s="4"/>
      <c r="F1298" s="4"/>
      <c r="G1298" s="17"/>
      <c r="H1298" s="4"/>
      <c r="I1298" s="4"/>
      <c r="J1298" s="4"/>
      <c r="K1298" s="6"/>
      <c r="L1298" s="17"/>
      <c r="M1298" s="4"/>
      <c r="N1298" s="6"/>
      <c r="O1298" s="4"/>
      <c r="P1298" s="4"/>
      <c r="Q1298" s="4"/>
      <c r="R1298" s="4"/>
      <c r="S1298" s="4"/>
      <c r="T1298" s="4"/>
      <c r="U1298" s="4"/>
    </row>
    <row r="1299">
      <c r="A1299" s="4"/>
      <c r="B1299" s="17"/>
      <c r="C1299" s="4"/>
      <c r="D1299" s="4"/>
      <c r="E1299" s="4"/>
      <c r="F1299" s="4"/>
      <c r="G1299" s="17"/>
      <c r="H1299" s="4"/>
      <c r="I1299" s="4"/>
      <c r="J1299" s="4"/>
      <c r="K1299" s="6"/>
      <c r="L1299" s="17"/>
      <c r="M1299" s="4"/>
      <c r="N1299" s="6"/>
      <c r="O1299" s="4"/>
      <c r="P1299" s="4"/>
      <c r="Q1299" s="4"/>
      <c r="R1299" s="4"/>
      <c r="S1299" s="4"/>
      <c r="T1299" s="4"/>
      <c r="U1299" s="4"/>
    </row>
    <row r="1300">
      <c r="A1300" s="4"/>
      <c r="B1300" s="17"/>
      <c r="C1300" s="4"/>
      <c r="D1300" s="4"/>
      <c r="E1300" s="4"/>
      <c r="F1300" s="4"/>
      <c r="G1300" s="17"/>
      <c r="H1300" s="4"/>
      <c r="I1300" s="4"/>
      <c r="J1300" s="4"/>
      <c r="K1300" s="6"/>
      <c r="L1300" s="17"/>
      <c r="M1300" s="4"/>
      <c r="N1300" s="6"/>
      <c r="O1300" s="4"/>
      <c r="P1300" s="4"/>
      <c r="Q1300" s="4"/>
      <c r="R1300" s="4"/>
      <c r="S1300" s="4"/>
      <c r="T1300" s="4"/>
      <c r="U1300" s="4"/>
    </row>
    <row r="1301">
      <c r="A1301" s="4"/>
      <c r="B1301" s="17"/>
      <c r="C1301" s="4"/>
      <c r="D1301" s="4"/>
      <c r="E1301" s="4"/>
      <c r="F1301" s="4"/>
      <c r="G1301" s="17"/>
      <c r="H1301" s="4"/>
      <c r="I1301" s="4"/>
      <c r="J1301" s="4"/>
      <c r="K1301" s="6"/>
      <c r="L1301" s="17"/>
      <c r="M1301" s="4"/>
      <c r="N1301" s="6"/>
      <c r="O1301" s="4"/>
      <c r="P1301" s="4"/>
      <c r="Q1301" s="4"/>
      <c r="R1301" s="4"/>
      <c r="S1301" s="4"/>
      <c r="T1301" s="4"/>
      <c r="U1301" s="4"/>
    </row>
    <row r="1302">
      <c r="A1302" s="4"/>
      <c r="B1302" s="17"/>
      <c r="C1302" s="4"/>
      <c r="D1302" s="4"/>
      <c r="E1302" s="4"/>
      <c r="F1302" s="4"/>
      <c r="G1302" s="17"/>
      <c r="H1302" s="4"/>
      <c r="I1302" s="4"/>
      <c r="J1302" s="4"/>
      <c r="K1302" s="6"/>
      <c r="L1302" s="17"/>
      <c r="M1302" s="4"/>
      <c r="N1302" s="6"/>
      <c r="O1302" s="4"/>
      <c r="P1302" s="4"/>
      <c r="Q1302" s="4"/>
      <c r="R1302" s="4"/>
      <c r="S1302" s="4"/>
      <c r="T1302" s="4"/>
      <c r="U1302" s="4"/>
    </row>
    <row r="1303">
      <c r="A1303" s="4"/>
      <c r="B1303" s="17"/>
      <c r="C1303" s="4"/>
      <c r="D1303" s="4"/>
      <c r="E1303" s="4"/>
      <c r="F1303" s="4"/>
      <c r="G1303" s="17"/>
      <c r="H1303" s="4"/>
      <c r="I1303" s="4"/>
      <c r="J1303" s="4"/>
      <c r="K1303" s="6"/>
      <c r="L1303" s="17"/>
      <c r="M1303" s="4"/>
      <c r="N1303" s="6"/>
      <c r="O1303" s="4"/>
      <c r="P1303" s="4"/>
      <c r="Q1303" s="4"/>
      <c r="R1303" s="4"/>
      <c r="S1303" s="4"/>
      <c r="T1303" s="4"/>
      <c r="U1303" s="4"/>
    </row>
    <row r="1304">
      <c r="A1304" s="4"/>
      <c r="B1304" s="17"/>
      <c r="C1304" s="4"/>
      <c r="D1304" s="4"/>
      <c r="E1304" s="4"/>
      <c r="F1304" s="4"/>
      <c r="G1304" s="17"/>
      <c r="H1304" s="4"/>
      <c r="I1304" s="4"/>
      <c r="J1304" s="4"/>
      <c r="K1304" s="6"/>
      <c r="L1304" s="17"/>
      <c r="M1304" s="4"/>
      <c r="N1304" s="6"/>
      <c r="O1304" s="4"/>
      <c r="P1304" s="4"/>
      <c r="Q1304" s="4"/>
      <c r="R1304" s="4"/>
      <c r="S1304" s="4"/>
      <c r="T1304" s="4"/>
      <c r="U1304" s="4"/>
    </row>
    <row r="1305">
      <c r="A1305" s="4"/>
      <c r="B1305" s="17"/>
      <c r="C1305" s="4"/>
      <c r="D1305" s="4"/>
      <c r="E1305" s="4"/>
      <c r="F1305" s="4"/>
      <c r="G1305" s="17"/>
      <c r="H1305" s="4"/>
      <c r="I1305" s="4"/>
      <c r="J1305" s="4"/>
      <c r="K1305" s="6"/>
      <c r="L1305" s="17"/>
      <c r="M1305" s="4"/>
      <c r="N1305" s="6"/>
      <c r="O1305" s="4"/>
      <c r="P1305" s="4"/>
      <c r="Q1305" s="4"/>
      <c r="R1305" s="4"/>
      <c r="S1305" s="4"/>
      <c r="T1305" s="4"/>
      <c r="U1305" s="4"/>
    </row>
    <row r="1306">
      <c r="A1306" s="4"/>
      <c r="B1306" s="17"/>
      <c r="C1306" s="4"/>
      <c r="D1306" s="4"/>
      <c r="E1306" s="4"/>
      <c r="F1306" s="4"/>
      <c r="G1306" s="17"/>
      <c r="H1306" s="4"/>
      <c r="I1306" s="4"/>
      <c r="J1306" s="4"/>
      <c r="K1306" s="6"/>
      <c r="L1306" s="17"/>
      <c r="M1306" s="4"/>
      <c r="N1306" s="6"/>
      <c r="O1306" s="4"/>
      <c r="P1306" s="4"/>
      <c r="Q1306" s="4"/>
      <c r="R1306" s="4"/>
      <c r="S1306" s="4"/>
      <c r="T1306" s="4"/>
      <c r="U1306" s="4"/>
    </row>
    <row r="1307">
      <c r="A1307" s="4"/>
      <c r="B1307" s="17"/>
      <c r="C1307" s="4"/>
      <c r="D1307" s="4"/>
      <c r="E1307" s="4"/>
      <c r="F1307" s="4"/>
      <c r="G1307" s="17"/>
      <c r="H1307" s="4"/>
      <c r="I1307" s="4"/>
      <c r="J1307" s="4"/>
      <c r="K1307" s="6"/>
      <c r="L1307" s="17"/>
      <c r="M1307" s="4"/>
      <c r="N1307" s="6"/>
      <c r="O1307" s="4"/>
      <c r="P1307" s="4"/>
      <c r="Q1307" s="4"/>
      <c r="R1307" s="4"/>
      <c r="S1307" s="4"/>
      <c r="T1307" s="4"/>
      <c r="U1307" s="4"/>
    </row>
    <row r="1308">
      <c r="A1308" s="4"/>
      <c r="B1308" s="17"/>
      <c r="C1308" s="4"/>
      <c r="D1308" s="4"/>
      <c r="E1308" s="4"/>
      <c r="F1308" s="4"/>
      <c r="G1308" s="17"/>
      <c r="H1308" s="4"/>
      <c r="I1308" s="4"/>
      <c r="J1308" s="4"/>
      <c r="K1308" s="6"/>
      <c r="L1308" s="17"/>
      <c r="M1308" s="4"/>
      <c r="N1308" s="6"/>
      <c r="O1308" s="4"/>
      <c r="P1308" s="4"/>
      <c r="Q1308" s="4"/>
      <c r="R1308" s="4"/>
      <c r="S1308" s="4"/>
      <c r="T1308" s="4"/>
      <c r="U1308" s="4"/>
    </row>
    <row r="1309">
      <c r="A1309" s="4"/>
      <c r="B1309" s="17"/>
      <c r="C1309" s="4"/>
      <c r="D1309" s="4"/>
      <c r="E1309" s="4"/>
      <c r="F1309" s="4"/>
      <c r="G1309" s="17"/>
      <c r="H1309" s="4"/>
      <c r="I1309" s="4"/>
      <c r="J1309" s="4"/>
      <c r="K1309" s="6"/>
      <c r="L1309" s="17"/>
      <c r="M1309" s="4"/>
      <c r="N1309" s="6"/>
      <c r="O1309" s="4"/>
      <c r="P1309" s="4"/>
      <c r="Q1309" s="4"/>
      <c r="R1309" s="4"/>
      <c r="S1309" s="4"/>
      <c r="T1309" s="4"/>
      <c r="U1309" s="4"/>
    </row>
    <row r="1310">
      <c r="A1310" s="4"/>
      <c r="B1310" s="17"/>
      <c r="C1310" s="4"/>
      <c r="D1310" s="4"/>
      <c r="E1310" s="4"/>
      <c r="F1310" s="4"/>
      <c r="G1310" s="17"/>
      <c r="H1310" s="4"/>
      <c r="I1310" s="4"/>
      <c r="J1310" s="4"/>
      <c r="K1310" s="6"/>
      <c r="L1310" s="17"/>
      <c r="M1310" s="4"/>
      <c r="N1310" s="6"/>
      <c r="O1310" s="4"/>
      <c r="P1310" s="4"/>
      <c r="Q1310" s="4"/>
      <c r="R1310" s="4"/>
      <c r="S1310" s="4"/>
      <c r="T1310" s="4"/>
      <c r="U1310" s="4"/>
    </row>
    <row r="1311">
      <c r="A1311" s="4"/>
      <c r="B1311" s="17"/>
      <c r="C1311" s="4"/>
      <c r="D1311" s="4"/>
      <c r="E1311" s="4"/>
      <c r="F1311" s="4"/>
      <c r="G1311" s="17"/>
      <c r="H1311" s="4"/>
      <c r="I1311" s="4"/>
      <c r="J1311" s="4"/>
      <c r="K1311" s="6"/>
      <c r="L1311" s="17"/>
      <c r="M1311" s="4"/>
      <c r="N1311" s="6"/>
      <c r="O1311" s="4"/>
      <c r="P1311" s="4"/>
      <c r="Q1311" s="4"/>
      <c r="R1311" s="4"/>
      <c r="S1311" s="4"/>
      <c r="T1311" s="4"/>
      <c r="U1311" s="4"/>
    </row>
    <row r="1312">
      <c r="A1312" s="4"/>
      <c r="B1312" s="17"/>
      <c r="C1312" s="4"/>
      <c r="D1312" s="4"/>
      <c r="E1312" s="4"/>
      <c r="F1312" s="4"/>
      <c r="G1312" s="17"/>
      <c r="H1312" s="4"/>
      <c r="I1312" s="4"/>
      <c r="J1312" s="4"/>
      <c r="K1312" s="6"/>
      <c r="L1312" s="17"/>
      <c r="M1312" s="4"/>
      <c r="N1312" s="6"/>
      <c r="O1312" s="4"/>
      <c r="P1312" s="4"/>
      <c r="Q1312" s="4"/>
      <c r="R1312" s="4"/>
      <c r="S1312" s="4"/>
      <c r="T1312" s="4"/>
      <c r="U1312" s="4"/>
    </row>
    <row r="1313">
      <c r="A1313" s="4"/>
      <c r="B1313" s="17"/>
      <c r="C1313" s="4"/>
      <c r="D1313" s="4"/>
      <c r="E1313" s="4"/>
      <c r="F1313" s="4"/>
      <c r="G1313" s="17"/>
      <c r="H1313" s="4"/>
      <c r="I1313" s="4"/>
      <c r="J1313" s="4"/>
      <c r="K1313" s="6"/>
      <c r="L1313" s="17"/>
      <c r="M1313" s="4"/>
      <c r="N1313" s="6"/>
      <c r="O1313" s="4"/>
      <c r="P1313" s="4"/>
      <c r="Q1313" s="4"/>
      <c r="R1313" s="4"/>
      <c r="S1313" s="4"/>
      <c r="T1313" s="4"/>
      <c r="U1313" s="4"/>
    </row>
    <row r="1314">
      <c r="A1314" s="4"/>
      <c r="B1314" s="17"/>
      <c r="C1314" s="4"/>
      <c r="D1314" s="4"/>
      <c r="E1314" s="4"/>
      <c r="F1314" s="4"/>
      <c r="G1314" s="17"/>
      <c r="H1314" s="4"/>
      <c r="I1314" s="4"/>
      <c r="J1314" s="4"/>
      <c r="K1314" s="6"/>
      <c r="L1314" s="17"/>
      <c r="M1314" s="4"/>
      <c r="N1314" s="6"/>
      <c r="O1314" s="4"/>
      <c r="P1314" s="4"/>
      <c r="Q1314" s="4"/>
      <c r="R1314" s="4"/>
      <c r="S1314" s="4"/>
      <c r="T1314" s="4"/>
      <c r="U1314" s="4"/>
    </row>
    <row r="1315">
      <c r="A1315" s="4"/>
      <c r="B1315" s="17"/>
      <c r="C1315" s="4"/>
      <c r="D1315" s="4"/>
      <c r="E1315" s="4"/>
      <c r="F1315" s="4"/>
      <c r="G1315" s="17"/>
      <c r="H1315" s="4"/>
      <c r="I1315" s="4"/>
      <c r="J1315" s="4"/>
      <c r="K1315" s="6"/>
      <c r="L1315" s="17"/>
      <c r="M1315" s="4"/>
      <c r="N1315" s="6"/>
      <c r="O1315" s="4"/>
      <c r="P1315" s="4"/>
      <c r="Q1315" s="4"/>
      <c r="R1315" s="4"/>
      <c r="S1315" s="4"/>
      <c r="T1315" s="4"/>
      <c r="U1315" s="4"/>
    </row>
    <row r="1316">
      <c r="A1316" s="4"/>
      <c r="B1316" s="17"/>
      <c r="C1316" s="4"/>
      <c r="D1316" s="4"/>
      <c r="E1316" s="4"/>
      <c r="F1316" s="4"/>
      <c r="G1316" s="17"/>
      <c r="H1316" s="4"/>
      <c r="I1316" s="4"/>
      <c r="J1316" s="4"/>
      <c r="K1316" s="6"/>
      <c r="L1316" s="17"/>
      <c r="M1316" s="4"/>
      <c r="N1316" s="6"/>
      <c r="O1316" s="4"/>
      <c r="P1316" s="4"/>
      <c r="Q1316" s="4"/>
      <c r="R1316" s="4"/>
      <c r="S1316" s="4"/>
      <c r="T1316" s="4"/>
      <c r="U1316" s="4"/>
    </row>
    <row r="1317">
      <c r="A1317" s="4"/>
      <c r="B1317" s="17"/>
      <c r="C1317" s="4"/>
      <c r="D1317" s="4"/>
      <c r="E1317" s="4"/>
      <c r="F1317" s="4"/>
      <c r="G1317" s="17"/>
      <c r="H1317" s="4"/>
      <c r="I1317" s="4"/>
      <c r="J1317" s="4"/>
      <c r="K1317" s="6"/>
      <c r="L1317" s="17"/>
      <c r="M1317" s="4"/>
      <c r="N1317" s="6"/>
      <c r="O1317" s="4"/>
      <c r="P1317" s="4"/>
      <c r="Q1317" s="4"/>
      <c r="R1317" s="4"/>
      <c r="S1317" s="4"/>
      <c r="T1317" s="4"/>
      <c r="U1317" s="4"/>
    </row>
    <row r="1318">
      <c r="A1318" s="4"/>
      <c r="B1318" s="17"/>
      <c r="C1318" s="4"/>
      <c r="D1318" s="4"/>
      <c r="E1318" s="4"/>
      <c r="F1318" s="4"/>
      <c r="G1318" s="17"/>
      <c r="H1318" s="4"/>
      <c r="I1318" s="4"/>
      <c r="J1318" s="4"/>
      <c r="K1318" s="6"/>
      <c r="L1318" s="17"/>
      <c r="M1318" s="4"/>
      <c r="N1318" s="6"/>
      <c r="O1318" s="4"/>
      <c r="P1318" s="4"/>
      <c r="Q1318" s="4"/>
      <c r="R1318" s="4"/>
      <c r="S1318" s="4"/>
      <c r="T1318" s="4"/>
      <c r="U1318" s="4"/>
    </row>
    <row r="1319">
      <c r="A1319" s="4"/>
      <c r="B1319" s="17"/>
      <c r="C1319" s="4"/>
      <c r="D1319" s="4"/>
      <c r="E1319" s="4"/>
      <c r="F1319" s="4"/>
      <c r="G1319" s="17"/>
      <c r="H1319" s="4"/>
      <c r="I1319" s="4"/>
      <c r="J1319" s="4"/>
      <c r="K1319" s="6"/>
      <c r="L1319" s="17"/>
      <c r="M1319" s="4"/>
      <c r="N1319" s="6"/>
      <c r="O1319" s="4"/>
      <c r="P1319" s="4"/>
      <c r="Q1319" s="4"/>
      <c r="R1319" s="4"/>
      <c r="S1319" s="4"/>
      <c r="T1319" s="4"/>
      <c r="U1319" s="4"/>
    </row>
    <row r="1320">
      <c r="A1320" s="4"/>
      <c r="B1320" s="17"/>
      <c r="C1320" s="4"/>
      <c r="D1320" s="4"/>
      <c r="E1320" s="4"/>
      <c r="F1320" s="4"/>
      <c r="G1320" s="17"/>
      <c r="H1320" s="4"/>
      <c r="I1320" s="4"/>
      <c r="J1320" s="4"/>
      <c r="K1320" s="6"/>
      <c r="L1320" s="17"/>
      <c r="M1320" s="4"/>
      <c r="N1320" s="6"/>
      <c r="O1320" s="4"/>
      <c r="P1320" s="4"/>
      <c r="Q1320" s="4"/>
      <c r="R1320" s="4"/>
      <c r="S1320" s="4"/>
      <c r="T1320" s="4"/>
      <c r="U1320" s="4"/>
    </row>
    <row r="1321">
      <c r="A1321" s="4"/>
      <c r="B1321" s="17"/>
      <c r="C1321" s="4"/>
      <c r="D1321" s="4"/>
      <c r="E1321" s="4"/>
      <c r="F1321" s="4"/>
      <c r="G1321" s="17"/>
      <c r="H1321" s="4"/>
      <c r="I1321" s="4"/>
      <c r="J1321" s="4"/>
      <c r="K1321" s="6"/>
      <c r="L1321" s="17"/>
      <c r="M1321" s="4"/>
      <c r="N1321" s="6"/>
      <c r="O1321" s="4"/>
      <c r="P1321" s="4"/>
      <c r="Q1321" s="4"/>
      <c r="R1321" s="4"/>
      <c r="S1321" s="4"/>
      <c r="T1321" s="4"/>
      <c r="U1321" s="4"/>
    </row>
    <row r="1322">
      <c r="A1322" s="4"/>
      <c r="B1322" s="17"/>
      <c r="C1322" s="4"/>
      <c r="D1322" s="4"/>
      <c r="E1322" s="4"/>
      <c r="F1322" s="4"/>
      <c r="G1322" s="17"/>
      <c r="H1322" s="4"/>
      <c r="I1322" s="4"/>
      <c r="J1322" s="4"/>
      <c r="K1322" s="6"/>
      <c r="L1322" s="17"/>
      <c r="M1322" s="4"/>
      <c r="N1322" s="6"/>
      <c r="O1322" s="4"/>
      <c r="P1322" s="4"/>
      <c r="Q1322" s="4"/>
      <c r="R1322" s="4"/>
      <c r="S1322" s="4"/>
      <c r="T1322" s="4"/>
      <c r="U1322" s="4"/>
    </row>
    <row r="1323">
      <c r="A1323" s="4"/>
      <c r="B1323" s="17"/>
      <c r="C1323" s="4"/>
      <c r="D1323" s="4"/>
      <c r="E1323" s="4"/>
      <c r="F1323" s="4"/>
      <c r="G1323" s="17"/>
      <c r="H1323" s="4"/>
      <c r="I1323" s="4"/>
      <c r="J1323" s="4"/>
      <c r="K1323" s="6"/>
      <c r="L1323" s="17"/>
      <c r="M1323" s="4"/>
      <c r="N1323" s="6"/>
      <c r="O1323" s="4"/>
      <c r="P1323" s="4"/>
      <c r="Q1323" s="4"/>
      <c r="R1323" s="4"/>
      <c r="S1323" s="4"/>
      <c r="T1323" s="4"/>
      <c r="U1323" s="4"/>
    </row>
    <row r="1324">
      <c r="A1324" s="4"/>
      <c r="B1324" s="17"/>
      <c r="C1324" s="4"/>
      <c r="D1324" s="4"/>
      <c r="E1324" s="4"/>
      <c r="F1324" s="4"/>
      <c r="G1324" s="17"/>
      <c r="H1324" s="4"/>
      <c r="I1324" s="4"/>
      <c r="J1324" s="4"/>
      <c r="K1324" s="6"/>
      <c r="L1324" s="17"/>
      <c r="M1324" s="4"/>
      <c r="N1324" s="6"/>
      <c r="O1324" s="4"/>
      <c r="P1324" s="4"/>
      <c r="Q1324" s="4"/>
      <c r="R1324" s="4"/>
      <c r="S1324" s="4"/>
      <c r="T1324" s="4"/>
      <c r="U1324" s="4"/>
    </row>
    <row r="1325">
      <c r="A1325" s="4"/>
      <c r="B1325" s="17"/>
      <c r="C1325" s="4"/>
      <c r="D1325" s="4"/>
      <c r="E1325" s="4"/>
      <c r="F1325" s="4"/>
      <c r="G1325" s="17"/>
      <c r="H1325" s="4"/>
      <c r="I1325" s="4"/>
      <c r="J1325" s="4"/>
      <c r="K1325" s="6"/>
      <c r="L1325" s="17"/>
      <c r="M1325" s="4"/>
      <c r="N1325" s="6"/>
      <c r="O1325" s="4"/>
      <c r="P1325" s="4"/>
      <c r="Q1325" s="4"/>
      <c r="R1325" s="4"/>
      <c r="S1325" s="4"/>
      <c r="T1325" s="4"/>
      <c r="U1325" s="4"/>
    </row>
    <row r="1326">
      <c r="A1326" s="4"/>
      <c r="B1326" s="17"/>
      <c r="C1326" s="4"/>
      <c r="D1326" s="4"/>
      <c r="E1326" s="4"/>
      <c r="F1326" s="4"/>
      <c r="G1326" s="17"/>
      <c r="H1326" s="4"/>
      <c r="I1326" s="4"/>
      <c r="J1326" s="4"/>
      <c r="K1326" s="6"/>
      <c r="L1326" s="17"/>
      <c r="M1326" s="4"/>
      <c r="N1326" s="6"/>
      <c r="O1326" s="4"/>
      <c r="P1326" s="4"/>
      <c r="Q1326" s="4"/>
      <c r="R1326" s="4"/>
      <c r="S1326" s="4"/>
      <c r="T1326" s="4"/>
      <c r="U1326" s="4"/>
    </row>
    <row r="1327">
      <c r="A1327" s="4"/>
      <c r="B1327" s="17"/>
      <c r="C1327" s="4"/>
      <c r="D1327" s="4"/>
      <c r="E1327" s="4"/>
      <c r="F1327" s="4"/>
      <c r="G1327" s="17"/>
      <c r="H1327" s="4"/>
      <c r="I1327" s="4"/>
      <c r="J1327" s="4"/>
      <c r="K1327" s="6"/>
      <c r="L1327" s="17"/>
      <c r="M1327" s="4"/>
      <c r="N1327" s="6"/>
      <c r="O1327" s="4"/>
      <c r="P1327" s="4"/>
      <c r="Q1327" s="4"/>
      <c r="R1327" s="4"/>
      <c r="S1327" s="4"/>
      <c r="T1327" s="4"/>
      <c r="U1327" s="4"/>
    </row>
    <row r="1328">
      <c r="A1328" s="4"/>
      <c r="B1328" s="17"/>
      <c r="C1328" s="4"/>
      <c r="D1328" s="4"/>
      <c r="E1328" s="4"/>
      <c r="F1328" s="4"/>
      <c r="G1328" s="17"/>
      <c r="H1328" s="4"/>
      <c r="I1328" s="4"/>
      <c r="J1328" s="4"/>
      <c r="K1328" s="6"/>
      <c r="L1328" s="17"/>
      <c r="M1328" s="4"/>
      <c r="N1328" s="6"/>
      <c r="O1328" s="4"/>
      <c r="P1328" s="4"/>
      <c r="Q1328" s="4"/>
      <c r="R1328" s="4"/>
      <c r="S1328" s="4"/>
      <c r="T1328" s="4"/>
      <c r="U1328" s="4"/>
    </row>
    <row r="1329">
      <c r="A1329" s="4"/>
      <c r="B1329" s="17"/>
      <c r="C1329" s="4"/>
      <c r="D1329" s="4"/>
      <c r="E1329" s="4"/>
      <c r="F1329" s="4"/>
      <c r="G1329" s="17"/>
      <c r="H1329" s="4"/>
      <c r="I1329" s="4"/>
      <c r="J1329" s="4"/>
      <c r="K1329" s="6"/>
      <c r="L1329" s="17"/>
      <c r="M1329" s="4"/>
      <c r="N1329" s="6"/>
      <c r="O1329" s="4"/>
      <c r="P1329" s="4"/>
      <c r="Q1329" s="4"/>
      <c r="R1329" s="4"/>
      <c r="S1329" s="4"/>
      <c r="T1329" s="4"/>
      <c r="U1329" s="4"/>
    </row>
    <row r="1330">
      <c r="A1330" s="4"/>
      <c r="B1330" s="17"/>
      <c r="C1330" s="4"/>
      <c r="D1330" s="4"/>
      <c r="E1330" s="4"/>
      <c r="F1330" s="4"/>
      <c r="G1330" s="17"/>
      <c r="H1330" s="4"/>
      <c r="I1330" s="4"/>
      <c r="J1330" s="4"/>
      <c r="K1330" s="6"/>
      <c r="L1330" s="17"/>
      <c r="M1330" s="4"/>
      <c r="N1330" s="6"/>
      <c r="O1330" s="4"/>
      <c r="P1330" s="4"/>
      <c r="Q1330" s="4"/>
      <c r="R1330" s="4"/>
      <c r="S1330" s="4"/>
      <c r="T1330" s="4"/>
      <c r="U1330" s="4"/>
    </row>
    <row r="1331">
      <c r="A1331" s="4"/>
      <c r="B1331" s="17"/>
      <c r="C1331" s="4"/>
      <c r="D1331" s="4"/>
      <c r="E1331" s="4"/>
      <c r="F1331" s="4"/>
      <c r="G1331" s="17"/>
      <c r="H1331" s="4"/>
      <c r="I1331" s="4"/>
      <c r="J1331" s="4"/>
      <c r="K1331" s="6"/>
      <c r="L1331" s="17"/>
      <c r="M1331" s="4"/>
      <c r="N1331" s="6"/>
      <c r="O1331" s="4"/>
      <c r="P1331" s="4"/>
      <c r="Q1331" s="4"/>
      <c r="R1331" s="4"/>
      <c r="S1331" s="4"/>
      <c r="T1331" s="4"/>
      <c r="U1331" s="4"/>
    </row>
    <row r="1332">
      <c r="A1332" s="4"/>
      <c r="B1332" s="17"/>
      <c r="C1332" s="4"/>
      <c r="D1332" s="4"/>
      <c r="E1332" s="4"/>
      <c r="F1332" s="4"/>
      <c r="G1332" s="17"/>
      <c r="H1332" s="4"/>
      <c r="I1332" s="4"/>
      <c r="J1332" s="4"/>
      <c r="K1332" s="6"/>
      <c r="L1332" s="17"/>
      <c r="M1332" s="4"/>
      <c r="N1332" s="6"/>
      <c r="O1332" s="4"/>
      <c r="P1332" s="4"/>
      <c r="Q1332" s="4"/>
      <c r="R1332" s="4"/>
      <c r="S1332" s="4"/>
      <c r="T1332" s="4"/>
      <c r="U1332" s="4"/>
    </row>
    <row r="1333">
      <c r="A1333" s="4"/>
      <c r="B1333" s="17"/>
      <c r="C1333" s="4"/>
      <c r="D1333" s="4"/>
      <c r="E1333" s="4"/>
      <c r="F1333" s="4"/>
      <c r="G1333" s="17"/>
      <c r="H1333" s="4"/>
      <c r="I1333" s="4"/>
      <c r="J1333" s="4"/>
      <c r="K1333" s="6"/>
      <c r="L1333" s="17"/>
      <c r="M1333" s="4"/>
      <c r="N1333" s="6"/>
      <c r="O1333" s="4"/>
      <c r="P1333" s="4"/>
      <c r="Q1333" s="4"/>
      <c r="R1333" s="4"/>
      <c r="S1333" s="4"/>
      <c r="T1333" s="4"/>
      <c r="U1333" s="4"/>
    </row>
    <row r="1334">
      <c r="A1334" s="4"/>
      <c r="B1334" s="17"/>
      <c r="C1334" s="4"/>
      <c r="D1334" s="4"/>
      <c r="E1334" s="4"/>
      <c r="F1334" s="4"/>
      <c r="G1334" s="17"/>
      <c r="H1334" s="4"/>
      <c r="I1334" s="4"/>
      <c r="J1334" s="4"/>
      <c r="K1334" s="6"/>
      <c r="L1334" s="17"/>
      <c r="M1334" s="4"/>
      <c r="N1334" s="6"/>
      <c r="O1334" s="4"/>
      <c r="P1334" s="4"/>
      <c r="Q1334" s="4"/>
      <c r="R1334" s="4"/>
      <c r="S1334" s="4"/>
      <c r="T1334" s="4"/>
      <c r="U1334" s="4"/>
    </row>
    <row r="1335">
      <c r="A1335" s="4"/>
      <c r="B1335" s="17"/>
      <c r="C1335" s="4"/>
      <c r="D1335" s="4"/>
      <c r="E1335" s="4"/>
      <c r="F1335" s="4"/>
      <c r="G1335" s="17"/>
      <c r="H1335" s="4"/>
      <c r="I1335" s="4"/>
      <c r="J1335" s="4"/>
      <c r="K1335" s="6"/>
      <c r="L1335" s="17"/>
      <c r="M1335" s="4"/>
      <c r="N1335" s="6"/>
      <c r="O1335" s="4"/>
      <c r="P1335" s="4"/>
      <c r="Q1335" s="4"/>
      <c r="R1335" s="4"/>
      <c r="S1335" s="4"/>
      <c r="T1335" s="4"/>
      <c r="U1335" s="4"/>
    </row>
    <row r="1336">
      <c r="A1336" s="4"/>
      <c r="B1336" s="17"/>
      <c r="C1336" s="4"/>
      <c r="D1336" s="4"/>
      <c r="E1336" s="4"/>
      <c r="F1336" s="4"/>
      <c r="G1336" s="17"/>
      <c r="H1336" s="4"/>
      <c r="I1336" s="4"/>
      <c r="J1336" s="4"/>
      <c r="K1336" s="6"/>
      <c r="L1336" s="17"/>
      <c r="M1336" s="4"/>
      <c r="N1336" s="6"/>
      <c r="O1336" s="4"/>
      <c r="P1336" s="4"/>
      <c r="Q1336" s="4"/>
      <c r="R1336" s="4"/>
      <c r="S1336" s="4"/>
      <c r="T1336" s="4"/>
      <c r="U1336" s="4"/>
    </row>
    <row r="1337">
      <c r="A1337" s="4"/>
      <c r="B1337" s="17"/>
      <c r="C1337" s="4"/>
      <c r="D1337" s="4"/>
      <c r="E1337" s="4"/>
      <c r="F1337" s="4"/>
      <c r="G1337" s="17"/>
      <c r="H1337" s="4"/>
      <c r="I1337" s="4"/>
      <c r="J1337" s="4"/>
      <c r="K1337" s="6"/>
      <c r="L1337" s="17"/>
      <c r="M1337" s="4"/>
      <c r="N1337" s="6"/>
      <c r="O1337" s="4"/>
      <c r="P1337" s="4"/>
      <c r="Q1337" s="4"/>
      <c r="R1337" s="4"/>
      <c r="S1337" s="4"/>
      <c r="T1337" s="4"/>
      <c r="U1337" s="4"/>
    </row>
    <row r="1338">
      <c r="A1338" s="4"/>
      <c r="B1338" s="17"/>
      <c r="C1338" s="4"/>
      <c r="D1338" s="4"/>
      <c r="E1338" s="4"/>
      <c r="F1338" s="4"/>
      <c r="G1338" s="17"/>
      <c r="H1338" s="4"/>
      <c r="I1338" s="4"/>
      <c r="J1338" s="4"/>
      <c r="K1338" s="6"/>
      <c r="L1338" s="17"/>
      <c r="M1338" s="4"/>
      <c r="N1338" s="6"/>
      <c r="O1338" s="4"/>
      <c r="P1338" s="4"/>
      <c r="Q1338" s="4"/>
      <c r="R1338" s="4"/>
      <c r="S1338" s="4"/>
      <c r="T1338" s="4"/>
      <c r="U1338" s="4"/>
    </row>
    <row r="1339">
      <c r="A1339" s="4"/>
      <c r="B1339" s="17"/>
      <c r="C1339" s="4"/>
      <c r="D1339" s="4"/>
      <c r="E1339" s="4"/>
      <c r="F1339" s="4"/>
      <c r="G1339" s="17"/>
      <c r="H1339" s="4"/>
      <c r="I1339" s="4"/>
      <c r="J1339" s="4"/>
      <c r="K1339" s="6"/>
      <c r="L1339" s="17"/>
      <c r="M1339" s="4"/>
      <c r="N1339" s="6"/>
      <c r="O1339" s="4"/>
      <c r="P1339" s="4"/>
      <c r="Q1339" s="4"/>
      <c r="R1339" s="4"/>
      <c r="S1339" s="4"/>
      <c r="T1339" s="4"/>
      <c r="U1339" s="4"/>
    </row>
    <row r="1340">
      <c r="A1340" s="4"/>
      <c r="B1340" s="17"/>
      <c r="C1340" s="4"/>
      <c r="D1340" s="4"/>
      <c r="E1340" s="4"/>
      <c r="F1340" s="4"/>
      <c r="G1340" s="17"/>
      <c r="H1340" s="4"/>
      <c r="I1340" s="4"/>
      <c r="J1340" s="4"/>
      <c r="K1340" s="6"/>
      <c r="L1340" s="17"/>
      <c r="M1340" s="4"/>
      <c r="N1340" s="6"/>
      <c r="O1340" s="4"/>
      <c r="P1340" s="4"/>
      <c r="Q1340" s="4"/>
      <c r="R1340" s="4"/>
      <c r="S1340" s="4"/>
      <c r="T1340" s="4"/>
      <c r="U1340" s="4"/>
    </row>
    <row r="1341">
      <c r="A1341" s="4"/>
      <c r="B1341" s="17"/>
      <c r="C1341" s="4"/>
      <c r="D1341" s="4"/>
      <c r="E1341" s="4"/>
      <c r="F1341" s="4"/>
      <c r="G1341" s="17"/>
      <c r="H1341" s="4"/>
      <c r="I1341" s="4"/>
      <c r="J1341" s="4"/>
      <c r="K1341" s="6"/>
      <c r="L1341" s="17"/>
      <c r="M1341" s="4"/>
      <c r="N1341" s="6"/>
      <c r="O1341" s="4"/>
      <c r="P1341" s="4"/>
      <c r="Q1341" s="4"/>
      <c r="R1341" s="4"/>
      <c r="S1341" s="4"/>
      <c r="T1341" s="4"/>
      <c r="U1341" s="4"/>
    </row>
    <row r="1342">
      <c r="A1342" s="4"/>
      <c r="B1342" s="17"/>
      <c r="C1342" s="4"/>
      <c r="D1342" s="4"/>
      <c r="E1342" s="4"/>
      <c r="F1342" s="4"/>
      <c r="G1342" s="17"/>
      <c r="H1342" s="4"/>
      <c r="I1342" s="4"/>
      <c r="J1342" s="4"/>
      <c r="K1342" s="6"/>
      <c r="L1342" s="17"/>
      <c r="M1342" s="4"/>
      <c r="N1342" s="6"/>
      <c r="O1342" s="4"/>
      <c r="P1342" s="4"/>
      <c r="Q1342" s="4"/>
      <c r="R1342" s="4"/>
      <c r="S1342" s="4"/>
      <c r="T1342" s="4"/>
      <c r="U1342" s="4"/>
    </row>
    <row r="1343">
      <c r="A1343" s="4"/>
      <c r="B1343" s="17"/>
      <c r="C1343" s="4"/>
      <c r="D1343" s="4"/>
      <c r="E1343" s="4"/>
      <c r="F1343" s="4"/>
      <c r="G1343" s="17"/>
      <c r="H1343" s="4"/>
      <c r="I1343" s="4"/>
      <c r="J1343" s="4"/>
      <c r="K1343" s="6"/>
      <c r="L1343" s="17"/>
      <c r="M1343" s="4"/>
      <c r="N1343" s="6"/>
      <c r="O1343" s="4"/>
      <c r="P1343" s="4"/>
      <c r="Q1343" s="4"/>
      <c r="R1343" s="4"/>
      <c r="S1343" s="4"/>
      <c r="T1343" s="4"/>
      <c r="U1343" s="4"/>
    </row>
    <row r="1344">
      <c r="A1344" s="4"/>
      <c r="B1344" s="17"/>
      <c r="C1344" s="4"/>
      <c r="D1344" s="4"/>
      <c r="E1344" s="4"/>
      <c r="F1344" s="4"/>
      <c r="G1344" s="17"/>
      <c r="H1344" s="4"/>
      <c r="I1344" s="4"/>
      <c r="J1344" s="4"/>
      <c r="K1344" s="6"/>
      <c r="L1344" s="17"/>
      <c r="M1344" s="4"/>
      <c r="N1344" s="6"/>
      <c r="O1344" s="4"/>
      <c r="P1344" s="4"/>
      <c r="Q1344" s="4"/>
      <c r="R1344" s="4"/>
      <c r="S1344" s="4"/>
      <c r="T1344" s="4"/>
      <c r="U1344" s="4"/>
    </row>
    <row r="1345">
      <c r="A1345" s="4"/>
      <c r="B1345" s="17"/>
      <c r="C1345" s="4"/>
      <c r="D1345" s="4"/>
      <c r="E1345" s="4"/>
      <c r="F1345" s="4"/>
      <c r="G1345" s="17"/>
      <c r="H1345" s="4"/>
      <c r="I1345" s="4"/>
      <c r="J1345" s="4"/>
      <c r="K1345" s="6"/>
      <c r="L1345" s="17"/>
      <c r="M1345" s="4"/>
      <c r="N1345" s="6"/>
      <c r="O1345" s="4"/>
      <c r="P1345" s="4"/>
      <c r="Q1345" s="4"/>
      <c r="R1345" s="4"/>
      <c r="S1345" s="4"/>
      <c r="T1345" s="4"/>
      <c r="U1345" s="4"/>
    </row>
    <row r="1346">
      <c r="A1346" s="4"/>
      <c r="B1346" s="17"/>
      <c r="C1346" s="4"/>
      <c r="D1346" s="4"/>
      <c r="E1346" s="4"/>
      <c r="F1346" s="4"/>
      <c r="G1346" s="17"/>
      <c r="H1346" s="4"/>
      <c r="I1346" s="4"/>
      <c r="J1346" s="4"/>
      <c r="K1346" s="6"/>
      <c r="L1346" s="17"/>
      <c r="M1346" s="4"/>
      <c r="N1346" s="6"/>
      <c r="O1346" s="4"/>
      <c r="P1346" s="4"/>
      <c r="Q1346" s="4"/>
      <c r="R1346" s="4"/>
      <c r="S1346" s="4"/>
      <c r="T1346" s="4"/>
      <c r="U1346" s="4"/>
    </row>
    <row r="1347">
      <c r="A1347" s="4"/>
      <c r="B1347" s="17"/>
      <c r="C1347" s="4"/>
      <c r="D1347" s="4"/>
      <c r="E1347" s="4"/>
      <c r="F1347" s="4"/>
      <c r="G1347" s="17"/>
      <c r="H1347" s="4"/>
      <c r="I1347" s="4"/>
      <c r="J1347" s="4"/>
      <c r="K1347" s="6"/>
      <c r="L1347" s="17"/>
      <c r="M1347" s="4"/>
      <c r="N1347" s="6"/>
      <c r="O1347" s="4"/>
      <c r="P1347" s="4"/>
      <c r="Q1347" s="4"/>
      <c r="R1347" s="4"/>
      <c r="S1347" s="4"/>
      <c r="T1347" s="4"/>
      <c r="U1347" s="4"/>
    </row>
    <row r="1348">
      <c r="A1348" s="4"/>
      <c r="B1348" s="17"/>
      <c r="C1348" s="4"/>
      <c r="D1348" s="4"/>
      <c r="E1348" s="4"/>
      <c r="F1348" s="4"/>
      <c r="G1348" s="17"/>
      <c r="H1348" s="4"/>
      <c r="I1348" s="4"/>
      <c r="J1348" s="4"/>
      <c r="K1348" s="6"/>
      <c r="L1348" s="17"/>
      <c r="M1348" s="4"/>
      <c r="N1348" s="6"/>
      <c r="O1348" s="4"/>
      <c r="P1348" s="4"/>
      <c r="Q1348" s="4"/>
      <c r="R1348" s="4"/>
      <c r="S1348" s="4"/>
      <c r="T1348" s="4"/>
      <c r="U1348" s="4"/>
    </row>
    <row r="1349">
      <c r="A1349" s="4"/>
      <c r="B1349" s="17"/>
      <c r="C1349" s="4"/>
      <c r="D1349" s="4"/>
      <c r="E1349" s="4"/>
      <c r="F1349" s="4"/>
      <c r="G1349" s="17"/>
      <c r="H1349" s="4"/>
      <c r="I1349" s="4"/>
      <c r="J1349" s="4"/>
      <c r="K1349" s="6"/>
      <c r="L1349" s="17"/>
      <c r="M1349" s="4"/>
      <c r="N1349" s="6"/>
      <c r="O1349" s="4"/>
      <c r="P1349" s="4"/>
      <c r="Q1349" s="4"/>
      <c r="R1349" s="4"/>
      <c r="S1349" s="4"/>
      <c r="T1349" s="4"/>
      <c r="U1349" s="4"/>
    </row>
    <row r="1350">
      <c r="A1350" s="4"/>
      <c r="B1350" s="17"/>
      <c r="C1350" s="4"/>
      <c r="D1350" s="4"/>
      <c r="E1350" s="4"/>
      <c r="F1350" s="4"/>
      <c r="G1350" s="17"/>
      <c r="H1350" s="4"/>
      <c r="I1350" s="4"/>
      <c r="J1350" s="4"/>
      <c r="K1350" s="6"/>
      <c r="L1350" s="17"/>
      <c r="M1350" s="4"/>
      <c r="N1350" s="6"/>
      <c r="O1350" s="4"/>
      <c r="P1350" s="4"/>
      <c r="Q1350" s="4"/>
      <c r="R1350" s="4"/>
      <c r="S1350" s="4"/>
      <c r="T1350" s="4"/>
      <c r="U1350" s="4"/>
    </row>
    <row r="1351">
      <c r="A1351" s="4"/>
      <c r="B1351" s="17"/>
      <c r="C1351" s="4"/>
      <c r="D1351" s="4"/>
      <c r="E1351" s="4"/>
      <c r="F1351" s="4"/>
      <c r="G1351" s="17"/>
      <c r="H1351" s="4"/>
      <c r="I1351" s="4"/>
      <c r="J1351" s="4"/>
      <c r="K1351" s="6"/>
      <c r="L1351" s="17"/>
      <c r="M1351" s="4"/>
      <c r="N1351" s="6"/>
      <c r="O1351" s="4"/>
      <c r="P1351" s="4"/>
      <c r="Q1351" s="4"/>
      <c r="R1351" s="4"/>
      <c r="S1351" s="4"/>
      <c r="T1351" s="4"/>
      <c r="U1351" s="4"/>
    </row>
    <row r="1352">
      <c r="A1352" s="4"/>
      <c r="B1352" s="17"/>
      <c r="C1352" s="4"/>
      <c r="D1352" s="4"/>
      <c r="E1352" s="4"/>
      <c r="F1352" s="4"/>
      <c r="G1352" s="17"/>
      <c r="H1352" s="4"/>
      <c r="I1352" s="4"/>
      <c r="J1352" s="4"/>
      <c r="K1352" s="6"/>
      <c r="L1352" s="17"/>
      <c r="M1352" s="4"/>
      <c r="N1352" s="6"/>
      <c r="O1352" s="4"/>
      <c r="P1352" s="4"/>
      <c r="Q1352" s="4"/>
      <c r="R1352" s="4"/>
      <c r="S1352" s="4"/>
      <c r="T1352" s="4"/>
      <c r="U1352" s="4"/>
    </row>
    <row r="1353">
      <c r="A1353" s="4"/>
      <c r="B1353" s="17"/>
      <c r="C1353" s="4"/>
      <c r="D1353" s="4"/>
      <c r="E1353" s="4"/>
      <c r="F1353" s="4"/>
      <c r="G1353" s="17"/>
      <c r="H1353" s="4"/>
      <c r="I1353" s="4"/>
      <c r="J1353" s="4"/>
      <c r="K1353" s="6"/>
      <c r="L1353" s="17"/>
      <c r="M1353" s="4"/>
      <c r="N1353" s="6"/>
      <c r="O1353" s="4"/>
      <c r="P1353" s="4"/>
      <c r="Q1353" s="4"/>
      <c r="R1353" s="4"/>
      <c r="S1353" s="4"/>
      <c r="T1353" s="4"/>
      <c r="U1353" s="4"/>
    </row>
    <row r="1354">
      <c r="A1354" s="4"/>
      <c r="B1354" s="17"/>
      <c r="C1354" s="4"/>
      <c r="D1354" s="4"/>
      <c r="E1354" s="4"/>
      <c r="F1354" s="4"/>
      <c r="G1354" s="17"/>
      <c r="H1354" s="4"/>
      <c r="I1354" s="4"/>
      <c r="J1354" s="4"/>
      <c r="K1354" s="6"/>
      <c r="L1354" s="17"/>
      <c r="M1354" s="4"/>
      <c r="N1354" s="6"/>
      <c r="O1354" s="4"/>
      <c r="P1354" s="4"/>
      <c r="Q1354" s="4"/>
      <c r="R1354" s="4"/>
      <c r="S1354" s="4"/>
      <c r="T1354" s="4"/>
      <c r="U1354" s="4"/>
    </row>
    <row r="1355">
      <c r="A1355" s="4"/>
      <c r="B1355" s="17"/>
      <c r="C1355" s="4"/>
      <c r="D1355" s="4"/>
      <c r="E1355" s="4"/>
      <c r="F1355" s="4"/>
      <c r="G1355" s="17"/>
      <c r="H1355" s="4"/>
      <c r="I1355" s="4"/>
      <c r="J1355" s="4"/>
      <c r="K1355" s="6"/>
      <c r="L1355" s="17"/>
      <c r="M1355" s="4"/>
      <c r="N1355" s="6"/>
      <c r="O1355" s="4"/>
      <c r="P1355" s="4"/>
      <c r="Q1355" s="4"/>
      <c r="R1355" s="4"/>
      <c r="S1355" s="4"/>
      <c r="T1355" s="4"/>
      <c r="U1355" s="4"/>
    </row>
    <row r="1356">
      <c r="A1356" s="4"/>
      <c r="B1356" s="17"/>
      <c r="C1356" s="4"/>
      <c r="D1356" s="4"/>
      <c r="E1356" s="4"/>
      <c r="F1356" s="4"/>
      <c r="G1356" s="17"/>
      <c r="H1356" s="4"/>
      <c r="I1356" s="4"/>
      <c r="J1356" s="4"/>
      <c r="K1356" s="6"/>
      <c r="L1356" s="17"/>
      <c r="M1356" s="4"/>
      <c r="N1356" s="6"/>
      <c r="O1356" s="4"/>
      <c r="P1356" s="4"/>
      <c r="Q1356" s="4"/>
      <c r="R1356" s="4"/>
      <c r="S1356" s="4"/>
      <c r="T1356" s="4"/>
      <c r="U1356" s="4"/>
    </row>
    <row r="1357">
      <c r="A1357" s="4"/>
      <c r="B1357" s="17"/>
      <c r="C1357" s="4"/>
      <c r="D1357" s="4"/>
      <c r="E1357" s="4"/>
      <c r="F1357" s="4"/>
      <c r="G1357" s="17"/>
      <c r="H1357" s="4"/>
      <c r="I1357" s="4"/>
      <c r="J1357" s="4"/>
      <c r="K1357" s="6"/>
      <c r="L1357" s="17"/>
      <c r="M1357" s="4"/>
      <c r="N1357" s="6"/>
      <c r="O1357" s="4"/>
      <c r="P1357" s="4"/>
      <c r="Q1357" s="4"/>
      <c r="R1357" s="4"/>
      <c r="S1357" s="4"/>
      <c r="T1357" s="4"/>
      <c r="U1357" s="4"/>
    </row>
    <row r="1358">
      <c r="A1358" s="4"/>
      <c r="B1358" s="17"/>
      <c r="C1358" s="4"/>
      <c r="D1358" s="4"/>
      <c r="E1358" s="4"/>
      <c r="F1358" s="4"/>
      <c r="G1358" s="17"/>
      <c r="H1358" s="4"/>
      <c r="I1358" s="4"/>
      <c r="J1358" s="4"/>
      <c r="K1358" s="6"/>
      <c r="L1358" s="17"/>
      <c r="M1358" s="4"/>
      <c r="N1358" s="6"/>
      <c r="O1358" s="4"/>
      <c r="P1358" s="4"/>
      <c r="Q1358" s="4"/>
      <c r="R1358" s="4"/>
      <c r="S1358" s="4"/>
      <c r="T1358" s="4"/>
      <c r="U1358" s="4"/>
    </row>
    <row r="1359">
      <c r="A1359" s="4"/>
      <c r="B1359" s="17"/>
      <c r="C1359" s="4"/>
      <c r="D1359" s="4"/>
      <c r="E1359" s="4"/>
      <c r="F1359" s="4"/>
      <c r="G1359" s="17"/>
      <c r="H1359" s="4"/>
      <c r="I1359" s="4"/>
      <c r="J1359" s="4"/>
      <c r="K1359" s="6"/>
      <c r="L1359" s="17"/>
      <c r="M1359" s="4"/>
      <c r="N1359" s="6"/>
      <c r="O1359" s="4"/>
      <c r="P1359" s="4"/>
      <c r="Q1359" s="4"/>
      <c r="R1359" s="4"/>
      <c r="S1359" s="4"/>
      <c r="T1359" s="4"/>
      <c r="U1359" s="4"/>
    </row>
    <row r="1360">
      <c r="A1360" s="4"/>
      <c r="B1360" s="17"/>
      <c r="C1360" s="4"/>
      <c r="D1360" s="4"/>
      <c r="E1360" s="4"/>
      <c r="F1360" s="4"/>
      <c r="G1360" s="17"/>
      <c r="H1360" s="4"/>
      <c r="I1360" s="4"/>
      <c r="J1360" s="4"/>
      <c r="K1360" s="6"/>
      <c r="L1360" s="17"/>
      <c r="M1360" s="4"/>
      <c r="N1360" s="6"/>
      <c r="O1360" s="4"/>
      <c r="P1360" s="4"/>
      <c r="Q1360" s="4"/>
      <c r="R1360" s="4"/>
      <c r="S1360" s="4"/>
      <c r="T1360" s="4"/>
      <c r="U1360" s="4"/>
    </row>
    <row r="1361">
      <c r="A1361" s="4"/>
      <c r="B1361" s="17"/>
      <c r="C1361" s="4"/>
      <c r="D1361" s="4"/>
      <c r="E1361" s="4"/>
      <c r="F1361" s="4"/>
      <c r="G1361" s="17"/>
      <c r="H1361" s="4"/>
      <c r="I1361" s="4"/>
      <c r="J1361" s="4"/>
      <c r="K1361" s="6"/>
      <c r="L1361" s="17"/>
      <c r="M1361" s="4"/>
      <c r="N1361" s="6"/>
      <c r="O1361" s="4"/>
      <c r="P1361" s="4"/>
      <c r="Q1361" s="4"/>
      <c r="R1361" s="4"/>
      <c r="S1361" s="4"/>
      <c r="T1361" s="4"/>
      <c r="U1361" s="4"/>
    </row>
    <row r="1362">
      <c r="A1362" s="4"/>
      <c r="B1362" s="17"/>
      <c r="C1362" s="4"/>
      <c r="D1362" s="4"/>
      <c r="E1362" s="4"/>
      <c r="F1362" s="4"/>
      <c r="G1362" s="17"/>
      <c r="H1362" s="4"/>
      <c r="I1362" s="4"/>
      <c r="J1362" s="4"/>
      <c r="K1362" s="6"/>
      <c r="L1362" s="17"/>
      <c r="M1362" s="4"/>
      <c r="N1362" s="6"/>
      <c r="O1362" s="4"/>
      <c r="P1362" s="4"/>
      <c r="Q1362" s="4"/>
      <c r="R1362" s="4"/>
      <c r="S1362" s="4"/>
      <c r="T1362" s="4"/>
      <c r="U1362" s="4"/>
    </row>
    <row r="1363">
      <c r="A1363" s="4"/>
      <c r="B1363" s="17"/>
      <c r="C1363" s="4"/>
      <c r="D1363" s="4"/>
      <c r="E1363" s="4"/>
      <c r="F1363" s="4"/>
      <c r="G1363" s="17"/>
      <c r="H1363" s="4"/>
      <c r="I1363" s="4"/>
      <c r="J1363" s="4"/>
      <c r="K1363" s="6"/>
      <c r="L1363" s="17"/>
      <c r="M1363" s="4"/>
      <c r="N1363" s="6"/>
      <c r="O1363" s="4"/>
      <c r="P1363" s="4"/>
      <c r="Q1363" s="4"/>
      <c r="R1363" s="4"/>
      <c r="S1363" s="4"/>
      <c r="T1363" s="4"/>
      <c r="U1363" s="4"/>
    </row>
    <row r="1364">
      <c r="A1364" s="4"/>
      <c r="B1364" s="17"/>
      <c r="C1364" s="4"/>
      <c r="D1364" s="4"/>
      <c r="E1364" s="4"/>
      <c r="F1364" s="4"/>
      <c r="G1364" s="17"/>
      <c r="H1364" s="4"/>
      <c r="I1364" s="4"/>
      <c r="J1364" s="4"/>
      <c r="K1364" s="6"/>
      <c r="L1364" s="17"/>
      <c r="M1364" s="4"/>
      <c r="N1364" s="6"/>
      <c r="O1364" s="4"/>
      <c r="P1364" s="4"/>
      <c r="Q1364" s="4"/>
      <c r="R1364" s="4"/>
      <c r="S1364" s="4"/>
      <c r="T1364" s="4"/>
      <c r="U1364" s="4"/>
    </row>
    <row r="1365">
      <c r="A1365" s="4"/>
      <c r="B1365" s="17"/>
      <c r="C1365" s="4"/>
      <c r="D1365" s="4"/>
      <c r="E1365" s="4"/>
      <c r="F1365" s="4"/>
      <c r="G1365" s="17"/>
      <c r="H1365" s="4"/>
      <c r="I1365" s="4"/>
      <c r="J1365" s="4"/>
      <c r="K1365" s="6"/>
      <c r="L1365" s="17"/>
      <c r="M1365" s="4"/>
      <c r="N1365" s="6"/>
      <c r="O1365" s="4"/>
      <c r="P1365" s="4"/>
      <c r="Q1365" s="4"/>
      <c r="R1365" s="4"/>
      <c r="S1365" s="4"/>
      <c r="T1365" s="4"/>
      <c r="U1365" s="4"/>
    </row>
    <row r="1366">
      <c r="A1366" s="4"/>
      <c r="B1366" s="17"/>
      <c r="C1366" s="4"/>
      <c r="D1366" s="4"/>
      <c r="E1366" s="4"/>
      <c r="F1366" s="4"/>
      <c r="G1366" s="17"/>
      <c r="H1366" s="4"/>
      <c r="I1366" s="4"/>
      <c r="J1366" s="4"/>
      <c r="K1366" s="6"/>
      <c r="L1366" s="17"/>
      <c r="M1366" s="4"/>
      <c r="N1366" s="6"/>
      <c r="O1366" s="4"/>
      <c r="P1366" s="4"/>
      <c r="Q1366" s="4"/>
      <c r="R1366" s="4"/>
      <c r="S1366" s="4"/>
      <c r="T1366" s="4"/>
      <c r="U1366" s="4"/>
    </row>
    <row r="1367">
      <c r="A1367" s="4"/>
      <c r="B1367" s="17"/>
      <c r="C1367" s="4"/>
      <c r="D1367" s="4"/>
      <c r="E1367" s="4"/>
      <c r="F1367" s="4"/>
      <c r="G1367" s="17"/>
      <c r="H1367" s="4"/>
      <c r="I1367" s="4"/>
      <c r="J1367" s="4"/>
      <c r="K1367" s="6"/>
      <c r="L1367" s="17"/>
      <c r="M1367" s="4"/>
      <c r="N1367" s="6"/>
      <c r="O1367" s="4"/>
      <c r="P1367" s="4"/>
      <c r="Q1367" s="4"/>
      <c r="R1367" s="4"/>
      <c r="S1367" s="4"/>
      <c r="T1367" s="4"/>
      <c r="U1367" s="4"/>
    </row>
    <row r="1368">
      <c r="A1368" s="4"/>
      <c r="B1368" s="17"/>
      <c r="C1368" s="4"/>
      <c r="D1368" s="4"/>
      <c r="E1368" s="4"/>
      <c r="F1368" s="4"/>
      <c r="G1368" s="17"/>
      <c r="H1368" s="4"/>
      <c r="I1368" s="4"/>
      <c r="J1368" s="4"/>
      <c r="K1368" s="6"/>
      <c r="L1368" s="17"/>
      <c r="M1368" s="4"/>
      <c r="N1368" s="6"/>
      <c r="O1368" s="4"/>
      <c r="P1368" s="4"/>
      <c r="Q1368" s="4"/>
      <c r="R1368" s="4"/>
      <c r="S1368" s="4"/>
      <c r="T1368" s="4"/>
      <c r="U1368" s="4"/>
    </row>
    <row r="1369">
      <c r="A1369" s="4"/>
      <c r="B1369" s="17"/>
      <c r="C1369" s="4"/>
      <c r="D1369" s="4"/>
      <c r="E1369" s="4"/>
      <c r="F1369" s="4"/>
      <c r="G1369" s="17"/>
      <c r="H1369" s="4"/>
      <c r="I1369" s="4"/>
      <c r="J1369" s="4"/>
      <c r="K1369" s="6"/>
      <c r="L1369" s="17"/>
      <c r="M1369" s="4"/>
      <c r="N1369" s="6"/>
      <c r="O1369" s="4"/>
      <c r="P1369" s="4"/>
      <c r="Q1369" s="4"/>
      <c r="R1369" s="4"/>
      <c r="S1369" s="4"/>
      <c r="T1369" s="4"/>
      <c r="U1369" s="4"/>
    </row>
    <row r="1370">
      <c r="A1370" s="4"/>
      <c r="B1370" s="17"/>
      <c r="C1370" s="4"/>
      <c r="D1370" s="4"/>
      <c r="E1370" s="4"/>
      <c r="F1370" s="4"/>
      <c r="G1370" s="17"/>
      <c r="H1370" s="4"/>
      <c r="I1370" s="4"/>
      <c r="J1370" s="4"/>
      <c r="K1370" s="6"/>
      <c r="L1370" s="17"/>
      <c r="M1370" s="4"/>
      <c r="N1370" s="6"/>
      <c r="O1370" s="4"/>
      <c r="P1370" s="4"/>
      <c r="Q1370" s="4"/>
      <c r="R1370" s="4"/>
      <c r="S1370" s="4"/>
      <c r="T1370" s="4"/>
      <c r="U1370" s="4"/>
    </row>
    <row r="1371">
      <c r="A1371" s="4"/>
      <c r="B1371" s="17"/>
      <c r="C1371" s="4"/>
      <c r="D1371" s="4"/>
      <c r="E1371" s="4"/>
      <c r="F1371" s="4"/>
      <c r="G1371" s="17"/>
      <c r="H1371" s="4"/>
      <c r="I1371" s="4"/>
      <c r="J1371" s="4"/>
      <c r="K1371" s="6"/>
      <c r="L1371" s="17"/>
      <c r="M1371" s="4"/>
      <c r="N1371" s="6"/>
      <c r="O1371" s="4"/>
      <c r="P1371" s="4"/>
      <c r="Q1371" s="4"/>
      <c r="R1371" s="4"/>
      <c r="S1371" s="4"/>
      <c r="T1371" s="4"/>
      <c r="U1371" s="4"/>
    </row>
    <row r="1372">
      <c r="A1372" s="4"/>
      <c r="B1372" s="17"/>
      <c r="C1372" s="4"/>
      <c r="D1372" s="4"/>
      <c r="E1372" s="4"/>
      <c r="F1372" s="4"/>
      <c r="G1372" s="17"/>
      <c r="H1372" s="4"/>
      <c r="I1372" s="4"/>
      <c r="J1372" s="4"/>
      <c r="K1372" s="6"/>
      <c r="L1372" s="17"/>
      <c r="M1372" s="4"/>
      <c r="N1372" s="6"/>
      <c r="O1372" s="4"/>
      <c r="P1372" s="4"/>
      <c r="Q1372" s="4"/>
      <c r="R1372" s="4"/>
      <c r="S1372" s="4"/>
      <c r="T1372" s="4"/>
      <c r="U1372" s="4"/>
    </row>
    <row r="1373">
      <c r="A1373" s="4"/>
      <c r="B1373" s="17"/>
      <c r="C1373" s="4"/>
      <c r="D1373" s="4"/>
      <c r="E1373" s="4"/>
      <c r="F1373" s="4"/>
      <c r="G1373" s="17"/>
      <c r="H1373" s="4"/>
      <c r="I1373" s="4"/>
      <c r="J1373" s="4"/>
      <c r="K1373" s="6"/>
      <c r="L1373" s="17"/>
      <c r="M1373" s="4"/>
      <c r="N1373" s="6"/>
      <c r="O1373" s="4"/>
      <c r="P1373" s="4"/>
      <c r="Q1373" s="4"/>
      <c r="R1373" s="4"/>
      <c r="S1373" s="4"/>
      <c r="T1373" s="4"/>
      <c r="U1373" s="4"/>
    </row>
    <row r="1374">
      <c r="A1374" s="4"/>
      <c r="B1374" s="17"/>
      <c r="C1374" s="4"/>
      <c r="D1374" s="4"/>
      <c r="E1374" s="4"/>
      <c r="F1374" s="4"/>
      <c r="G1374" s="17"/>
      <c r="H1374" s="4"/>
      <c r="I1374" s="4"/>
      <c r="J1374" s="4"/>
      <c r="K1374" s="6"/>
      <c r="L1374" s="17"/>
      <c r="M1374" s="4"/>
      <c r="N1374" s="6"/>
      <c r="O1374" s="4"/>
      <c r="P1374" s="4"/>
      <c r="Q1374" s="4"/>
      <c r="R1374" s="4"/>
      <c r="S1374" s="4"/>
      <c r="T1374" s="4"/>
      <c r="U1374" s="4"/>
    </row>
    <row r="1375">
      <c r="A1375" s="4"/>
      <c r="B1375" s="17"/>
      <c r="C1375" s="4"/>
      <c r="D1375" s="4"/>
      <c r="E1375" s="4"/>
      <c r="F1375" s="4"/>
      <c r="G1375" s="17"/>
      <c r="H1375" s="4"/>
      <c r="I1375" s="4"/>
      <c r="J1375" s="4"/>
      <c r="K1375" s="6"/>
      <c r="L1375" s="17"/>
      <c r="M1375" s="4"/>
      <c r="N1375" s="6"/>
      <c r="O1375" s="4"/>
      <c r="P1375" s="4"/>
      <c r="Q1375" s="4"/>
      <c r="R1375" s="4"/>
      <c r="S1375" s="4"/>
      <c r="T1375" s="4"/>
      <c r="U1375" s="4"/>
    </row>
    <row r="1376">
      <c r="A1376" s="4"/>
      <c r="B1376" s="17"/>
      <c r="C1376" s="4"/>
      <c r="D1376" s="4"/>
      <c r="E1376" s="4"/>
      <c r="F1376" s="4"/>
      <c r="G1376" s="17"/>
      <c r="H1376" s="4"/>
      <c r="I1376" s="4"/>
      <c r="J1376" s="4"/>
      <c r="K1376" s="6"/>
      <c r="L1376" s="17"/>
      <c r="M1376" s="4"/>
      <c r="N1376" s="6"/>
      <c r="O1376" s="4"/>
      <c r="P1376" s="4"/>
      <c r="Q1376" s="4"/>
      <c r="R1376" s="4"/>
      <c r="S1376" s="4"/>
      <c r="T1376" s="4"/>
      <c r="U1376" s="4"/>
    </row>
    <row r="1377">
      <c r="A1377" s="4"/>
      <c r="B1377" s="17"/>
      <c r="C1377" s="4"/>
      <c r="D1377" s="4"/>
      <c r="E1377" s="4"/>
      <c r="F1377" s="4"/>
      <c r="G1377" s="17"/>
      <c r="H1377" s="4"/>
      <c r="I1377" s="4"/>
      <c r="J1377" s="4"/>
      <c r="K1377" s="6"/>
      <c r="L1377" s="17"/>
      <c r="M1377" s="4"/>
      <c r="N1377" s="6"/>
      <c r="O1377" s="4"/>
      <c r="P1377" s="4"/>
      <c r="Q1377" s="4"/>
      <c r="R1377" s="4"/>
      <c r="S1377" s="4"/>
      <c r="T1377" s="4"/>
      <c r="U1377" s="4"/>
    </row>
    <row r="1378">
      <c r="A1378" s="4"/>
      <c r="B1378" s="17"/>
      <c r="C1378" s="4"/>
      <c r="D1378" s="4"/>
      <c r="E1378" s="4"/>
      <c r="F1378" s="4"/>
      <c r="G1378" s="17"/>
      <c r="H1378" s="4"/>
      <c r="I1378" s="4"/>
      <c r="J1378" s="4"/>
      <c r="K1378" s="6"/>
      <c r="L1378" s="17"/>
      <c r="M1378" s="4"/>
      <c r="N1378" s="6"/>
      <c r="O1378" s="4"/>
      <c r="P1378" s="4"/>
      <c r="Q1378" s="4"/>
      <c r="R1378" s="4"/>
      <c r="S1378" s="4"/>
      <c r="T1378" s="4"/>
      <c r="U1378" s="4"/>
    </row>
    <row r="1379">
      <c r="A1379" s="4"/>
      <c r="B1379" s="17"/>
      <c r="C1379" s="4"/>
      <c r="D1379" s="4"/>
      <c r="E1379" s="4"/>
      <c r="F1379" s="4"/>
      <c r="G1379" s="17"/>
      <c r="H1379" s="4"/>
      <c r="I1379" s="4"/>
      <c r="J1379" s="4"/>
      <c r="K1379" s="6"/>
      <c r="L1379" s="17"/>
      <c r="M1379" s="4"/>
      <c r="N1379" s="6"/>
      <c r="O1379" s="4"/>
      <c r="P1379" s="4"/>
      <c r="Q1379" s="4"/>
      <c r="R1379" s="4"/>
      <c r="S1379" s="4"/>
      <c r="T1379" s="4"/>
      <c r="U1379" s="4"/>
    </row>
    <row r="1380">
      <c r="A1380" s="4"/>
      <c r="B1380" s="17"/>
      <c r="C1380" s="4"/>
      <c r="D1380" s="4"/>
      <c r="E1380" s="4"/>
      <c r="F1380" s="4"/>
      <c r="G1380" s="17"/>
      <c r="H1380" s="4"/>
      <c r="I1380" s="4"/>
      <c r="J1380" s="4"/>
      <c r="K1380" s="6"/>
      <c r="L1380" s="17"/>
      <c r="M1380" s="4"/>
      <c r="N1380" s="6"/>
      <c r="O1380" s="4"/>
      <c r="P1380" s="4"/>
      <c r="Q1380" s="4"/>
      <c r="R1380" s="4"/>
      <c r="S1380" s="4"/>
      <c r="T1380" s="4"/>
      <c r="U1380" s="4"/>
    </row>
    <row r="1381">
      <c r="A1381" s="4"/>
      <c r="B1381" s="17"/>
      <c r="C1381" s="4"/>
      <c r="D1381" s="4"/>
      <c r="E1381" s="4"/>
      <c r="F1381" s="4"/>
      <c r="G1381" s="17"/>
      <c r="H1381" s="4"/>
      <c r="I1381" s="4"/>
      <c r="J1381" s="4"/>
      <c r="K1381" s="6"/>
      <c r="L1381" s="17"/>
      <c r="M1381" s="4"/>
      <c r="N1381" s="6"/>
      <c r="O1381" s="4"/>
      <c r="P1381" s="4"/>
      <c r="Q1381" s="4"/>
      <c r="R1381" s="4"/>
      <c r="S1381" s="4"/>
      <c r="T1381" s="4"/>
      <c r="U1381" s="4"/>
    </row>
    <row r="1382">
      <c r="A1382" s="4"/>
      <c r="B1382" s="17"/>
      <c r="C1382" s="4"/>
      <c r="D1382" s="4"/>
      <c r="E1382" s="4"/>
      <c r="F1382" s="4"/>
      <c r="G1382" s="17"/>
      <c r="H1382" s="4"/>
      <c r="I1382" s="4"/>
      <c r="J1382" s="4"/>
      <c r="K1382" s="6"/>
      <c r="L1382" s="17"/>
      <c r="M1382" s="4"/>
      <c r="N1382" s="6"/>
      <c r="O1382" s="4"/>
      <c r="P1382" s="4"/>
      <c r="Q1382" s="4"/>
      <c r="R1382" s="4"/>
      <c r="S1382" s="4"/>
      <c r="T1382" s="4"/>
      <c r="U1382" s="4"/>
    </row>
    <row r="1383">
      <c r="A1383" s="4"/>
      <c r="B1383" s="17"/>
      <c r="C1383" s="4"/>
      <c r="D1383" s="4"/>
      <c r="E1383" s="4"/>
      <c r="F1383" s="4"/>
      <c r="G1383" s="17"/>
      <c r="H1383" s="4"/>
      <c r="I1383" s="4"/>
      <c r="J1383" s="4"/>
      <c r="K1383" s="6"/>
      <c r="L1383" s="17"/>
      <c r="M1383" s="4"/>
      <c r="N1383" s="6"/>
      <c r="O1383" s="4"/>
      <c r="P1383" s="4"/>
      <c r="Q1383" s="4"/>
      <c r="R1383" s="4"/>
      <c r="S1383" s="4"/>
      <c r="T1383" s="4"/>
      <c r="U1383" s="4"/>
    </row>
    <row r="1384">
      <c r="A1384" s="4"/>
      <c r="B1384" s="17"/>
      <c r="C1384" s="4"/>
      <c r="D1384" s="4"/>
      <c r="E1384" s="4"/>
      <c r="F1384" s="4"/>
      <c r="G1384" s="17"/>
      <c r="H1384" s="4"/>
      <c r="I1384" s="4"/>
      <c r="J1384" s="4"/>
      <c r="K1384" s="6"/>
      <c r="L1384" s="17"/>
      <c r="M1384" s="4"/>
      <c r="N1384" s="6"/>
      <c r="O1384" s="4"/>
      <c r="P1384" s="4"/>
      <c r="Q1384" s="4"/>
      <c r="R1384" s="4"/>
      <c r="S1384" s="4"/>
      <c r="T1384" s="4"/>
      <c r="U1384" s="4"/>
    </row>
    <row r="1385">
      <c r="A1385" s="4"/>
      <c r="B1385" s="17"/>
      <c r="C1385" s="4"/>
      <c r="D1385" s="4"/>
      <c r="E1385" s="4"/>
      <c r="F1385" s="4"/>
      <c r="G1385" s="17"/>
      <c r="H1385" s="4"/>
      <c r="I1385" s="4"/>
      <c r="J1385" s="4"/>
      <c r="K1385" s="6"/>
      <c r="L1385" s="17"/>
      <c r="M1385" s="4"/>
      <c r="N1385" s="6"/>
      <c r="O1385" s="4"/>
      <c r="P1385" s="4"/>
      <c r="Q1385" s="4"/>
      <c r="R1385" s="4"/>
      <c r="S1385" s="4"/>
      <c r="T1385" s="4"/>
      <c r="U1385" s="4"/>
    </row>
    <row r="1386">
      <c r="A1386" s="4"/>
      <c r="B1386" s="17"/>
      <c r="C1386" s="4"/>
      <c r="D1386" s="4"/>
      <c r="E1386" s="4"/>
      <c r="F1386" s="4"/>
      <c r="G1386" s="17"/>
      <c r="H1386" s="4"/>
      <c r="I1386" s="4"/>
      <c r="J1386" s="4"/>
      <c r="K1386" s="6"/>
      <c r="L1386" s="17"/>
      <c r="M1386" s="4"/>
      <c r="N1386" s="6"/>
      <c r="O1386" s="4"/>
      <c r="P1386" s="4"/>
      <c r="Q1386" s="4"/>
      <c r="R1386" s="4"/>
      <c r="S1386" s="4"/>
      <c r="T1386" s="4"/>
      <c r="U1386" s="4"/>
    </row>
    <row r="1387">
      <c r="A1387" s="4"/>
      <c r="B1387" s="17"/>
      <c r="C1387" s="4"/>
      <c r="D1387" s="4"/>
      <c r="E1387" s="4"/>
      <c r="F1387" s="4"/>
      <c r="G1387" s="17"/>
      <c r="H1387" s="4"/>
      <c r="I1387" s="4"/>
      <c r="J1387" s="4"/>
      <c r="K1387" s="6"/>
      <c r="L1387" s="17"/>
      <c r="M1387" s="4"/>
      <c r="N1387" s="6"/>
      <c r="O1387" s="4"/>
      <c r="P1387" s="4"/>
      <c r="Q1387" s="4"/>
      <c r="R1387" s="4"/>
      <c r="S1387" s="4"/>
      <c r="T1387" s="4"/>
      <c r="U1387" s="4"/>
    </row>
    <row r="1388">
      <c r="A1388" s="4"/>
      <c r="B1388" s="17"/>
      <c r="C1388" s="4"/>
      <c r="D1388" s="4"/>
      <c r="E1388" s="4"/>
      <c r="F1388" s="4"/>
      <c r="G1388" s="17"/>
      <c r="H1388" s="4"/>
      <c r="I1388" s="4"/>
      <c r="J1388" s="4"/>
      <c r="K1388" s="6"/>
      <c r="L1388" s="17"/>
      <c r="M1388" s="4"/>
      <c r="N1388" s="6"/>
      <c r="O1388" s="4"/>
      <c r="P1388" s="4"/>
      <c r="Q1388" s="4"/>
      <c r="R1388" s="4"/>
      <c r="S1388" s="4"/>
      <c r="T1388" s="4"/>
      <c r="U1388" s="4"/>
    </row>
    <row r="1389">
      <c r="A1389" s="4"/>
      <c r="B1389" s="17"/>
      <c r="C1389" s="4"/>
      <c r="D1389" s="4"/>
      <c r="E1389" s="4"/>
      <c r="F1389" s="4"/>
      <c r="G1389" s="17"/>
      <c r="H1389" s="4"/>
      <c r="I1389" s="4"/>
      <c r="J1389" s="4"/>
      <c r="K1389" s="6"/>
      <c r="L1389" s="17"/>
      <c r="M1389" s="4"/>
      <c r="N1389" s="6"/>
      <c r="O1389" s="4"/>
      <c r="P1389" s="4"/>
      <c r="Q1389" s="4"/>
      <c r="R1389" s="4"/>
      <c r="S1389" s="4"/>
      <c r="T1389" s="4"/>
      <c r="U1389" s="4"/>
    </row>
    <row r="1390">
      <c r="A1390" s="4"/>
      <c r="B1390" s="17"/>
      <c r="C1390" s="4"/>
      <c r="D1390" s="4"/>
      <c r="E1390" s="4"/>
      <c r="F1390" s="4"/>
      <c r="G1390" s="17"/>
      <c r="H1390" s="4"/>
      <c r="I1390" s="4"/>
      <c r="J1390" s="4"/>
      <c r="K1390" s="6"/>
      <c r="L1390" s="17"/>
      <c r="M1390" s="4"/>
      <c r="N1390" s="6"/>
      <c r="O1390" s="4"/>
      <c r="P1390" s="4"/>
      <c r="Q1390" s="4"/>
      <c r="R1390" s="4"/>
      <c r="S1390" s="4"/>
      <c r="T1390" s="4"/>
      <c r="U1390" s="4"/>
    </row>
    <row r="1391">
      <c r="A1391" s="4"/>
      <c r="B1391" s="17"/>
      <c r="C1391" s="4"/>
      <c r="D1391" s="4"/>
      <c r="E1391" s="4"/>
      <c r="F1391" s="4"/>
      <c r="G1391" s="17"/>
      <c r="H1391" s="4"/>
      <c r="I1391" s="4"/>
      <c r="J1391" s="4"/>
      <c r="K1391" s="6"/>
      <c r="L1391" s="17"/>
      <c r="M1391" s="4"/>
      <c r="N1391" s="6"/>
      <c r="O1391" s="4"/>
      <c r="P1391" s="4"/>
      <c r="Q1391" s="4"/>
      <c r="R1391" s="4"/>
      <c r="S1391" s="4"/>
      <c r="T1391" s="4"/>
      <c r="U1391" s="4"/>
    </row>
    <row r="1392">
      <c r="A1392" s="4"/>
      <c r="B1392" s="17"/>
      <c r="C1392" s="4"/>
      <c r="D1392" s="4"/>
      <c r="E1392" s="4"/>
      <c r="F1392" s="4"/>
      <c r="G1392" s="17"/>
      <c r="H1392" s="4"/>
      <c r="I1392" s="4"/>
      <c r="J1392" s="4"/>
      <c r="K1392" s="6"/>
      <c r="L1392" s="17"/>
      <c r="M1392" s="4"/>
      <c r="N1392" s="6"/>
      <c r="O1392" s="4"/>
      <c r="P1392" s="4"/>
      <c r="Q1392" s="4"/>
      <c r="R1392" s="4"/>
      <c r="S1392" s="4"/>
      <c r="T1392" s="4"/>
      <c r="U1392" s="4"/>
    </row>
    <row r="1393">
      <c r="A1393" s="4"/>
      <c r="B1393" s="17"/>
      <c r="C1393" s="4"/>
      <c r="D1393" s="4"/>
      <c r="E1393" s="4"/>
      <c r="F1393" s="4"/>
      <c r="G1393" s="17"/>
      <c r="H1393" s="4"/>
      <c r="I1393" s="4"/>
      <c r="J1393" s="4"/>
      <c r="K1393" s="6"/>
      <c r="L1393" s="17"/>
      <c r="M1393" s="4"/>
      <c r="N1393" s="6"/>
      <c r="O1393" s="4"/>
      <c r="P1393" s="4"/>
      <c r="Q1393" s="4"/>
      <c r="R1393" s="4"/>
      <c r="S1393" s="4"/>
      <c r="T1393" s="4"/>
      <c r="U1393" s="4"/>
    </row>
    <row r="1394">
      <c r="A1394" s="4"/>
      <c r="B1394" s="17"/>
      <c r="C1394" s="4"/>
      <c r="D1394" s="4"/>
      <c r="E1394" s="4"/>
      <c r="F1394" s="4"/>
      <c r="G1394" s="17"/>
      <c r="H1394" s="4"/>
      <c r="I1394" s="4"/>
      <c r="J1394" s="4"/>
      <c r="K1394" s="6"/>
      <c r="L1394" s="17"/>
      <c r="M1394" s="4"/>
      <c r="N1394" s="6"/>
      <c r="O1394" s="4"/>
      <c r="P1394" s="4"/>
      <c r="Q1394" s="4"/>
      <c r="R1394" s="4"/>
      <c r="S1394" s="4"/>
      <c r="T1394" s="4"/>
      <c r="U1394" s="4"/>
    </row>
    <row r="1395">
      <c r="A1395" s="4"/>
      <c r="B1395" s="17"/>
      <c r="C1395" s="4"/>
      <c r="D1395" s="4"/>
      <c r="E1395" s="4"/>
      <c r="F1395" s="4"/>
      <c r="G1395" s="17"/>
      <c r="H1395" s="4"/>
      <c r="I1395" s="4"/>
      <c r="J1395" s="4"/>
      <c r="K1395" s="6"/>
      <c r="L1395" s="17"/>
      <c r="M1395" s="4"/>
      <c r="N1395" s="6"/>
      <c r="O1395" s="4"/>
      <c r="P1395" s="4"/>
      <c r="Q1395" s="4"/>
      <c r="R1395" s="4"/>
      <c r="S1395" s="4"/>
      <c r="T1395" s="4"/>
      <c r="U1395" s="4"/>
    </row>
    <row r="1396">
      <c r="A1396" s="4"/>
      <c r="B1396" s="17"/>
      <c r="C1396" s="4"/>
      <c r="D1396" s="4"/>
      <c r="E1396" s="4"/>
      <c r="F1396" s="4"/>
      <c r="G1396" s="17"/>
      <c r="H1396" s="4"/>
      <c r="I1396" s="4"/>
      <c r="J1396" s="4"/>
      <c r="K1396" s="6"/>
      <c r="L1396" s="17"/>
      <c r="M1396" s="4"/>
      <c r="N1396" s="6"/>
      <c r="O1396" s="4"/>
      <c r="P1396" s="4"/>
      <c r="Q1396" s="4"/>
      <c r="R1396" s="4"/>
      <c r="S1396" s="4"/>
      <c r="T1396" s="4"/>
      <c r="U1396" s="4"/>
    </row>
    <row r="1397">
      <c r="A1397" s="4"/>
      <c r="B1397" s="17"/>
      <c r="C1397" s="4"/>
      <c r="D1397" s="4"/>
      <c r="E1397" s="4"/>
      <c r="F1397" s="4"/>
      <c r="G1397" s="17"/>
      <c r="H1397" s="4"/>
      <c r="I1397" s="4"/>
      <c r="J1397" s="4"/>
      <c r="K1397" s="6"/>
      <c r="L1397" s="17"/>
      <c r="M1397" s="4"/>
      <c r="N1397" s="6"/>
      <c r="O1397" s="4"/>
      <c r="P1397" s="4"/>
      <c r="Q1397" s="4"/>
      <c r="R1397" s="4"/>
      <c r="S1397" s="4"/>
      <c r="T1397" s="4"/>
      <c r="U1397" s="4"/>
    </row>
    <row r="1398">
      <c r="A1398" s="4"/>
      <c r="B1398" s="17"/>
      <c r="C1398" s="4"/>
      <c r="D1398" s="4"/>
      <c r="E1398" s="4"/>
      <c r="F1398" s="4"/>
      <c r="G1398" s="17"/>
      <c r="H1398" s="4"/>
      <c r="I1398" s="4"/>
      <c r="J1398" s="4"/>
      <c r="K1398" s="6"/>
      <c r="L1398" s="17"/>
      <c r="M1398" s="4"/>
      <c r="N1398" s="6"/>
      <c r="O1398" s="4"/>
      <c r="P1398" s="4"/>
      <c r="Q1398" s="4"/>
      <c r="R1398" s="4"/>
      <c r="S1398" s="4"/>
      <c r="T1398" s="4"/>
      <c r="U1398" s="4"/>
    </row>
    <row r="1399">
      <c r="A1399" s="4"/>
      <c r="B1399" s="17"/>
      <c r="C1399" s="4"/>
      <c r="D1399" s="4"/>
      <c r="E1399" s="4"/>
      <c r="F1399" s="4"/>
      <c r="G1399" s="17"/>
      <c r="H1399" s="4"/>
      <c r="I1399" s="4"/>
      <c r="J1399" s="4"/>
      <c r="K1399" s="6"/>
      <c r="L1399" s="17"/>
      <c r="M1399" s="4"/>
      <c r="N1399" s="6"/>
      <c r="O1399" s="4"/>
      <c r="P1399" s="4"/>
      <c r="Q1399" s="4"/>
      <c r="R1399" s="4"/>
      <c r="S1399" s="4"/>
      <c r="T1399" s="4"/>
      <c r="U1399" s="4"/>
    </row>
    <row r="1400">
      <c r="A1400" s="4"/>
      <c r="B1400" s="17"/>
      <c r="C1400" s="4"/>
      <c r="D1400" s="4"/>
      <c r="E1400" s="4"/>
      <c r="F1400" s="4"/>
      <c r="G1400" s="17"/>
      <c r="H1400" s="4"/>
      <c r="I1400" s="4"/>
      <c r="J1400" s="4"/>
      <c r="K1400" s="6"/>
      <c r="L1400" s="17"/>
      <c r="M1400" s="4"/>
      <c r="N1400" s="6"/>
      <c r="O1400" s="4"/>
      <c r="P1400" s="4"/>
      <c r="Q1400" s="4"/>
      <c r="R1400" s="4"/>
      <c r="S1400" s="4"/>
      <c r="T1400" s="4"/>
      <c r="U1400" s="4"/>
    </row>
    <row r="1401">
      <c r="A1401" s="4"/>
      <c r="B1401" s="17"/>
      <c r="C1401" s="4"/>
      <c r="D1401" s="4"/>
      <c r="E1401" s="4"/>
      <c r="F1401" s="4"/>
      <c r="G1401" s="17"/>
      <c r="H1401" s="4"/>
      <c r="I1401" s="4"/>
      <c r="J1401" s="4"/>
      <c r="K1401" s="6"/>
      <c r="L1401" s="17"/>
      <c r="M1401" s="4"/>
      <c r="N1401" s="6"/>
      <c r="O1401" s="4"/>
      <c r="P1401" s="4"/>
      <c r="Q1401" s="4"/>
      <c r="R1401" s="4"/>
      <c r="S1401" s="4"/>
      <c r="T1401" s="4"/>
      <c r="U1401" s="4"/>
    </row>
    <row r="1402">
      <c r="A1402" s="4"/>
      <c r="B1402" s="17"/>
      <c r="C1402" s="4"/>
      <c r="D1402" s="4"/>
      <c r="E1402" s="4"/>
      <c r="F1402" s="4"/>
      <c r="G1402" s="17"/>
      <c r="H1402" s="4"/>
      <c r="I1402" s="4"/>
      <c r="J1402" s="4"/>
      <c r="K1402" s="6"/>
      <c r="L1402" s="17"/>
      <c r="M1402" s="4"/>
      <c r="N1402" s="6"/>
      <c r="O1402" s="4"/>
      <c r="P1402" s="4"/>
      <c r="Q1402" s="4"/>
      <c r="R1402" s="4"/>
      <c r="S1402" s="4"/>
      <c r="T1402" s="4"/>
      <c r="U1402" s="4"/>
    </row>
    <row r="1403">
      <c r="A1403" s="4"/>
      <c r="B1403" s="17"/>
      <c r="C1403" s="4"/>
      <c r="D1403" s="4"/>
      <c r="E1403" s="4"/>
      <c r="F1403" s="4"/>
      <c r="G1403" s="17"/>
      <c r="H1403" s="4"/>
      <c r="I1403" s="4"/>
      <c r="J1403" s="4"/>
      <c r="K1403" s="6"/>
      <c r="L1403" s="17"/>
      <c r="M1403" s="4"/>
      <c r="N1403" s="6"/>
      <c r="O1403" s="4"/>
      <c r="P1403" s="4"/>
      <c r="Q1403" s="4"/>
      <c r="R1403" s="4"/>
      <c r="S1403" s="4"/>
      <c r="T1403" s="4"/>
      <c r="U1403" s="4"/>
    </row>
    <row r="1404">
      <c r="A1404" s="4"/>
      <c r="B1404" s="17"/>
      <c r="C1404" s="4"/>
      <c r="D1404" s="4"/>
      <c r="E1404" s="4"/>
      <c r="F1404" s="4"/>
      <c r="G1404" s="17"/>
      <c r="H1404" s="4"/>
      <c r="I1404" s="4"/>
      <c r="J1404" s="4"/>
      <c r="K1404" s="6"/>
      <c r="L1404" s="17"/>
      <c r="M1404" s="4"/>
      <c r="N1404" s="6"/>
      <c r="O1404" s="4"/>
      <c r="P1404" s="4"/>
      <c r="Q1404" s="4"/>
      <c r="R1404" s="4"/>
      <c r="S1404" s="4"/>
      <c r="T1404" s="4"/>
      <c r="U1404" s="4"/>
    </row>
    <row r="1405">
      <c r="A1405" s="4"/>
      <c r="B1405" s="17"/>
      <c r="C1405" s="4"/>
      <c r="D1405" s="4"/>
      <c r="E1405" s="4"/>
      <c r="F1405" s="4"/>
      <c r="G1405" s="17"/>
      <c r="H1405" s="4"/>
      <c r="I1405" s="4"/>
      <c r="J1405" s="4"/>
      <c r="K1405" s="6"/>
      <c r="L1405" s="17"/>
      <c r="M1405" s="4"/>
      <c r="N1405" s="6"/>
      <c r="O1405" s="4"/>
      <c r="P1405" s="4"/>
      <c r="Q1405" s="4"/>
      <c r="R1405" s="4"/>
      <c r="S1405" s="4"/>
      <c r="T1405" s="4"/>
      <c r="U1405" s="4"/>
    </row>
    <row r="1406">
      <c r="A1406" s="4"/>
      <c r="B1406" s="17"/>
      <c r="C1406" s="4"/>
      <c r="D1406" s="4"/>
      <c r="E1406" s="4"/>
      <c r="F1406" s="4"/>
      <c r="G1406" s="17"/>
      <c r="H1406" s="4"/>
      <c r="I1406" s="4"/>
      <c r="J1406" s="4"/>
      <c r="K1406" s="6"/>
      <c r="L1406" s="17"/>
      <c r="M1406" s="4"/>
      <c r="N1406" s="6"/>
      <c r="O1406" s="4"/>
      <c r="P1406" s="4"/>
      <c r="Q1406" s="4"/>
      <c r="R1406" s="4"/>
      <c r="S1406" s="4"/>
      <c r="T1406" s="4"/>
      <c r="U1406" s="4"/>
    </row>
    <row r="1407">
      <c r="A1407" s="4"/>
      <c r="B1407" s="17"/>
      <c r="C1407" s="4"/>
      <c r="D1407" s="4"/>
      <c r="E1407" s="4"/>
      <c r="F1407" s="4"/>
      <c r="G1407" s="17"/>
      <c r="H1407" s="4"/>
      <c r="I1407" s="4"/>
      <c r="J1407" s="4"/>
      <c r="K1407" s="6"/>
      <c r="L1407" s="17"/>
      <c r="M1407" s="4"/>
      <c r="N1407" s="6"/>
      <c r="O1407" s="4"/>
      <c r="P1407" s="4"/>
      <c r="Q1407" s="4"/>
      <c r="R1407" s="4"/>
      <c r="S1407" s="4"/>
      <c r="T1407" s="4"/>
      <c r="U1407" s="4"/>
    </row>
    <row r="1408">
      <c r="A1408" s="4"/>
      <c r="B1408" s="17"/>
      <c r="C1408" s="4"/>
      <c r="D1408" s="4"/>
      <c r="E1408" s="4"/>
      <c r="F1408" s="4"/>
      <c r="G1408" s="17"/>
      <c r="H1408" s="4"/>
      <c r="I1408" s="4"/>
      <c r="J1408" s="4"/>
      <c r="K1408" s="6"/>
      <c r="L1408" s="17"/>
      <c r="M1408" s="4"/>
      <c r="N1408" s="6"/>
      <c r="O1408" s="4"/>
      <c r="P1408" s="4"/>
      <c r="Q1408" s="4"/>
      <c r="R1408" s="4"/>
      <c r="S1408" s="4"/>
      <c r="T1408" s="4"/>
      <c r="U1408" s="4"/>
    </row>
    <row r="1409">
      <c r="A1409" s="4"/>
      <c r="B1409" s="17"/>
      <c r="C1409" s="4"/>
      <c r="D1409" s="4"/>
      <c r="E1409" s="4"/>
      <c r="F1409" s="4"/>
      <c r="G1409" s="17"/>
      <c r="H1409" s="4"/>
      <c r="I1409" s="4"/>
      <c r="J1409" s="4"/>
      <c r="K1409" s="6"/>
      <c r="L1409" s="17"/>
      <c r="M1409" s="4"/>
      <c r="N1409" s="6"/>
      <c r="O1409" s="4"/>
      <c r="P1409" s="4"/>
      <c r="Q1409" s="4"/>
      <c r="R1409" s="4"/>
      <c r="S1409" s="4"/>
      <c r="T1409" s="4"/>
      <c r="U1409" s="4"/>
    </row>
    <row r="1410">
      <c r="A1410" s="4"/>
      <c r="B1410" s="17"/>
      <c r="C1410" s="4"/>
      <c r="D1410" s="4"/>
      <c r="E1410" s="4"/>
      <c r="F1410" s="4"/>
      <c r="G1410" s="17"/>
      <c r="H1410" s="4"/>
      <c r="I1410" s="4"/>
      <c r="J1410" s="4"/>
      <c r="K1410" s="6"/>
      <c r="L1410" s="17"/>
      <c r="M1410" s="4"/>
      <c r="N1410" s="6"/>
      <c r="O1410" s="4"/>
      <c r="P1410" s="4"/>
      <c r="Q1410" s="4"/>
      <c r="R1410" s="4"/>
      <c r="S1410" s="4"/>
      <c r="T1410" s="4"/>
      <c r="U1410" s="4"/>
    </row>
    <row r="1411">
      <c r="A1411" s="4"/>
      <c r="B1411" s="17"/>
      <c r="C1411" s="4"/>
      <c r="D1411" s="4"/>
      <c r="E1411" s="4"/>
      <c r="F1411" s="4"/>
      <c r="G1411" s="17"/>
      <c r="H1411" s="4"/>
      <c r="I1411" s="4"/>
      <c r="J1411" s="4"/>
      <c r="K1411" s="6"/>
      <c r="L1411" s="17"/>
      <c r="M1411" s="4"/>
      <c r="N1411" s="6"/>
      <c r="O1411" s="4"/>
      <c r="P1411" s="4"/>
      <c r="Q1411" s="4"/>
      <c r="R1411" s="4"/>
      <c r="S1411" s="4"/>
      <c r="T1411" s="4"/>
      <c r="U1411" s="4"/>
    </row>
    <row r="1412">
      <c r="A1412" s="4"/>
      <c r="B1412" s="17"/>
      <c r="C1412" s="4"/>
      <c r="D1412" s="4"/>
      <c r="E1412" s="4"/>
      <c r="F1412" s="4"/>
      <c r="G1412" s="17"/>
      <c r="H1412" s="4"/>
      <c r="I1412" s="4"/>
      <c r="J1412" s="4"/>
      <c r="K1412" s="6"/>
      <c r="L1412" s="17"/>
      <c r="M1412" s="4"/>
      <c r="N1412" s="6"/>
      <c r="O1412" s="4"/>
      <c r="P1412" s="4"/>
      <c r="Q1412" s="4"/>
      <c r="R1412" s="4"/>
      <c r="S1412" s="4"/>
      <c r="T1412" s="4"/>
      <c r="U1412" s="4"/>
    </row>
    <row r="1413">
      <c r="A1413" s="4"/>
      <c r="B1413" s="17"/>
      <c r="C1413" s="4"/>
      <c r="D1413" s="4"/>
      <c r="E1413" s="4"/>
      <c r="F1413" s="4"/>
      <c r="G1413" s="17"/>
      <c r="H1413" s="4"/>
      <c r="I1413" s="4"/>
      <c r="J1413" s="4"/>
      <c r="K1413" s="6"/>
      <c r="L1413" s="17"/>
      <c r="M1413" s="4"/>
      <c r="N1413" s="6"/>
      <c r="O1413" s="4"/>
      <c r="P1413" s="4"/>
      <c r="Q1413" s="4"/>
      <c r="R1413" s="4"/>
      <c r="S1413" s="4"/>
      <c r="T1413" s="4"/>
      <c r="U1413" s="4"/>
    </row>
    <row r="1414">
      <c r="A1414" s="4"/>
      <c r="B1414" s="17"/>
      <c r="C1414" s="4"/>
      <c r="D1414" s="4"/>
      <c r="E1414" s="4"/>
      <c r="F1414" s="4"/>
      <c r="G1414" s="17"/>
      <c r="H1414" s="4"/>
      <c r="I1414" s="4"/>
      <c r="J1414" s="4"/>
      <c r="K1414" s="6"/>
      <c r="L1414" s="17"/>
      <c r="M1414" s="4"/>
      <c r="N1414" s="6"/>
      <c r="O1414" s="4"/>
      <c r="P1414" s="4"/>
      <c r="Q1414" s="4"/>
      <c r="R1414" s="4"/>
      <c r="S1414" s="4"/>
      <c r="T1414" s="4"/>
      <c r="U1414" s="4"/>
    </row>
    <row r="1415">
      <c r="A1415" s="4"/>
      <c r="B1415" s="17"/>
      <c r="C1415" s="4"/>
      <c r="D1415" s="4"/>
      <c r="E1415" s="4"/>
      <c r="F1415" s="4"/>
      <c r="G1415" s="17"/>
      <c r="H1415" s="4"/>
      <c r="I1415" s="4"/>
      <c r="J1415" s="4"/>
      <c r="K1415" s="6"/>
      <c r="L1415" s="17"/>
      <c r="M1415" s="4"/>
      <c r="N1415" s="6"/>
      <c r="O1415" s="4"/>
      <c r="P1415" s="4"/>
      <c r="Q1415" s="4"/>
      <c r="R1415" s="4"/>
      <c r="S1415" s="4"/>
      <c r="T1415" s="4"/>
      <c r="U1415" s="4"/>
    </row>
    <row r="1416">
      <c r="A1416" s="4"/>
      <c r="B1416" s="17"/>
      <c r="C1416" s="4"/>
      <c r="D1416" s="4"/>
      <c r="E1416" s="4"/>
      <c r="F1416" s="4"/>
      <c r="G1416" s="17"/>
      <c r="H1416" s="4"/>
      <c r="I1416" s="4"/>
      <c r="J1416" s="4"/>
      <c r="K1416" s="6"/>
      <c r="L1416" s="17"/>
      <c r="M1416" s="4"/>
      <c r="N1416" s="6"/>
      <c r="O1416" s="4"/>
      <c r="P1416" s="4"/>
      <c r="Q1416" s="4"/>
      <c r="R1416" s="4"/>
      <c r="S1416" s="4"/>
      <c r="T1416" s="4"/>
      <c r="U1416" s="4"/>
    </row>
    <row r="1417">
      <c r="A1417" s="4"/>
      <c r="B1417" s="17"/>
      <c r="C1417" s="4"/>
      <c r="D1417" s="4"/>
      <c r="E1417" s="4"/>
      <c r="F1417" s="4"/>
      <c r="G1417" s="17"/>
      <c r="H1417" s="4"/>
      <c r="I1417" s="4"/>
      <c r="J1417" s="4"/>
      <c r="K1417" s="6"/>
      <c r="L1417" s="17"/>
      <c r="M1417" s="4"/>
      <c r="N1417" s="6"/>
      <c r="O1417" s="4"/>
      <c r="P1417" s="4"/>
      <c r="Q1417" s="4"/>
      <c r="R1417" s="4"/>
      <c r="S1417" s="4"/>
      <c r="T1417" s="4"/>
      <c r="U1417" s="4"/>
    </row>
    <row r="1418">
      <c r="A1418" s="4"/>
      <c r="B1418" s="17"/>
      <c r="C1418" s="4"/>
      <c r="D1418" s="4"/>
      <c r="E1418" s="4"/>
      <c r="F1418" s="4"/>
      <c r="G1418" s="17"/>
      <c r="H1418" s="4"/>
      <c r="I1418" s="4"/>
      <c r="J1418" s="4"/>
      <c r="K1418" s="6"/>
      <c r="L1418" s="17"/>
      <c r="M1418" s="4"/>
      <c r="N1418" s="6"/>
      <c r="O1418" s="4"/>
      <c r="P1418" s="4"/>
      <c r="Q1418" s="4"/>
      <c r="R1418" s="4"/>
      <c r="S1418" s="4"/>
      <c r="T1418" s="4"/>
      <c r="U1418" s="4"/>
    </row>
    <row r="1419">
      <c r="A1419" s="4"/>
      <c r="B1419" s="17"/>
      <c r="C1419" s="4"/>
      <c r="D1419" s="4"/>
      <c r="E1419" s="4"/>
      <c r="F1419" s="4"/>
      <c r="G1419" s="17"/>
      <c r="H1419" s="4"/>
      <c r="I1419" s="4"/>
      <c r="J1419" s="4"/>
      <c r="K1419" s="6"/>
      <c r="L1419" s="17"/>
      <c r="M1419" s="4"/>
      <c r="N1419" s="6"/>
      <c r="O1419" s="4"/>
      <c r="P1419" s="4"/>
      <c r="Q1419" s="4"/>
      <c r="R1419" s="4"/>
      <c r="S1419" s="4"/>
      <c r="T1419" s="4"/>
      <c r="U1419" s="4"/>
    </row>
    <row r="1420">
      <c r="A1420" s="4"/>
      <c r="B1420" s="17"/>
      <c r="C1420" s="4"/>
      <c r="D1420" s="4"/>
      <c r="E1420" s="4"/>
      <c r="F1420" s="4"/>
      <c r="G1420" s="17"/>
      <c r="H1420" s="4"/>
      <c r="I1420" s="4"/>
      <c r="J1420" s="4"/>
      <c r="K1420" s="6"/>
      <c r="L1420" s="17"/>
      <c r="M1420" s="4"/>
      <c r="N1420" s="6"/>
      <c r="O1420" s="4"/>
      <c r="P1420" s="4"/>
      <c r="Q1420" s="4"/>
      <c r="R1420" s="4"/>
      <c r="S1420" s="4"/>
      <c r="T1420" s="4"/>
      <c r="U1420" s="4"/>
    </row>
    <row r="1421">
      <c r="A1421" s="4"/>
      <c r="B1421" s="17"/>
      <c r="C1421" s="4"/>
      <c r="D1421" s="4"/>
      <c r="E1421" s="4"/>
      <c r="F1421" s="4"/>
      <c r="G1421" s="17"/>
      <c r="H1421" s="4"/>
      <c r="I1421" s="4"/>
      <c r="J1421" s="4"/>
      <c r="K1421" s="6"/>
      <c r="L1421" s="17"/>
      <c r="M1421" s="4"/>
      <c r="N1421" s="6"/>
      <c r="O1421" s="4"/>
      <c r="P1421" s="4"/>
      <c r="Q1421" s="4"/>
      <c r="R1421" s="4"/>
      <c r="S1421" s="4"/>
      <c r="T1421" s="4"/>
      <c r="U1421" s="4"/>
    </row>
    <row r="1422">
      <c r="A1422" s="4"/>
      <c r="B1422" s="17"/>
      <c r="C1422" s="4"/>
      <c r="D1422" s="4"/>
      <c r="E1422" s="4"/>
      <c r="F1422" s="4"/>
      <c r="G1422" s="17"/>
      <c r="H1422" s="4"/>
      <c r="I1422" s="4"/>
      <c r="J1422" s="4"/>
      <c r="K1422" s="6"/>
      <c r="L1422" s="17"/>
      <c r="M1422" s="4"/>
      <c r="N1422" s="6"/>
      <c r="O1422" s="4"/>
      <c r="P1422" s="4"/>
      <c r="Q1422" s="4"/>
      <c r="R1422" s="4"/>
      <c r="S1422" s="4"/>
      <c r="T1422" s="4"/>
      <c r="U1422" s="4"/>
    </row>
    <row r="1423">
      <c r="A1423" s="4"/>
      <c r="B1423" s="17"/>
      <c r="C1423" s="4"/>
      <c r="D1423" s="4"/>
      <c r="E1423" s="4"/>
      <c r="F1423" s="4"/>
      <c r="G1423" s="17"/>
      <c r="H1423" s="4"/>
      <c r="I1423" s="4"/>
      <c r="J1423" s="4"/>
      <c r="K1423" s="6"/>
      <c r="L1423" s="17"/>
      <c r="M1423" s="4"/>
      <c r="N1423" s="6"/>
      <c r="O1423" s="4"/>
      <c r="P1423" s="4"/>
      <c r="Q1423" s="4"/>
      <c r="R1423" s="4"/>
      <c r="S1423" s="4"/>
      <c r="T1423" s="4"/>
      <c r="U1423" s="4"/>
    </row>
    <row r="1424">
      <c r="A1424" s="4"/>
      <c r="B1424" s="17"/>
      <c r="C1424" s="4"/>
      <c r="D1424" s="4"/>
      <c r="E1424" s="4"/>
      <c r="F1424" s="4"/>
      <c r="G1424" s="17"/>
      <c r="H1424" s="4"/>
      <c r="I1424" s="4"/>
      <c r="J1424" s="4"/>
      <c r="K1424" s="6"/>
      <c r="L1424" s="17"/>
      <c r="M1424" s="4"/>
      <c r="N1424" s="6"/>
      <c r="O1424" s="4"/>
      <c r="P1424" s="4"/>
      <c r="Q1424" s="4"/>
      <c r="R1424" s="4"/>
      <c r="S1424" s="4"/>
      <c r="T1424" s="4"/>
      <c r="U1424" s="4"/>
    </row>
    <row r="1425">
      <c r="A1425" s="4"/>
      <c r="B1425" s="17"/>
      <c r="C1425" s="4"/>
      <c r="D1425" s="4"/>
      <c r="E1425" s="4"/>
      <c r="F1425" s="4"/>
      <c r="G1425" s="17"/>
      <c r="H1425" s="4"/>
      <c r="I1425" s="4"/>
      <c r="J1425" s="4"/>
      <c r="K1425" s="6"/>
      <c r="L1425" s="17"/>
      <c r="M1425" s="4"/>
      <c r="N1425" s="6"/>
      <c r="O1425" s="4"/>
      <c r="P1425" s="4"/>
      <c r="Q1425" s="4"/>
      <c r="R1425" s="4"/>
      <c r="S1425" s="4"/>
      <c r="T1425" s="4"/>
      <c r="U1425" s="4"/>
    </row>
    <row r="1426">
      <c r="A1426" s="4"/>
      <c r="B1426" s="17"/>
      <c r="C1426" s="4"/>
      <c r="D1426" s="4"/>
      <c r="E1426" s="4"/>
      <c r="F1426" s="4"/>
      <c r="G1426" s="17"/>
      <c r="H1426" s="4"/>
      <c r="I1426" s="4"/>
      <c r="J1426" s="4"/>
      <c r="K1426" s="6"/>
      <c r="L1426" s="17"/>
      <c r="M1426" s="4"/>
      <c r="N1426" s="6"/>
      <c r="O1426" s="4"/>
      <c r="P1426" s="4"/>
      <c r="Q1426" s="4"/>
      <c r="R1426" s="4"/>
      <c r="S1426" s="4"/>
      <c r="T1426" s="4"/>
      <c r="U1426" s="4"/>
    </row>
    <row r="1427">
      <c r="A1427" s="4"/>
      <c r="B1427" s="17"/>
      <c r="C1427" s="4"/>
      <c r="D1427" s="4"/>
      <c r="E1427" s="4"/>
      <c r="F1427" s="4"/>
      <c r="G1427" s="17"/>
      <c r="H1427" s="4"/>
      <c r="I1427" s="4"/>
      <c r="J1427" s="4"/>
      <c r="K1427" s="6"/>
      <c r="L1427" s="17"/>
      <c r="M1427" s="4"/>
      <c r="N1427" s="6"/>
      <c r="O1427" s="4"/>
      <c r="P1427" s="4"/>
      <c r="Q1427" s="4"/>
      <c r="R1427" s="4"/>
      <c r="S1427" s="4"/>
      <c r="T1427" s="4"/>
      <c r="U1427" s="4"/>
    </row>
    <row r="1428">
      <c r="A1428" s="4"/>
      <c r="B1428" s="17"/>
      <c r="C1428" s="4"/>
      <c r="D1428" s="4"/>
      <c r="E1428" s="4"/>
      <c r="F1428" s="4"/>
      <c r="G1428" s="17"/>
      <c r="H1428" s="4"/>
      <c r="I1428" s="4"/>
      <c r="J1428" s="4"/>
      <c r="K1428" s="6"/>
      <c r="L1428" s="17"/>
      <c r="M1428" s="4"/>
      <c r="N1428" s="6"/>
      <c r="O1428" s="4"/>
      <c r="P1428" s="4"/>
      <c r="Q1428" s="4"/>
      <c r="R1428" s="4"/>
      <c r="S1428" s="4"/>
      <c r="T1428" s="4"/>
      <c r="U1428" s="4"/>
    </row>
    <row r="1429">
      <c r="A1429" s="4"/>
      <c r="B1429" s="17"/>
      <c r="C1429" s="4"/>
      <c r="D1429" s="4"/>
      <c r="E1429" s="4"/>
      <c r="F1429" s="4"/>
      <c r="G1429" s="17"/>
      <c r="H1429" s="4"/>
      <c r="I1429" s="4"/>
      <c r="J1429" s="4"/>
      <c r="K1429" s="6"/>
      <c r="L1429" s="17"/>
      <c r="M1429" s="4"/>
      <c r="N1429" s="6"/>
      <c r="O1429" s="4"/>
      <c r="P1429" s="4"/>
      <c r="Q1429" s="4"/>
      <c r="R1429" s="4"/>
      <c r="S1429" s="4"/>
      <c r="T1429" s="4"/>
      <c r="U1429" s="4"/>
    </row>
    <row r="1430">
      <c r="A1430" s="4"/>
      <c r="B1430" s="17"/>
      <c r="C1430" s="4"/>
      <c r="D1430" s="4"/>
      <c r="E1430" s="4"/>
      <c r="F1430" s="4"/>
      <c r="G1430" s="17"/>
      <c r="H1430" s="4"/>
      <c r="I1430" s="4"/>
      <c r="J1430" s="4"/>
      <c r="K1430" s="6"/>
      <c r="L1430" s="17"/>
      <c r="M1430" s="4"/>
      <c r="N1430" s="6"/>
      <c r="O1430" s="4"/>
      <c r="P1430" s="4"/>
      <c r="Q1430" s="4"/>
      <c r="R1430" s="4"/>
      <c r="S1430" s="4"/>
      <c r="T1430" s="4"/>
      <c r="U1430" s="4"/>
    </row>
    <row r="1431">
      <c r="A1431" s="4"/>
      <c r="B1431" s="17"/>
      <c r="C1431" s="4"/>
      <c r="D1431" s="4"/>
      <c r="E1431" s="4"/>
      <c r="F1431" s="4"/>
      <c r="G1431" s="17"/>
      <c r="H1431" s="4"/>
      <c r="I1431" s="4"/>
      <c r="J1431" s="4"/>
      <c r="K1431" s="6"/>
      <c r="L1431" s="17"/>
      <c r="M1431" s="4"/>
      <c r="N1431" s="6"/>
      <c r="O1431" s="4"/>
      <c r="P1431" s="4"/>
      <c r="Q1431" s="4"/>
      <c r="R1431" s="4"/>
      <c r="S1431" s="4"/>
      <c r="T1431" s="4"/>
      <c r="U1431" s="4"/>
    </row>
    <row r="1432">
      <c r="A1432" s="4"/>
      <c r="B1432" s="17"/>
      <c r="C1432" s="4"/>
      <c r="D1432" s="4"/>
      <c r="E1432" s="4"/>
      <c r="F1432" s="4"/>
      <c r="G1432" s="17"/>
      <c r="H1432" s="4"/>
      <c r="I1432" s="4"/>
      <c r="J1432" s="4"/>
      <c r="K1432" s="6"/>
      <c r="L1432" s="17"/>
      <c r="M1432" s="4"/>
      <c r="N1432" s="6"/>
      <c r="O1432" s="4"/>
      <c r="P1432" s="4"/>
      <c r="Q1432" s="4"/>
      <c r="R1432" s="4"/>
      <c r="S1432" s="4"/>
      <c r="T1432" s="4"/>
      <c r="U1432" s="4"/>
    </row>
    <row r="1433">
      <c r="A1433" s="4"/>
      <c r="B1433" s="17"/>
      <c r="C1433" s="4"/>
      <c r="D1433" s="4"/>
      <c r="E1433" s="4"/>
      <c r="F1433" s="4"/>
      <c r="G1433" s="17"/>
      <c r="H1433" s="4"/>
      <c r="I1433" s="4"/>
      <c r="J1433" s="4"/>
      <c r="K1433" s="6"/>
      <c r="L1433" s="17"/>
      <c r="M1433" s="4"/>
      <c r="N1433" s="6"/>
      <c r="O1433" s="4"/>
      <c r="P1433" s="4"/>
      <c r="Q1433" s="4"/>
      <c r="R1433" s="4"/>
      <c r="S1433" s="4"/>
      <c r="T1433" s="4"/>
      <c r="U1433" s="4"/>
    </row>
    <row r="1434">
      <c r="A1434" s="4"/>
      <c r="B1434" s="17"/>
      <c r="C1434" s="4"/>
      <c r="D1434" s="4"/>
      <c r="E1434" s="4"/>
      <c r="F1434" s="4"/>
      <c r="G1434" s="17"/>
      <c r="H1434" s="4"/>
      <c r="I1434" s="4"/>
      <c r="J1434" s="4"/>
      <c r="K1434" s="6"/>
      <c r="L1434" s="17"/>
      <c r="M1434" s="4"/>
      <c r="N1434" s="6"/>
      <c r="O1434" s="4"/>
      <c r="P1434" s="4"/>
      <c r="Q1434" s="4"/>
      <c r="R1434" s="4"/>
      <c r="S1434" s="4"/>
      <c r="T1434" s="4"/>
      <c r="U1434" s="4"/>
    </row>
    <row r="1435">
      <c r="A1435" s="4"/>
      <c r="B1435" s="17"/>
      <c r="C1435" s="4"/>
      <c r="D1435" s="4"/>
      <c r="E1435" s="4"/>
      <c r="F1435" s="4"/>
      <c r="G1435" s="17"/>
      <c r="H1435" s="4"/>
      <c r="I1435" s="4"/>
      <c r="J1435" s="4"/>
      <c r="K1435" s="6"/>
      <c r="L1435" s="17"/>
      <c r="M1435" s="4"/>
      <c r="N1435" s="6"/>
      <c r="O1435" s="4"/>
      <c r="P1435" s="4"/>
      <c r="Q1435" s="4"/>
      <c r="R1435" s="4"/>
      <c r="S1435" s="4"/>
      <c r="T1435" s="4"/>
      <c r="U1435" s="4"/>
    </row>
    <row r="1436">
      <c r="A1436" s="4"/>
      <c r="B1436" s="17"/>
      <c r="C1436" s="4"/>
      <c r="D1436" s="4"/>
      <c r="E1436" s="4"/>
      <c r="F1436" s="4"/>
      <c r="G1436" s="17"/>
      <c r="H1436" s="4"/>
      <c r="I1436" s="4"/>
      <c r="J1436" s="4"/>
      <c r="K1436" s="6"/>
      <c r="L1436" s="17"/>
      <c r="M1436" s="4"/>
      <c r="N1436" s="6"/>
      <c r="O1436" s="4"/>
      <c r="P1436" s="4"/>
      <c r="Q1436" s="4"/>
      <c r="R1436" s="4"/>
      <c r="S1436" s="4"/>
      <c r="T1436" s="4"/>
      <c r="U1436" s="4"/>
    </row>
    <row r="1437">
      <c r="A1437" s="4"/>
      <c r="B1437" s="17"/>
      <c r="C1437" s="4"/>
      <c r="D1437" s="4"/>
      <c r="E1437" s="4"/>
      <c r="F1437" s="4"/>
      <c r="G1437" s="17"/>
      <c r="H1437" s="4"/>
      <c r="I1437" s="4"/>
      <c r="J1437" s="4"/>
      <c r="K1437" s="6"/>
      <c r="L1437" s="17"/>
      <c r="M1437" s="4"/>
      <c r="N1437" s="6"/>
      <c r="O1437" s="4"/>
      <c r="P1437" s="4"/>
      <c r="Q1437" s="4"/>
      <c r="R1437" s="4"/>
      <c r="S1437" s="4"/>
      <c r="T1437" s="4"/>
      <c r="U1437" s="4"/>
    </row>
    <row r="1438">
      <c r="A1438" s="4"/>
      <c r="B1438" s="17"/>
      <c r="C1438" s="4"/>
      <c r="D1438" s="4"/>
      <c r="E1438" s="4"/>
      <c r="F1438" s="4"/>
      <c r="G1438" s="17"/>
      <c r="H1438" s="4"/>
      <c r="I1438" s="4"/>
      <c r="J1438" s="4"/>
      <c r="K1438" s="6"/>
      <c r="L1438" s="17"/>
      <c r="M1438" s="4"/>
      <c r="N1438" s="6"/>
      <c r="O1438" s="4"/>
      <c r="P1438" s="4"/>
      <c r="Q1438" s="4"/>
      <c r="R1438" s="4"/>
      <c r="S1438" s="4"/>
      <c r="T1438" s="4"/>
      <c r="U1438" s="4"/>
    </row>
    <row r="1439">
      <c r="A1439" s="4"/>
      <c r="B1439" s="17"/>
      <c r="C1439" s="4"/>
      <c r="D1439" s="4"/>
      <c r="E1439" s="4"/>
      <c r="F1439" s="4"/>
      <c r="G1439" s="17"/>
      <c r="H1439" s="4"/>
      <c r="I1439" s="4"/>
      <c r="J1439" s="4"/>
      <c r="K1439" s="6"/>
      <c r="L1439" s="17"/>
      <c r="M1439" s="4"/>
      <c r="N1439" s="6"/>
      <c r="O1439" s="4"/>
      <c r="P1439" s="4"/>
      <c r="Q1439" s="4"/>
      <c r="R1439" s="4"/>
      <c r="S1439" s="4"/>
      <c r="T1439" s="4"/>
      <c r="U1439" s="4"/>
    </row>
    <row r="1440">
      <c r="A1440" s="4"/>
      <c r="B1440" s="17"/>
      <c r="C1440" s="4"/>
      <c r="D1440" s="4"/>
      <c r="E1440" s="4"/>
      <c r="F1440" s="4"/>
      <c r="G1440" s="17"/>
      <c r="H1440" s="4"/>
      <c r="I1440" s="4"/>
      <c r="J1440" s="4"/>
      <c r="K1440" s="6"/>
      <c r="L1440" s="17"/>
      <c r="M1440" s="4"/>
      <c r="N1440" s="6"/>
      <c r="O1440" s="4"/>
      <c r="P1440" s="4"/>
      <c r="Q1440" s="4"/>
      <c r="R1440" s="4"/>
      <c r="S1440" s="4"/>
      <c r="T1440" s="4"/>
      <c r="U1440" s="4"/>
    </row>
    <row r="1441">
      <c r="A1441" s="4"/>
      <c r="B1441" s="17"/>
      <c r="C1441" s="4"/>
      <c r="D1441" s="4"/>
      <c r="E1441" s="4"/>
      <c r="F1441" s="4"/>
      <c r="G1441" s="17"/>
      <c r="H1441" s="4"/>
      <c r="I1441" s="4"/>
      <c r="J1441" s="4"/>
      <c r="K1441" s="6"/>
      <c r="L1441" s="17"/>
      <c r="M1441" s="4"/>
      <c r="N1441" s="6"/>
      <c r="O1441" s="4"/>
      <c r="P1441" s="4"/>
      <c r="Q1441" s="4"/>
      <c r="R1441" s="4"/>
      <c r="S1441" s="4"/>
      <c r="T1441" s="4"/>
      <c r="U1441" s="4"/>
    </row>
    <row r="1442">
      <c r="A1442" s="4"/>
      <c r="B1442" s="17"/>
      <c r="C1442" s="4"/>
      <c r="D1442" s="4"/>
      <c r="E1442" s="4"/>
      <c r="F1442" s="4"/>
      <c r="G1442" s="17"/>
      <c r="H1442" s="4"/>
      <c r="I1442" s="4"/>
      <c r="J1442" s="4"/>
      <c r="K1442" s="6"/>
      <c r="L1442" s="17"/>
      <c r="M1442" s="4"/>
      <c r="N1442" s="6"/>
      <c r="O1442" s="4"/>
      <c r="P1442" s="4"/>
      <c r="Q1442" s="4"/>
      <c r="R1442" s="4"/>
      <c r="S1442" s="4"/>
      <c r="T1442" s="4"/>
      <c r="U1442" s="4"/>
    </row>
    <row r="1443">
      <c r="A1443" s="4"/>
      <c r="B1443" s="17"/>
      <c r="C1443" s="4"/>
      <c r="D1443" s="4"/>
      <c r="E1443" s="4"/>
      <c r="F1443" s="4"/>
      <c r="G1443" s="17"/>
      <c r="H1443" s="4"/>
      <c r="I1443" s="4"/>
      <c r="J1443" s="4"/>
      <c r="K1443" s="6"/>
      <c r="L1443" s="17"/>
      <c r="M1443" s="4"/>
      <c r="N1443" s="6"/>
      <c r="O1443" s="4"/>
      <c r="P1443" s="4"/>
      <c r="Q1443" s="4"/>
      <c r="R1443" s="4"/>
      <c r="S1443" s="4"/>
      <c r="T1443" s="4"/>
      <c r="U1443" s="4"/>
    </row>
    <row r="1444">
      <c r="A1444" s="4"/>
      <c r="B1444" s="17"/>
      <c r="C1444" s="4"/>
      <c r="D1444" s="4"/>
      <c r="E1444" s="4"/>
      <c r="F1444" s="4"/>
      <c r="G1444" s="17"/>
      <c r="H1444" s="4"/>
      <c r="I1444" s="4"/>
      <c r="J1444" s="4"/>
      <c r="K1444" s="6"/>
      <c r="L1444" s="17"/>
      <c r="M1444" s="4"/>
      <c r="N1444" s="6"/>
      <c r="O1444" s="4"/>
      <c r="P1444" s="4"/>
      <c r="Q1444" s="4"/>
      <c r="R1444" s="4"/>
      <c r="S1444" s="4"/>
      <c r="T1444" s="4"/>
      <c r="U1444" s="4"/>
    </row>
    <row r="1445">
      <c r="A1445" s="4"/>
      <c r="B1445" s="17"/>
      <c r="C1445" s="4"/>
      <c r="D1445" s="4"/>
      <c r="E1445" s="4"/>
      <c r="F1445" s="4"/>
      <c r="G1445" s="17"/>
      <c r="H1445" s="4"/>
      <c r="I1445" s="4"/>
      <c r="J1445" s="4"/>
      <c r="K1445" s="6"/>
      <c r="L1445" s="17"/>
      <c r="M1445" s="4"/>
      <c r="N1445" s="6"/>
      <c r="O1445" s="4"/>
      <c r="P1445" s="4"/>
      <c r="Q1445" s="4"/>
      <c r="R1445" s="4"/>
      <c r="S1445" s="4"/>
      <c r="T1445" s="4"/>
      <c r="U1445" s="4"/>
    </row>
    <row r="1446">
      <c r="A1446" s="4"/>
      <c r="B1446" s="17"/>
      <c r="C1446" s="4"/>
      <c r="D1446" s="4"/>
      <c r="E1446" s="4"/>
      <c r="F1446" s="4"/>
      <c r="G1446" s="17"/>
      <c r="H1446" s="4"/>
      <c r="I1446" s="4"/>
      <c r="J1446" s="4"/>
      <c r="K1446" s="6"/>
      <c r="L1446" s="17"/>
      <c r="M1446" s="4"/>
      <c r="N1446" s="6"/>
      <c r="O1446" s="4"/>
      <c r="P1446" s="4"/>
      <c r="Q1446" s="4"/>
      <c r="R1446" s="4"/>
      <c r="S1446" s="4"/>
      <c r="T1446" s="4"/>
      <c r="U1446" s="4"/>
    </row>
    <row r="1447">
      <c r="A1447" s="4"/>
      <c r="B1447" s="17"/>
      <c r="C1447" s="4"/>
      <c r="D1447" s="4"/>
      <c r="E1447" s="4"/>
      <c r="F1447" s="4"/>
      <c r="G1447" s="17"/>
      <c r="H1447" s="4"/>
      <c r="I1447" s="4"/>
      <c r="J1447" s="4"/>
      <c r="K1447" s="6"/>
      <c r="L1447" s="17"/>
      <c r="M1447" s="4"/>
      <c r="N1447" s="6"/>
      <c r="O1447" s="4"/>
      <c r="P1447" s="4"/>
      <c r="Q1447" s="4"/>
      <c r="R1447" s="4"/>
      <c r="S1447" s="4"/>
      <c r="T1447" s="4"/>
      <c r="U1447" s="4"/>
    </row>
    <row r="1448">
      <c r="A1448" s="4"/>
      <c r="B1448" s="17"/>
      <c r="C1448" s="4"/>
      <c r="D1448" s="4"/>
      <c r="E1448" s="4"/>
      <c r="F1448" s="4"/>
      <c r="G1448" s="17"/>
      <c r="H1448" s="4"/>
      <c r="I1448" s="4"/>
      <c r="J1448" s="4"/>
      <c r="K1448" s="6"/>
      <c r="L1448" s="17"/>
      <c r="M1448" s="4"/>
      <c r="N1448" s="6"/>
      <c r="O1448" s="4"/>
      <c r="P1448" s="4"/>
      <c r="Q1448" s="4"/>
      <c r="R1448" s="4"/>
      <c r="S1448" s="4"/>
      <c r="T1448" s="4"/>
      <c r="U1448" s="4"/>
    </row>
    <row r="1449">
      <c r="A1449" s="4"/>
      <c r="B1449" s="17"/>
      <c r="C1449" s="4"/>
      <c r="D1449" s="4"/>
      <c r="E1449" s="4"/>
      <c r="F1449" s="4"/>
      <c r="G1449" s="17"/>
      <c r="H1449" s="4"/>
      <c r="I1449" s="4"/>
      <c r="J1449" s="4"/>
      <c r="K1449" s="6"/>
      <c r="L1449" s="17"/>
      <c r="M1449" s="4"/>
      <c r="N1449" s="6"/>
      <c r="O1449" s="4"/>
      <c r="P1449" s="4"/>
      <c r="Q1449" s="4"/>
      <c r="R1449" s="4"/>
      <c r="S1449" s="4"/>
      <c r="T1449" s="4"/>
      <c r="U1449" s="4"/>
    </row>
    <row r="1450">
      <c r="A1450" s="4"/>
      <c r="B1450" s="17"/>
      <c r="C1450" s="4"/>
      <c r="D1450" s="4"/>
      <c r="E1450" s="4"/>
      <c r="F1450" s="4"/>
      <c r="G1450" s="17"/>
      <c r="H1450" s="4"/>
      <c r="I1450" s="4"/>
      <c r="J1450" s="4"/>
      <c r="K1450" s="6"/>
      <c r="L1450" s="17"/>
      <c r="M1450" s="4"/>
      <c r="N1450" s="6"/>
      <c r="O1450" s="4"/>
      <c r="P1450" s="4"/>
      <c r="Q1450" s="4"/>
      <c r="R1450" s="4"/>
      <c r="S1450" s="4"/>
      <c r="T1450" s="4"/>
      <c r="U1450" s="4"/>
    </row>
    <row r="1451">
      <c r="A1451" s="4"/>
      <c r="B1451" s="17"/>
      <c r="C1451" s="4"/>
      <c r="D1451" s="4"/>
      <c r="E1451" s="4"/>
      <c r="F1451" s="4"/>
      <c r="G1451" s="17"/>
      <c r="H1451" s="4"/>
      <c r="I1451" s="4"/>
      <c r="J1451" s="4"/>
      <c r="K1451" s="6"/>
      <c r="L1451" s="17"/>
      <c r="M1451" s="4"/>
      <c r="N1451" s="6"/>
      <c r="O1451" s="4"/>
      <c r="P1451" s="4"/>
      <c r="Q1451" s="4"/>
      <c r="R1451" s="4"/>
      <c r="S1451" s="4"/>
      <c r="T1451" s="4"/>
      <c r="U1451" s="4"/>
    </row>
    <row r="1452">
      <c r="A1452" s="4"/>
      <c r="B1452" s="17"/>
      <c r="C1452" s="4"/>
      <c r="D1452" s="4"/>
      <c r="E1452" s="4"/>
      <c r="F1452" s="4"/>
      <c r="G1452" s="17"/>
      <c r="H1452" s="4"/>
      <c r="I1452" s="4"/>
      <c r="J1452" s="4"/>
      <c r="K1452" s="6"/>
      <c r="L1452" s="17"/>
      <c r="M1452" s="4"/>
      <c r="N1452" s="6"/>
      <c r="O1452" s="4"/>
      <c r="P1452" s="4"/>
      <c r="Q1452" s="4"/>
      <c r="R1452" s="4"/>
      <c r="S1452" s="4"/>
      <c r="T1452" s="4"/>
      <c r="U1452" s="4"/>
    </row>
    <row r="1453">
      <c r="A1453" s="4"/>
      <c r="B1453" s="17"/>
      <c r="C1453" s="4"/>
      <c r="D1453" s="4"/>
      <c r="E1453" s="4"/>
      <c r="F1453" s="4"/>
      <c r="G1453" s="17"/>
      <c r="H1453" s="4"/>
      <c r="I1453" s="4"/>
      <c r="J1453" s="4"/>
      <c r="K1453" s="6"/>
      <c r="L1453" s="17"/>
      <c r="M1453" s="4"/>
      <c r="N1453" s="6"/>
      <c r="O1453" s="4"/>
      <c r="P1453" s="4"/>
      <c r="Q1453" s="4"/>
      <c r="R1453" s="4"/>
      <c r="S1453" s="4"/>
      <c r="T1453" s="4"/>
      <c r="U1453" s="4"/>
    </row>
    <row r="1454">
      <c r="A1454" s="4"/>
      <c r="B1454" s="17"/>
      <c r="C1454" s="4"/>
      <c r="D1454" s="4"/>
      <c r="E1454" s="4"/>
      <c r="F1454" s="4"/>
      <c r="G1454" s="17"/>
      <c r="H1454" s="4"/>
      <c r="I1454" s="4"/>
      <c r="J1454" s="4"/>
      <c r="K1454" s="6"/>
      <c r="L1454" s="17"/>
      <c r="M1454" s="4"/>
      <c r="N1454" s="6"/>
      <c r="O1454" s="4"/>
      <c r="P1454" s="4"/>
      <c r="Q1454" s="4"/>
      <c r="R1454" s="4"/>
      <c r="S1454" s="4"/>
      <c r="T1454" s="4"/>
      <c r="U1454" s="4"/>
    </row>
    <row r="1455">
      <c r="A1455" s="4"/>
      <c r="B1455" s="17"/>
      <c r="C1455" s="4"/>
      <c r="D1455" s="4"/>
      <c r="E1455" s="4"/>
      <c r="F1455" s="4"/>
      <c r="G1455" s="17"/>
      <c r="H1455" s="4"/>
      <c r="I1455" s="4"/>
      <c r="J1455" s="4"/>
      <c r="K1455" s="6"/>
      <c r="L1455" s="17"/>
      <c r="M1455" s="4"/>
      <c r="N1455" s="6"/>
      <c r="O1455" s="4"/>
      <c r="P1455" s="4"/>
      <c r="Q1455" s="4"/>
      <c r="R1455" s="4"/>
      <c r="S1455" s="4"/>
      <c r="T1455" s="4"/>
      <c r="U1455" s="4"/>
    </row>
    <row r="1456">
      <c r="A1456" s="4"/>
      <c r="B1456" s="17"/>
      <c r="C1456" s="4"/>
      <c r="D1456" s="4"/>
      <c r="E1456" s="4"/>
      <c r="F1456" s="4"/>
      <c r="G1456" s="17"/>
      <c r="H1456" s="4"/>
      <c r="I1456" s="4"/>
      <c r="J1456" s="4"/>
      <c r="K1456" s="6"/>
      <c r="L1456" s="17"/>
      <c r="M1456" s="4"/>
      <c r="N1456" s="6"/>
      <c r="O1456" s="4"/>
      <c r="P1456" s="4"/>
      <c r="Q1456" s="4"/>
      <c r="R1456" s="4"/>
      <c r="S1456" s="4"/>
      <c r="T1456" s="4"/>
      <c r="U1456" s="4"/>
    </row>
    <row r="1457">
      <c r="A1457" s="4"/>
      <c r="B1457" s="17"/>
      <c r="C1457" s="4"/>
      <c r="D1457" s="4"/>
      <c r="E1457" s="4"/>
      <c r="F1457" s="4"/>
      <c r="G1457" s="17"/>
      <c r="H1457" s="4"/>
      <c r="I1457" s="4"/>
      <c r="J1457" s="4"/>
      <c r="K1457" s="6"/>
      <c r="L1457" s="17"/>
      <c r="M1457" s="4"/>
      <c r="N1457" s="6"/>
      <c r="O1457" s="4"/>
      <c r="P1457" s="4"/>
      <c r="Q1457" s="4"/>
      <c r="R1457" s="4"/>
      <c r="S1457" s="4"/>
      <c r="T1457" s="4"/>
      <c r="U1457" s="4"/>
    </row>
    <row r="1458">
      <c r="A1458" s="4"/>
      <c r="B1458" s="17"/>
      <c r="C1458" s="4"/>
      <c r="D1458" s="4"/>
      <c r="E1458" s="4"/>
      <c r="F1458" s="4"/>
      <c r="G1458" s="17"/>
      <c r="H1458" s="4"/>
      <c r="I1458" s="4"/>
      <c r="J1458" s="4"/>
      <c r="K1458" s="6"/>
      <c r="L1458" s="17"/>
      <c r="M1458" s="4"/>
      <c r="N1458" s="6"/>
      <c r="O1458" s="4"/>
      <c r="P1458" s="4"/>
      <c r="Q1458" s="4"/>
      <c r="R1458" s="4"/>
      <c r="S1458" s="4"/>
      <c r="T1458" s="4"/>
      <c r="U1458" s="4"/>
    </row>
    <row r="1459">
      <c r="A1459" s="4"/>
      <c r="B1459" s="17"/>
      <c r="C1459" s="4"/>
      <c r="D1459" s="4"/>
      <c r="E1459" s="4"/>
      <c r="F1459" s="4"/>
      <c r="G1459" s="17"/>
      <c r="H1459" s="4"/>
      <c r="I1459" s="4"/>
      <c r="J1459" s="4"/>
      <c r="K1459" s="6"/>
      <c r="L1459" s="17"/>
      <c r="M1459" s="4"/>
      <c r="N1459" s="6"/>
      <c r="O1459" s="4"/>
      <c r="P1459" s="4"/>
      <c r="Q1459" s="4"/>
      <c r="R1459" s="4"/>
      <c r="S1459" s="4"/>
      <c r="T1459" s="4"/>
      <c r="U1459" s="4"/>
    </row>
    <row r="1460">
      <c r="A1460" s="4"/>
      <c r="B1460" s="17"/>
      <c r="C1460" s="4"/>
      <c r="D1460" s="4"/>
      <c r="E1460" s="4"/>
      <c r="F1460" s="4"/>
      <c r="G1460" s="17"/>
      <c r="H1460" s="4"/>
      <c r="I1460" s="4"/>
      <c r="J1460" s="4"/>
      <c r="K1460" s="6"/>
      <c r="L1460" s="17"/>
      <c r="M1460" s="4"/>
      <c r="N1460" s="6"/>
      <c r="O1460" s="4"/>
      <c r="P1460" s="4"/>
      <c r="Q1460" s="4"/>
      <c r="R1460" s="4"/>
      <c r="S1460" s="4"/>
      <c r="T1460" s="4"/>
      <c r="U1460" s="4"/>
    </row>
    <row r="1461">
      <c r="A1461" s="4"/>
      <c r="B1461" s="17"/>
      <c r="C1461" s="4"/>
      <c r="D1461" s="4"/>
      <c r="E1461" s="4"/>
      <c r="F1461" s="4"/>
      <c r="G1461" s="17"/>
      <c r="H1461" s="4"/>
      <c r="I1461" s="4"/>
      <c r="J1461" s="4"/>
      <c r="K1461" s="6"/>
      <c r="L1461" s="17"/>
      <c r="M1461" s="4"/>
      <c r="N1461" s="6"/>
      <c r="O1461" s="4"/>
      <c r="P1461" s="4"/>
      <c r="Q1461" s="4"/>
      <c r="R1461" s="4"/>
      <c r="S1461" s="4"/>
      <c r="T1461" s="4"/>
      <c r="U1461" s="4"/>
    </row>
    <row r="1462">
      <c r="A1462" s="4"/>
      <c r="B1462" s="17"/>
      <c r="C1462" s="4"/>
      <c r="D1462" s="4"/>
      <c r="E1462" s="4"/>
      <c r="F1462" s="4"/>
      <c r="G1462" s="17"/>
      <c r="H1462" s="4"/>
      <c r="I1462" s="4"/>
      <c r="J1462" s="4"/>
      <c r="K1462" s="6"/>
      <c r="L1462" s="17"/>
      <c r="M1462" s="4"/>
      <c r="N1462" s="6"/>
      <c r="O1462" s="4"/>
      <c r="P1462" s="4"/>
      <c r="Q1462" s="4"/>
      <c r="R1462" s="4"/>
      <c r="S1462" s="4"/>
      <c r="T1462" s="4"/>
      <c r="U1462" s="4"/>
    </row>
    <row r="1463">
      <c r="A1463" s="4"/>
      <c r="B1463" s="17"/>
      <c r="C1463" s="4"/>
      <c r="D1463" s="4"/>
      <c r="E1463" s="4"/>
      <c r="F1463" s="4"/>
      <c r="G1463" s="17"/>
      <c r="H1463" s="4"/>
      <c r="I1463" s="4"/>
      <c r="J1463" s="4"/>
      <c r="K1463" s="6"/>
      <c r="L1463" s="17"/>
      <c r="M1463" s="4"/>
      <c r="N1463" s="6"/>
      <c r="O1463" s="4"/>
      <c r="P1463" s="4"/>
      <c r="Q1463" s="4"/>
      <c r="R1463" s="4"/>
      <c r="S1463" s="4"/>
      <c r="T1463" s="4"/>
      <c r="U1463" s="4"/>
    </row>
    <row r="1464">
      <c r="A1464" s="4"/>
      <c r="B1464" s="17"/>
      <c r="C1464" s="4"/>
      <c r="D1464" s="4"/>
      <c r="E1464" s="4"/>
      <c r="F1464" s="4"/>
      <c r="G1464" s="17"/>
      <c r="H1464" s="4"/>
      <c r="I1464" s="4"/>
      <c r="J1464" s="4"/>
      <c r="K1464" s="6"/>
      <c r="L1464" s="17"/>
      <c r="M1464" s="4"/>
      <c r="N1464" s="6"/>
      <c r="O1464" s="4"/>
      <c r="P1464" s="4"/>
      <c r="Q1464" s="4"/>
      <c r="R1464" s="4"/>
      <c r="S1464" s="4"/>
      <c r="T1464" s="4"/>
      <c r="U1464" s="4"/>
    </row>
    <row r="1465">
      <c r="A1465" s="4"/>
      <c r="B1465" s="17"/>
      <c r="C1465" s="4"/>
      <c r="D1465" s="4"/>
      <c r="E1465" s="4"/>
      <c r="F1465" s="4"/>
      <c r="G1465" s="17"/>
      <c r="H1465" s="4"/>
      <c r="I1465" s="4"/>
      <c r="J1465" s="4"/>
      <c r="K1465" s="6"/>
      <c r="L1465" s="17"/>
      <c r="M1465" s="4"/>
      <c r="N1465" s="6"/>
      <c r="O1465" s="4"/>
      <c r="P1465" s="4"/>
      <c r="Q1465" s="4"/>
      <c r="R1465" s="4"/>
      <c r="S1465" s="4"/>
      <c r="T1465" s="4"/>
      <c r="U1465" s="4"/>
    </row>
    <row r="1466">
      <c r="A1466" s="4"/>
      <c r="B1466" s="17"/>
      <c r="C1466" s="4"/>
      <c r="D1466" s="4"/>
      <c r="E1466" s="4"/>
      <c r="F1466" s="4"/>
      <c r="G1466" s="17"/>
      <c r="H1466" s="4"/>
      <c r="I1466" s="4"/>
      <c r="J1466" s="4"/>
      <c r="K1466" s="6"/>
      <c r="L1466" s="17"/>
      <c r="M1466" s="4"/>
      <c r="N1466" s="6"/>
      <c r="O1466" s="4"/>
      <c r="P1466" s="4"/>
      <c r="Q1466" s="4"/>
      <c r="R1466" s="4"/>
      <c r="S1466" s="4"/>
      <c r="T1466" s="4"/>
      <c r="U1466" s="4"/>
    </row>
    <row r="1467">
      <c r="A1467" s="4"/>
      <c r="B1467" s="17"/>
      <c r="C1467" s="4"/>
      <c r="D1467" s="4"/>
      <c r="E1467" s="4"/>
      <c r="F1467" s="4"/>
      <c r="G1467" s="17"/>
      <c r="H1467" s="4"/>
      <c r="I1467" s="4"/>
      <c r="J1467" s="4"/>
      <c r="K1467" s="6"/>
      <c r="L1467" s="17"/>
      <c r="M1467" s="4"/>
      <c r="N1467" s="6"/>
      <c r="O1467" s="4"/>
      <c r="P1467" s="4"/>
      <c r="Q1467" s="4"/>
      <c r="R1467" s="4"/>
      <c r="S1467" s="4"/>
      <c r="T1467" s="4"/>
      <c r="U1467" s="4"/>
    </row>
    <row r="1468">
      <c r="A1468" s="4"/>
      <c r="B1468" s="17"/>
      <c r="C1468" s="4"/>
      <c r="D1468" s="4"/>
      <c r="E1468" s="4"/>
      <c r="F1468" s="4"/>
      <c r="G1468" s="17"/>
      <c r="H1468" s="4"/>
      <c r="I1468" s="4"/>
      <c r="J1468" s="4"/>
      <c r="K1468" s="6"/>
      <c r="L1468" s="17"/>
      <c r="M1468" s="4"/>
      <c r="N1468" s="6"/>
      <c r="O1468" s="4"/>
      <c r="P1468" s="4"/>
      <c r="Q1468" s="4"/>
      <c r="R1468" s="4"/>
      <c r="S1468" s="4"/>
      <c r="T1468" s="4"/>
      <c r="U1468" s="4"/>
    </row>
    <row r="1469">
      <c r="A1469" s="4"/>
      <c r="B1469" s="17"/>
      <c r="C1469" s="4"/>
      <c r="D1469" s="4"/>
      <c r="E1469" s="4"/>
      <c r="F1469" s="4"/>
      <c r="G1469" s="17"/>
      <c r="H1469" s="4"/>
      <c r="I1469" s="4"/>
      <c r="J1469" s="4"/>
      <c r="K1469" s="6"/>
      <c r="L1469" s="17"/>
      <c r="M1469" s="4"/>
      <c r="N1469" s="6"/>
      <c r="O1469" s="4"/>
      <c r="P1469" s="4"/>
      <c r="Q1469" s="4"/>
      <c r="R1469" s="4"/>
      <c r="S1469" s="4"/>
      <c r="T1469" s="4"/>
      <c r="U1469" s="4"/>
    </row>
    <row r="1470">
      <c r="A1470" s="4"/>
      <c r="B1470" s="17"/>
      <c r="C1470" s="4"/>
      <c r="D1470" s="4"/>
      <c r="E1470" s="4"/>
      <c r="F1470" s="4"/>
      <c r="G1470" s="17"/>
      <c r="H1470" s="4"/>
      <c r="I1470" s="4"/>
      <c r="J1470" s="4"/>
      <c r="K1470" s="6"/>
      <c r="L1470" s="17"/>
      <c r="M1470" s="4"/>
      <c r="N1470" s="6"/>
      <c r="O1470" s="4"/>
      <c r="P1470" s="4"/>
      <c r="Q1470" s="4"/>
      <c r="R1470" s="4"/>
      <c r="S1470" s="4"/>
      <c r="T1470" s="4"/>
      <c r="U1470" s="4"/>
    </row>
    <row r="1471">
      <c r="A1471" s="4"/>
      <c r="B1471" s="17"/>
      <c r="C1471" s="4"/>
      <c r="D1471" s="4"/>
      <c r="E1471" s="4"/>
      <c r="F1471" s="4"/>
      <c r="G1471" s="17"/>
      <c r="H1471" s="4"/>
      <c r="I1471" s="4"/>
      <c r="J1471" s="4"/>
      <c r="K1471" s="6"/>
      <c r="L1471" s="17"/>
      <c r="M1471" s="4"/>
      <c r="N1471" s="6"/>
      <c r="O1471" s="4"/>
      <c r="P1471" s="4"/>
      <c r="Q1471" s="4"/>
      <c r="R1471" s="4"/>
      <c r="S1471" s="4"/>
      <c r="T1471" s="4"/>
      <c r="U1471" s="4"/>
    </row>
    <row r="1472">
      <c r="A1472" s="4"/>
      <c r="B1472" s="17"/>
      <c r="C1472" s="4"/>
      <c r="D1472" s="4"/>
      <c r="E1472" s="4"/>
      <c r="F1472" s="4"/>
      <c r="G1472" s="17"/>
      <c r="H1472" s="4"/>
      <c r="I1472" s="4"/>
      <c r="J1472" s="4"/>
      <c r="K1472" s="6"/>
      <c r="L1472" s="17"/>
      <c r="M1472" s="4"/>
      <c r="N1472" s="6"/>
      <c r="O1472" s="4"/>
      <c r="P1472" s="4"/>
      <c r="Q1472" s="4"/>
      <c r="R1472" s="4"/>
      <c r="S1472" s="4"/>
      <c r="T1472" s="4"/>
      <c r="U1472" s="4"/>
    </row>
    <row r="1473">
      <c r="A1473" s="4"/>
      <c r="B1473" s="17"/>
      <c r="C1473" s="4"/>
      <c r="D1473" s="4"/>
      <c r="E1473" s="4"/>
      <c r="F1473" s="4"/>
      <c r="G1473" s="17"/>
      <c r="H1473" s="4"/>
      <c r="I1473" s="4"/>
      <c r="J1473" s="4"/>
      <c r="K1473" s="6"/>
      <c r="L1473" s="17"/>
      <c r="M1473" s="4"/>
      <c r="N1473" s="6"/>
      <c r="O1473" s="4"/>
      <c r="P1473" s="4"/>
      <c r="Q1473" s="4"/>
      <c r="R1473" s="4"/>
      <c r="S1473" s="4"/>
      <c r="T1473" s="4"/>
      <c r="U1473" s="4"/>
    </row>
    <row r="1474">
      <c r="A1474" s="4"/>
      <c r="B1474" s="17"/>
      <c r="C1474" s="4"/>
      <c r="D1474" s="4"/>
      <c r="E1474" s="4"/>
      <c r="F1474" s="4"/>
      <c r="G1474" s="17"/>
      <c r="H1474" s="4"/>
      <c r="I1474" s="4"/>
      <c r="J1474" s="4"/>
      <c r="K1474" s="6"/>
      <c r="L1474" s="17"/>
      <c r="M1474" s="4"/>
      <c r="N1474" s="6"/>
      <c r="O1474" s="4"/>
      <c r="P1474" s="4"/>
      <c r="Q1474" s="4"/>
      <c r="R1474" s="4"/>
      <c r="S1474" s="4"/>
      <c r="T1474" s="4"/>
      <c r="U1474" s="4"/>
    </row>
    <row r="1475">
      <c r="A1475" s="4"/>
      <c r="B1475" s="17"/>
      <c r="C1475" s="4"/>
      <c r="D1475" s="4"/>
      <c r="E1475" s="4"/>
      <c r="F1475" s="4"/>
      <c r="G1475" s="17"/>
      <c r="H1475" s="4"/>
      <c r="I1475" s="4"/>
      <c r="J1475" s="4"/>
      <c r="K1475" s="6"/>
      <c r="L1475" s="17"/>
      <c r="M1475" s="4"/>
      <c r="N1475" s="6"/>
      <c r="O1475" s="4"/>
      <c r="P1475" s="4"/>
      <c r="Q1475" s="4"/>
      <c r="R1475" s="4"/>
      <c r="S1475" s="4"/>
      <c r="T1475" s="4"/>
      <c r="U1475" s="4"/>
    </row>
    <row r="1476">
      <c r="A1476" s="4"/>
      <c r="B1476" s="17"/>
      <c r="C1476" s="4"/>
      <c r="D1476" s="4"/>
      <c r="E1476" s="4"/>
      <c r="F1476" s="4"/>
      <c r="G1476" s="17"/>
      <c r="H1476" s="4"/>
      <c r="I1476" s="4"/>
      <c r="J1476" s="4"/>
      <c r="K1476" s="6"/>
      <c r="L1476" s="17"/>
      <c r="M1476" s="4"/>
      <c r="N1476" s="6"/>
      <c r="O1476" s="4"/>
      <c r="P1476" s="4"/>
      <c r="Q1476" s="4"/>
      <c r="R1476" s="4"/>
      <c r="S1476" s="4"/>
      <c r="T1476" s="4"/>
      <c r="U1476" s="4"/>
    </row>
    <row r="1477">
      <c r="A1477" s="4"/>
      <c r="B1477" s="17"/>
      <c r="C1477" s="4"/>
      <c r="D1477" s="4"/>
      <c r="E1477" s="4"/>
      <c r="F1477" s="4"/>
      <c r="G1477" s="17"/>
      <c r="H1477" s="4"/>
      <c r="I1477" s="4"/>
      <c r="J1477" s="4"/>
      <c r="K1477" s="6"/>
      <c r="L1477" s="17"/>
      <c r="M1477" s="4"/>
      <c r="N1477" s="6"/>
      <c r="O1477" s="4"/>
      <c r="P1477" s="4"/>
      <c r="Q1477" s="4"/>
      <c r="R1477" s="4"/>
      <c r="S1477" s="4"/>
      <c r="T1477" s="4"/>
      <c r="U1477" s="4"/>
    </row>
    <row r="1478">
      <c r="A1478" s="4"/>
      <c r="B1478" s="17"/>
      <c r="C1478" s="4"/>
      <c r="D1478" s="4"/>
      <c r="E1478" s="4"/>
      <c r="F1478" s="4"/>
      <c r="G1478" s="17"/>
      <c r="H1478" s="4"/>
      <c r="I1478" s="4"/>
      <c r="J1478" s="4"/>
      <c r="K1478" s="6"/>
      <c r="L1478" s="17"/>
      <c r="M1478" s="4"/>
      <c r="N1478" s="6"/>
      <c r="O1478" s="4"/>
      <c r="P1478" s="4"/>
      <c r="Q1478" s="4"/>
      <c r="R1478" s="4"/>
      <c r="S1478" s="4"/>
      <c r="T1478" s="4"/>
      <c r="U1478" s="4"/>
    </row>
    <row r="1479">
      <c r="A1479" s="4"/>
      <c r="B1479" s="17"/>
      <c r="C1479" s="4"/>
      <c r="D1479" s="4"/>
      <c r="E1479" s="4"/>
      <c r="F1479" s="4"/>
      <c r="G1479" s="17"/>
      <c r="H1479" s="4"/>
      <c r="I1479" s="4"/>
      <c r="J1479" s="4"/>
      <c r="K1479" s="6"/>
      <c r="L1479" s="17"/>
      <c r="M1479" s="4"/>
      <c r="N1479" s="6"/>
      <c r="O1479" s="4"/>
      <c r="P1479" s="4"/>
      <c r="Q1479" s="4"/>
      <c r="R1479" s="4"/>
      <c r="S1479" s="4"/>
      <c r="T1479" s="4"/>
      <c r="U1479" s="4"/>
    </row>
    <row r="1480">
      <c r="A1480" s="4"/>
      <c r="B1480" s="17"/>
      <c r="C1480" s="4"/>
      <c r="D1480" s="4"/>
      <c r="E1480" s="4"/>
      <c r="F1480" s="4"/>
      <c r="G1480" s="17"/>
      <c r="H1480" s="4"/>
      <c r="I1480" s="4"/>
      <c r="J1480" s="4"/>
      <c r="K1480" s="6"/>
      <c r="L1480" s="17"/>
      <c r="M1480" s="4"/>
      <c r="N1480" s="6"/>
      <c r="O1480" s="4"/>
      <c r="P1480" s="4"/>
      <c r="Q1480" s="4"/>
      <c r="R1480" s="4"/>
      <c r="S1480" s="4"/>
      <c r="T1480" s="4"/>
      <c r="U1480" s="4"/>
    </row>
    <row r="1481">
      <c r="A1481" s="4"/>
      <c r="B1481" s="17"/>
      <c r="C1481" s="4"/>
      <c r="D1481" s="4"/>
      <c r="E1481" s="4"/>
      <c r="F1481" s="4"/>
      <c r="G1481" s="17"/>
      <c r="H1481" s="4"/>
      <c r="I1481" s="4"/>
      <c r="J1481" s="4"/>
      <c r="K1481" s="6"/>
      <c r="L1481" s="17"/>
      <c r="M1481" s="4"/>
      <c r="N1481" s="6"/>
      <c r="O1481" s="4"/>
      <c r="P1481" s="4"/>
      <c r="Q1481" s="4"/>
      <c r="R1481" s="4"/>
      <c r="S1481" s="4"/>
      <c r="T1481" s="4"/>
      <c r="U1481" s="4"/>
    </row>
    <row r="1482">
      <c r="A1482" s="4"/>
      <c r="B1482" s="17"/>
      <c r="C1482" s="4"/>
      <c r="D1482" s="4"/>
      <c r="E1482" s="4"/>
      <c r="F1482" s="4"/>
      <c r="G1482" s="17"/>
      <c r="H1482" s="4"/>
      <c r="I1482" s="4"/>
      <c r="J1482" s="4"/>
      <c r="K1482" s="6"/>
      <c r="L1482" s="17"/>
      <c r="M1482" s="4"/>
      <c r="N1482" s="6"/>
      <c r="O1482" s="4"/>
      <c r="P1482" s="4"/>
      <c r="Q1482" s="4"/>
      <c r="R1482" s="4"/>
      <c r="S1482" s="4"/>
      <c r="T1482" s="4"/>
      <c r="U1482" s="4"/>
    </row>
    <row r="1483">
      <c r="A1483" s="4"/>
      <c r="B1483" s="17"/>
      <c r="C1483" s="4"/>
      <c r="D1483" s="4"/>
      <c r="E1483" s="4"/>
      <c r="F1483" s="4"/>
      <c r="G1483" s="17"/>
      <c r="H1483" s="4"/>
      <c r="I1483" s="4"/>
      <c r="J1483" s="4"/>
      <c r="K1483" s="6"/>
      <c r="L1483" s="17"/>
      <c r="M1483" s="4"/>
      <c r="N1483" s="6"/>
      <c r="O1483" s="4"/>
      <c r="P1483" s="4"/>
      <c r="Q1483" s="4"/>
      <c r="R1483" s="4"/>
      <c r="S1483" s="4"/>
      <c r="T1483" s="4"/>
      <c r="U1483" s="4"/>
    </row>
    <row r="1484">
      <c r="A1484" s="4"/>
      <c r="B1484" s="17"/>
      <c r="C1484" s="4"/>
      <c r="D1484" s="4"/>
      <c r="E1484" s="4"/>
      <c r="F1484" s="4"/>
      <c r="G1484" s="17"/>
      <c r="H1484" s="4"/>
      <c r="I1484" s="4"/>
      <c r="J1484" s="4"/>
      <c r="K1484" s="6"/>
      <c r="L1484" s="17"/>
      <c r="M1484" s="4"/>
      <c r="N1484" s="6"/>
      <c r="O1484" s="4"/>
      <c r="P1484" s="4"/>
      <c r="Q1484" s="4"/>
      <c r="R1484" s="4"/>
      <c r="S1484" s="4"/>
      <c r="T1484" s="4"/>
      <c r="U1484" s="4"/>
    </row>
    <row r="1485">
      <c r="A1485" s="4"/>
      <c r="B1485" s="17"/>
      <c r="C1485" s="4"/>
      <c r="D1485" s="4"/>
      <c r="E1485" s="4"/>
      <c r="F1485" s="4"/>
      <c r="G1485" s="17"/>
      <c r="H1485" s="4"/>
      <c r="I1485" s="4"/>
      <c r="J1485" s="4"/>
      <c r="K1485" s="6"/>
      <c r="L1485" s="17"/>
      <c r="M1485" s="4"/>
      <c r="N1485" s="6"/>
      <c r="O1485" s="4"/>
      <c r="P1485" s="4"/>
      <c r="Q1485" s="4"/>
      <c r="R1485" s="4"/>
      <c r="S1485" s="4"/>
      <c r="T1485" s="4"/>
      <c r="U1485" s="4"/>
    </row>
    <row r="1486">
      <c r="A1486" s="4"/>
      <c r="B1486" s="17"/>
      <c r="C1486" s="4"/>
      <c r="D1486" s="4"/>
      <c r="E1486" s="4"/>
      <c r="F1486" s="4"/>
      <c r="G1486" s="17"/>
      <c r="H1486" s="4"/>
      <c r="I1486" s="4"/>
      <c r="J1486" s="4"/>
      <c r="K1486" s="6"/>
      <c r="L1486" s="17"/>
      <c r="M1486" s="4"/>
      <c r="N1486" s="6"/>
      <c r="O1486" s="4"/>
      <c r="P1486" s="4"/>
      <c r="Q1486" s="4"/>
      <c r="R1486" s="4"/>
      <c r="S1486" s="4"/>
      <c r="T1486" s="4"/>
      <c r="U1486" s="4"/>
    </row>
    <row r="1487">
      <c r="A1487" s="4"/>
      <c r="B1487" s="17"/>
      <c r="C1487" s="4"/>
      <c r="D1487" s="4"/>
      <c r="E1487" s="4"/>
      <c r="F1487" s="4"/>
      <c r="G1487" s="17"/>
      <c r="H1487" s="4"/>
      <c r="I1487" s="4"/>
      <c r="J1487" s="4"/>
      <c r="K1487" s="6"/>
      <c r="L1487" s="17"/>
      <c r="M1487" s="4"/>
      <c r="N1487" s="6"/>
      <c r="O1487" s="4"/>
      <c r="P1487" s="4"/>
      <c r="Q1487" s="4"/>
      <c r="R1487" s="4"/>
      <c r="S1487" s="4"/>
      <c r="T1487" s="4"/>
      <c r="U1487" s="4"/>
    </row>
    <row r="1488">
      <c r="A1488" s="4"/>
      <c r="B1488" s="17"/>
      <c r="C1488" s="4"/>
      <c r="D1488" s="4"/>
      <c r="E1488" s="4"/>
      <c r="F1488" s="4"/>
      <c r="G1488" s="17"/>
      <c r="H1488" s="4"/>
      <c r="I1488" s="4"/>
      <c r="J1488" s="4"/>
      <c r="K1488" s="6"/>
      <c r="L1488" s="17"/>
      <c r="M1488" s="4"/>
      <c r="N1488" s="6"/>
      <c r="O1488" s="4"/>
      <c r="P1488" s="4"/>
      <c r="Q1488" s="4"/>
      <c r="R1488" s="4"/>
      <c r="S1488" s="4"/>
      <c r="T1488" s="4"/>
      <c r="U1488" s="4"/>
    </row>
    <row r="1489">
      <c r="A1489" s="4"/>
      <c r="B1489" s="17"/>
      <c r="C1489" s="4"/>
      <c r="D1489" s="4"/>
      <c r="E1489" s="4"/>
      <c r="F1489" s="4"/>
      <c r="G1489" s="17"/>
      <c r="H1489" s="4"/>
      <c r="I1489" s="4"/>
      <c r="J1489" s="4"/>
      <c r="K1489" s="6"/>
      <c r="L1489" s="17"/>
      <c r="M1489" s="4"/>
      <c r="N1489" s="6"/>
      <c r="O1489" s="4"/>
      <c r="P1489" s="4"/>
      <c r="Q1489" s="4"/>
      <c r="R1489" s="4"/>
      <c r="S1489" s="4"/>
      <c r="T1489" s="4"/>
      <c r="U1489" s="4"/>
    </row>
    <row r="1490">
      <c r="A1490" s="4"/>
      <c r="B1490" s="17"/>
      <c r="C1490" s="4"/>
      <c r="D1490" s="4"/>
      <c r="E1490" s="4"/>
      <c r="F1490" s="4"/>
      <c r="G1490" s="17"/>
      <c r="H1490" s="4"/>
      <c r="I1490" s="4"/>
      <c r="J1490" s="4"/>
      <c r="K1490" s="6"/>
      <c r="L1490" s="17"/>
      <c r="M1490" s="4"/>
      <c r="N1490" s="6"/>
      <c r="O1490" s="4"/>
      <c r="P1490" s="4"/>
      <c r="Q1490" s="4"/>
      <c r="R1490" s="4"/>
      <c r="S1490" s="4"/>
      <c r="T1490" s="4"/>
      <c r="U1490" s="4"/>
    </row>
    <row r="1491">
      <c r="A1491" s="4"/>
      <c r="B1491" s="17"/>
      <c r="C1491" s="4"/>
      <c r="D1491" s="4"/>
      <c r="E1491" s="4"/>
      <c r="F1491" s="4"/>
      <c r="G1491" s="17"/>
      <c r="H1491" s="4"/>
      <c r="I1491" s="4"/>
      <c r="J1491" s="4"/>
      <c r="K1491" s="6"/>
      <c r="L1491" s="17"/>
      <c r="M1491" s="4"/>
      <c r="N1491" s="6"/>
      <c r="O1491" s="4"/>
      <c r="P1491" s="4"/>
      <c r="Q1491" s="4"/>
      <c r="R1491" s="4"/>
      <c r="S1491" s="4"/>
      <c r="T1491" s="4"/>
      <c r="U1491" s="4"/>
    </row>
    <row r="1492">
      <c r="A1492" s="4"/>
      <c r="B1492" s="17"/>
      <c r="C1492" s="4"/>
      <c r="D1492" s="4"/>
      <c r="E1492" s="4"/>
      <c r="F1492" s="4"/>
      <c r="G1492" s="17"/>
      <c r="H1492" s="4"/>
      <c r="I1492" s="4"/>
      <c r="J1492" s="4"/>
      <c r="K1492" s="6"/>
      <c r="L1492" s="17"/>
      <c r="M1492" s="4"/>
      <c r="N1492" s="6"/>
      <c r="O1492" s="4"/>
      <c r="P1492" s="4"/>
      <c r="Q1492" s="4"/>
      <c r="R1492" s="4"/>
      <c r="S1492" s="4"/>
      <c r="T1492" s="4"/>
      <c r="U1492" s="4"/>
    </row>
    <row r="1493">
      <c r="A1493" s="4"/>
      <c r="B1493" s="17"/>
      <c r="C1493" s="4"/>
      <c r="D1493" s="4"/>
      <c r="E1493" s="4"/>
      <c r="F1493" s="4"/>
      <c r="G1493" s="17"/>
      <c r="H1493" s="4"/>
      <c r="I1493" s="4"/>
      <c r="J1493" s="4"/>
      <c r="K1493" s="6"/>
      <c r="L1493" s="17"/>
      <c r="M1493" s="4"/>
      <c r="N1493" s="6"/>
      <c r="O1493" s="4"/>
      <c r="P1493" s="4"/>
      <c r="Q1493" s="4"/>
      <c r="R1493" s="4"/>
      <c r="S1493" s="4"/>
      <c r="T1493" s="4"/>
      <c r="U1493" s="4"/>
    </row>
    <row r="1494">
      <c r="A1494" s="4"/>
      <c r="B1494" s="17"/>
      <c r="C1494" s="4"/>
      <c r="D1494" s="4"/>
      <c r="E1494" s="4"/>
      <c r="F1494" s="4"/>
      <c r="G1494" s="17"/>
      <c r="H1494" s="4"/>
      <c r="I1494" s="4"/>
      <c r="J1494" s="4"/>
      <c r="K1494" s="6"/>
      <c r="L1494" s="17"/>
      <c r="M1494" s="4"/>
      <c r="N1494" s="6"/>
      <c r="O1494" s="4"/>
      <c r="P1494" s="4"/>
      <c r="Q1494" s="4"/>
      <c r="R1494" s="4"/>
      <c r="S1494" s="4"/>
      <c r="T1494" s="4"/>
      <c r="U1494" s="4"/>
    </row>
    <row r="1495">
      <c r="A1495" s="4"/>
      <c r="B1495" s="17"/>
      <c r="C1495" s="4"/>
      <c r="D1495" s="4"/>
      <c r="E1495" s="4"/>
      <c r="F1495" s="4"/>
      <c r="G1495" s="17"/>
      <c r="H1495" s="4"/>
      <c r="I1495" s="4"/>
      <c r="J1495" s="4"/>
      <c r="K1495" s="6"/>
      <c r="L1495" s="17"/>
      <c r="M1495" s="4"/>
      <c r="N1495" s="6"/>
      <c r="O1495" s="4"/>
      <c r="P1495" s="4"/>
      <c r="Q1495" s="4"/>
      <c r="R1495" s="4"/>
      <c r="S1495" s="4"/>
      <c r="T1495" s="4"/>
      <c r="U1495" s="4"/>
    </row>
    <row r="1496">
      <c r="A1496" s="4"/>
      <c r="B1496" s="17"/>
      <c r="C1496" s="4"/>
      <c r="D1496" s="4"/>
      <c r="E1496" s="4"/>
      <c r="F1496" s="4"/>
      <c r="G1496" s="17"/>
      <c r="H1496" s="4"/>
      <c r="I1496" s="4"/>
      <c r="J1496" s="4"/>
      <c r="K1496" s="6"/>
      <c r="L1496" s="17"/>
      <c r="M1496" s="4"/>
      <c r="N1496" s="6"/>
      <c r="O1496" s="4"/>
      <c r="P1496" s="4"/>
      <c r="Q1496" s="4"/>
      <c r="R1496" s="4"/>
      <c r="S1496" s="4"/>
      <c r="T1496" s="4"/>
      <c r="U1496" s="4"/>
    </row>
    <row r="1497">
      <c r="A1497" s="4"/>
      <c r="B1497" s="17"/>
      <c r="C1497" s="4"/>
      <c r="D1497" s="4"/>
      <c r="E1497" s="4"/>
      <c r="F1497" s="4"/>
      <c r="G1497" s="17"/>
      <c r="H1497" s="4"/>
      <c r="I1497" s="4"/>
      <c r="J1497" s="4"/>
      <c r="K1497" s="6"/>
      <c r="L1497" s="17"/>
      <c r="M1497" s="4"/>
      <c r="N1497" s="6"/>
      <c r="O1497" s="4"/>
      <c r="P1497" s="4"/>
      <c r="Q1497" s="4"/>
      <c r="R1497" s="4"/>
      <c r="S1497" s="4"/>
      <c r="T1497" s="4"/>
      <c r="U1497" s="4"/>
    </row>
    <row r="1498">
      <c r="A1498" s="4"/>
      <c r="B1498" s="17"/>
      <c r="C1498" s="4"/>
      <c r="D1498" s="4"/>
      <c r="E1498" s="4"/>
      <c r="F1498" s="4"/>
      <c r="G1498" s="17"/>
      <c r="H1498" s="4"/>
      <c r="I1498" s="4"/>
      <c r="J1498" s="4"/>
      <c r="K1498" s="6"/>
      <c r="L1498" s="17"/>
      <c r="M1498" s="4"/>
      <c r="N1498" s="6"/>
      <c r="O1498" s="4"/>
      <c r="P1498" s="4"/>
      <c r="Q1498" s="4"/>
      <c r="R1498" s="4"/>
      <c r="S1498" s="4"/>
      <c r="T1498" s="4"/>
      <c r="U1498" s="4"/>
    </row>
    <row r="1499">
      <c r="A1499" s="4"/>
      <c r="B1499" s="17"/>
      <c r="C1499" s="4"/>
      <c r="D1499" s="4"/>
      <c r="E1499" s="4"/>
      <c r="F1499" s="4"/>
      <c r="G1499" s="17"/>
      <c r="H1499" s="4"/>
      <c r="I1499" s="4"/>
      <c r="J1499" s="4"/>
      <c r="K1499" s="6"/>
      <c r="L1499" s="17"/>
      <c r="M1499" s="4"/>
      <c r="N1499" s="6"/>
      <c r="O1499" s="4"/>
      <c r="P1499" s="4"/>
      <c r="Q1499" s="4"/>
      <c r="R1499" s="4"/>
      <c r="S1499" s="4"/>
      <c r="T1499" s="4"/>
      <c r="U1499" s="4"/>
    </row>
    <row r="1500">
      <c r="A1500" s="4"/>
      <c r="B1500" s="17"/>
      <c r="C1500" s="4"/>
      <c r="D1500" s="4"/>
      <c r="E1500" s="4"/>
      <c r="F1500" s="4"/>
      <c r="G1500" s="17"/>
      <c r="H1500" s="4"/>
      <c r="I1500" s="4"/>
      <c r="J1500" s="4"/>
      <c r="K1500" s="6"/>
      <c r="L1500" s="17"/>
      <c r="M1500" s="4"/>
      <c r="N1500" s="6"/>
      <c r="O1500" s="4"/>
      <c r="P1500" s="4"/>
      <c r="Q1500" s="4"/>
      <c r="R1500" s="4"/>
      <c r="S1500" s="4"/>
      <c r="T1500" s="4"/>
      <c r="U1500" s="4"/>
    </row>
    <row r="1501">
      <c r="A1501" s="4"/>
      <c r="B1501" s="17"/>
      <c r="C1501" s="4"/>
      <c r="D1501" s="4"/>
      <c r="E1501" s="4"/>
      <c r="F1501" s="4"/>
      <c r="G1501" s="17"/>
      <c r="H1501" s="4"/>
      <c r="I1501" s="4"/>
      <c r="J1501" s="4"/>
      <c r="K1501" s="6"/>
      <c r="L1501" s="17"/>
      <c r="M1501" s="4"/>
      <c r="N1501" s="6"/>
      <c r="O1501" s="4"/>
      <c r="P1501" s="4"/>
      <c r="Q1501" s="4"/>
      <c r="R1501" s="4"/>
      <c r="S1501" s="4"/>
      <c r="T1501" s="4"/>
      <c r="U1501" s="4"/>
    </row>
    <row r="1502">
      <c r="A1502" s="4"/>
      <c r="B1502" s="17"/>
      <c r="C1502" s="4"/>
      <c r="D1502" s="4"/>
      <c r="E1502" s="4"/>
      <c r="F1502" s="4"/>
      <c r="G1502" s="17"/>
      <c r="H1502" s="4"/>
      <c r="I1502" s="4"/>
      <c r="J1502" s="4"/>
      <c r="K1502" s="6"/>
      <c r="L1502" s="17"/>
      <c r="M1502" s="4"/>
      <c r="N1502" s="6"/>
      <c r="O1502" s="4"/>
      <c r="P1502" s="4"/>
      <c r="Q1502" s="4"/>
      <c r="R1502" s="4"/>
      <c r="S1502" s="4"/>
      <c r="T1502" s="4"/>
      <c r="U1502" s="4"/>
    </row>
    <row r="1503">
      <c r="A1503" s="4"/>
      <c r="B1503" s="17"/>
      <c r="C1503" s="4"/>
      <c r="D1503" s="4"/>
      <c r="E1503" s="4"/>
      <c r="F1503" s="4"/>
      <c r="G1503" s="17"/>
      <c r="H1503" s="4"/>
      <c r="I1503" s="4"/>
      <c r="J1503" s="4"/>
      <c r="K1503" s="6"/>
      <c r="L1503" s="17"/>
      <c r="M1503" s="4"/>
      <c r="N1503" s="6"/>
      <c r="O1503" s="4"/>
      <c r="P1503" s="4"/>
      <c r="Q1503" s="4"/>
      <c r="R1503" s="4"/>
      <c r="S1503" s="4"/>
      <c r="T1503" s="4"/>
      <c r="U1503" s="4"/>
    </row>
    <row r="1504">
      <c r="A1504" s="4"/>
      <c r="B1504" s="17"/>
      <c r="C1504" s="4"/>
      <c r="D1504" s="4"/>
      <c r="E1504" s="4"/>
      <c r="F1504" s="4"/>
      <c r="G1504" s="17"/>
      <c r="H1504" s="4"/>
      <c r="I1504" s="4"/>
      <c r="J1504" s="4"/>
      <c r="K1504" s="6"/>
      <c r="L1504" s="17"/>
      <c r="M1504" s="4"/>
      <c r="N1504" s="6"/>
      <c r="O1504" s="4"/>
      <c r="P1504" s="4"/>
      <c r="Q1504" s="4"/>
      <c r="R1504" s="4"/>
      <c r="S1504" s="4"/>
      <c r="T1504" s="4"/>
      <c r="U1504" s="4"/>
    </row>
    <row r="1505">
      <c r="A1505" s="4"/>
      <c r="B1505" s="17"/>
      <c r="C1505" s="4"/>
      <c r="D1505" s="4"/>
      <c r="E1505" s="4"/>
      <c r="F1505" s="4"/>
      <c r="G1505" s="17"/>
      <c r="H1505" s="4"/>
      <c r="I1505" s="4"/>
      <c r="J1505" s="4"/>
      <c r="K1505" s="6"/>
      <c r="L1505" s="17"/>
      <c r="M1505" s="4"/>
      <c r="N1505" s="6"/>
      <c r="O1505" s="4"/>
      <c r="P1505" s="4"/>
      <c r="Q1505" s="4"/>
      <c r="R1505" s="4"/>
      <c r="S1505" s="4"/>
      <c r="T1505" s="4"/>
      <c r="U1505" s="4"/>
    </row>
    <row r="1506">
      <c r="A1506" s="4"/>
      <c r="B1506" s="17"/>
      <c r="C1506" s="4"/>
      <c r="D1506" s="4"/>
      <c r="E1506" s="4"/>
      <c r="F1506" s="4"/>
      <c r="G1506" s="17"/>
      <c r="H1506" s="4"/>
      <c r="I1506" s="4"/>
      <c r="J1506" s="4"/>
      <c r="K1506" s="6"/>
      <c r="L1506" s="17"/>
      <c r="M1506" s="4"/>
      <c r="N1506" s="6"/>
      <c r="O1506" s="4"/>
      <c r="P1506" s="4"/>
      <c r="Q1506" s="4"/>
      <c r="R1506" s="4"/>
      <c r="S1506" s="4"/>
      <c r="T1506" s="4"/>
      <c r="U1506" s="4"/>
    </row>
    <row r="1507">
      <c r="A1507" s="4"/>
      <c r="B1507" s="17"/>
      <c r="C1507" s="4"/>
      <c r="D1507" s="4"/>
      <c r="E1507" s="4"/>
      <c r="F1507" s="4"/>
      <c r="G1507" s="17"/>
      <c r="H1507" s="4"/>
      <c r="I1507" s="4"/>
      <c r="J1507" s="4"/>
      <c r="K1507" s="6"/>
      <c r="L1507" s="17"/>
      <c r="M1507" s="4"/>
      <c r="N1507" s="6"/>
      <c r="O1507" s="4"/>
      <c r="P1507" s="4"/>
      <c r="Q1507" s="4"/>
      <c r="R1507" s="4"/>
      <c r="S1507" s="4"/>
      <c r="T1507" s="4"/>
      <c r="U1507" s="4"/>
    </row>
    <row r="1508">
      <c r="A1508" s="4"/>
      <c r="B1508" s="17"/>
      <c r="C1508" s="4"/>
      <c r="D1508" s="4"/>
      <c r="E1508" s="4"/>
      <c r="F1508" s="4"/>
      <c r="G1508" s="17"/>
      <c r="H1508" s="4"/>
      <c r="I1508" s="4"/>
      <c r="J1508" s="4"/>
      <c r="K1508" s="6"/>
      <c r="L1508" s="17"/>
      <c r="M1508" s="4"/>
      <c r="N1508" s="6"/>
      <c r="O1508" s="4"/>
      <c r="P1508" s="4"/>
      <c r="Q1508" s="4"/>
      <c r="R1508" s="4"/>
      <c r="S1508" s="4"/>
      <c r="T1508" s="4"/>
      <c r="U1508" s="4"/>
    </row>
    <row r="1509">
      <c r="A1509" s="4"/>
      <c r="B1509" s="17"/>
      <c r="C1509" s="4"/>
      <c r="D1509" s="4"/>
      <c r="E1509" s="4"/>
      <c r="F1509" s="4"/>
      <c r="G1509" s="17"/>
      <c r="H1509" s="4"/>
      <c r="I1509" s="4"/>
      <c r="J1509" s="4"/>
      <c r="K1509" s="6"/>
      <c r="L1509" s="17"/>
      <c r="M1509" s="4"/>
      <c r="N1509" s="6"/>
      <c r="O1509" s="4"/>
      <c r="P1509" s="4"/>
      <c r="Q1509" s="4"/>
      <c r="R1509" s="4"/>
      <c r="S1509" s="4"/>
      <c r="T1509" s="4"/>
      <c r="U1509" s="4"/>
    </row>
    <row r="1510">
      <c r="A1510" s="4"/>
      <c r="B1510" s="17"/>
      <c r="C1510" s="4"/>
      <c r="D1510" s="4"/>
      <c r="E1510" s="4"/>
      <c r="F1510" s="4"/>
      <c r="G1510" s="17"/>
      <c r="H1510" s="4"/>
      <c r="I1510" s="4"/>
      <c r="J1510" s="4"/>
      <c r="K1510" s="6"/>
      <c r="L1510" s="17"/>
      <c r="M1510" s="4"/>
      <c r="N1510" s="6"/>
      <c r="O1510" s="4"/>
      <c r="P1510" s="4"/>
      <c r="Q1510" s="4"/>
      <c r="R1510" s="4"/>
      <c r="S1510" s="4"/>
      <c r="T1510" s="4"/>
      <c r="U1510" s="4"/>
    </row>
    <row r="1511">
      <c r="A1511" s="4"/>
      <c r="B1511" s="17"/>
      <c r="C1511" s="4"/>
      <c r="D1511" s="4"/>
      <c r="E1511" s="4"/>
      <c r="F1511" s="4"/>
      <c r="G1511" s="17"/>
      <c r="H1511" s="4"/>
      <c r="I1511" s="4"/>
      <c r="J1511" s="4"/>
      <c r="K1511" s="6"/>
      <c r="L1511" s="17"/>
      <c r="M1511" s="4"/>
      <c r="N1511" s="6"/>
      <c r="O1511" s="4"/>
      <c r="P1511" s="4"/>
      <c r="Q1511" s="4"/>
      <c r="R1511" s="4"/>
      <c r="S1511" s="4"/>
      <c r="T1511" s="4"/>
      <c r="U1511" s="4"/>
    </row>
    <row r="1512">
      <c r="A1512" s="4"/>
      <c r="B1512" s="17"/>
      <c r="C1512" s="4"/>
      <c r="D1512" s="4"/>
      <c r="E1512" s="4"/>
      <c r="F1512" s="4"/>
      <c r="G1512" s="17"/>
      <c r="H1512" s="4"/>
      <c r="I1512" s="4"/>
      <c r="J1512" s="4"/>
      <c r="K1512" s="6"/>
      <c r="L1512" s="17"/>
      <c r="M1512" s="4"/>
      <c r="N1512" s="6"/>
      <c r="O1512" s="4"/>
      <c r="P1512" s="4"/>
      <c r="Q1512" s="4"/>
      <c r="R1512" s="4"/>
      <c r="S1512" s="4"/>
      <c r="T1512" s="4"/>
      <c r="U1512" s="4"/>
    </row>
    <row r="1513">
      <c r="A1513" s="4"/>
      <c r="B1513" s="17"/>
      <c r="C1513" s="4"/>
      <c r="D1513" s="4"/>
      <c r="E1513" s="4"/>
      <c r="F1513" s="4"/>
      <c r="G1513" s="17"/>
      <c r="H1513" s="4"/>
      <c r="I1513" s="4"/>
      <c r="J1513" s="4"/>
      <c r="K1513" s="6"/>
      <c r="L1513" s="17"/>
      <c r="M1513" s="4"/>
      <c r="N1513" s="6"/>
      <c r="O1513" s="4"/>
      <c r="P1513" s="4"/>
      <c r="Q1513" s="4"/>
      <c r="R1513" s="4"/>
      <c r="S1513" s="4"/>
      <c r="T1513" s="4"/>
      <c r="U1513" s="4"/>
    </row>
    <row r="1514">
      <c r="A1514" s="4"/>
      <c r="B1514" s="17"/>
      <c r="C1514" s="4"/>
      <c r="D1514" s="4"/>
      <c r="E1514" s="4"/>
      <c r="F1514" s="4"/>
      <c r="G1514" s="17"/>
      <c r="H1514" s="4"/>
      <c r="I1514" s="4"/>
      <c r="J1514" s="4"/>
      <c r="K1514" s="6"/>
      <c r="L1514" s="17"/>
      <c r="M1514" s="4"/>
      <c r="N1514" s="6"/>
      <c r="O1514" s="4"/>
      <c r="P1514" s="4"/>
      <c r="Q1514" s="4"/>
      <c r="R1514" s="4"/>
      <c r="S1514" s="4"/>
      <c r="T1514" s="4"/>
      <c r="U1514" s="4"/>
    </row>
    <row r="1515">
      <c r="A1515" s="4"/>
      <c r="B1515" s="17"/>
      <c r="C1515" s="4"/>
      <c r="D1515" s="4"/>
      <c r="E1515" s="4"/>
      <c r="F1515" s="4"/>
      <c r="G1515" s="17"/>
      <c r="H1515" s="4"/>
      <c r="I1515" s="4"/>
      <c r="J1515" s="4"/>
      <c r="K1515" s="6"/>
      <c r="L1515" s="17"/>
      <c r="M1515" s="4"/>
      <c r="N1515" s="6"/>
      <c r="O1515" s="4"/>
      <c r="P1515" s="4"/>
      <c r="Q1515" s="4"/>
      <c r="R1515" s="4"/>
      <c r="S1515" s="4"/>
      <c r="T1515" s="4"/>
      <c r="U1515" s="4"/>
    </row>
    <row r="1516">
      <c r="A1516" s="4"/>
      <c r="B1516" s="17"/>
      <c r="C1516" s="4"/>
      <c r="D1516" s="4"/>
      <c r="E1516" s="4"/>
      <c r="F1516" s="4"/>
      <c r="G1516" s="17"/>
      <c r="H1516" s="4"/>
      <c r="I1516" s="4"/>
      <c r="J1516" s="4"/>
      <c r="K1516" s="6"/>
      <c r="L1516" s="17"/>
      <c r="M1516" s="4"/>
      <c r="N1516" s="6"/>
      <c r="O1516" s="4"/>
      <c r="P1516" s="4"/>
      <c r="Q1516" s="4"/>
      <c r="R1516" s="4"/>
      <c r="S1516" s="4"/>
      <c r="T1516" s="4"/>
      <c r="U1516" s="4"/>
    </row>
    <row r="1517">
      <c r="A1517" s="4"/>
      <c r="B1517" s="17"/>
      <c r="C1517" s="4"/>
      <c r="D1517" s="4"/>
      <c r="E1517" s="4"/>
      <c r="F1517" s="4"/>
      <c r="G1517" s="17"/>
      <c r="H1517" s="4"/>
      <c r="I1517" s="4"/>
      <c r="J1517" s="4"/>
      <c r="K1517" s="6"/>
      <c r="L1517" s="17"/>
      <c r="M1517" s="4"/>
      <c r="N1517" s="6"/>
      <c r="O1517" s="4"/>
      <c r="P1517" s="4"/>
      <c r="Q1517" s="4"/>
      <c r="R1517" s="4"/>
      <c r="S1517" s="4"/>
      <c r="T1517" s="4"/>
      <c r="U1517" s="4"/>
    </row>
    <row r="1518">
      <c r="A1518" s="4"/>
      <c r="B1518" s="17"/>
      <c r="C1518" s="4"/>
      <c r="D1518" s="4"/>
      <c r="E1518" s="4"/>
      <c r="F1518" s="4"/>
      <c r="G1518" s="17"/>
      <c r="H1518" s="4"/>
      <c r="I1518" s="4"/>
      <c r="J1518" s="4"/>
      <c r="K1518" s="6"/>
      <c r="L1518" s="17"/>
      <c r="M1518" s="4"/>
      <c r="N1518" s="6"/>
      <c r="O1518" s="4"/>
      <c r="P1518" s="4"/>
      <c r="Q1518" s="4"/>
      <c r="R1518" s="4"/>
      <c r="S1518" s="4"/>
      <c r="T1518" s="4"/>
      <c r="U1518" s="4"/>
    </row>
    <row r="1519">
      <c r="A1519" s="4"/>
      <c r="B1519" s="17"/>
      <c r="C1519" s="4"/>
      <c r="D1519" s="4"/>
      <c r="E1519" s="4"/>
      <c r="F1519" s="4"/>
      <c r="G1519" s="17"/>
      <c r="H1519" s="4"/>
      <c r="I1519" s="4"/>
      <c r="J1519" s="4"/>
      <c r="K1519" s="6"/>
      <c r="L1519" s="17"/>
      <c r="M1519" s="4"/>
      <c r="N1519" s="6"/>
      <c r="O1519" s="4"/>
      <c r="P1519" s="4"/>
      <c r="Q1519" s="4"/>
      <c r="R1519" s="4"/>
      <c r="S1519" s="4"/>
      <c r="T1519" s="4"/>
      <c r="U1519" s="4"/>
    </row>
    <row r="1520">
      <c r="A1520" s="4"/>
      <c r="B1520" s="17"/>
      <c r="C1520" s="4"/>
      <c r="D1520" s="4"/>
      <c r="E1520" s="4"/>
      <c r="F1520" s="4"/>
      <c r="G1520" s="17"/>
      <c r="H1520" s="4"/>
      <c r="I1520" s="4"/>
      <c r="J1520" s="4"/>
      <c r="K1520" s="6"/>
      <c r="L1520" s="17"/>
      <c r="M1520" s="4"/>
      <c r="N1520" s="6"/>
      <c r="O1520" s="4"/>
      <c r="P1520" s="4"/>
      <c r="Q1520" s="4"/>
      <c r="R1520" s="4"/>
      <c r="S1520" s="4"/>
      <c r="T1520" s="4"/>
      <c r="U1520" s="4"/>
    </row>
    <row r="1521">
      <c r="A1521" s="4"/>
      <c r="B1521" s="17"/>
      <c r="C1521" s="4"/>
      <c r="D1521" s="4"/>
      <c r="E1521" s="4"/>
      <c r="F1521" s="4"/>
      <c r="G1521" s="17"/>
      <c r="H1521" s="4"/>
      <c r="I1521" s="4"/>
      <c r="J1521" s="4"/>
      <c r="K1521" s="6"/>
      <c r="L1521" s="17"/>
      <c r="M1521" s="4"/>
      <c r="N1521" s="6"/>
      <c r="O1521" s="4"/>
      <c r="P1521" s="4"/>
      <c r="Q1521" s="4"/>
      <c r="R1521" s="4"/>
      <c r="S1521" s="4"/>
      <c r="T1521" s="4"/>
      <c r="U1521" s="4"/>
    </row>
    <row r="1522">
      <c r="A1522" s="4"/>
      <c r="B1522" s="17"/>
      <c r="C1522" s="4"/>
      <c r="D1522" s="4"/>
      <c r="E1522" s="4"/>
      <c r="F1522" s="4"/>
      <c r="G1522" s="17"/>
      <c r="H1522" s="4"/>
      <c r="I1522" s="4"/>
      <c r="J1522" s="4"/>
      <c r="K1522" s="6"/>
      <c r="L1522" s="17"/>
      <c r="M1522" s="4"/>
      <c r="N1522" s="6"/>
      <c r="O1522" s="4"/>
      <c r="P1522" s="4"/>
      <c r="Q1522" s="4"/>
      <c r="R1522" s="4"/>
      <c r="S1522" s="4"/>
      <c r="T1522" s="4"/>
      <c r="U1522" s="4"/>
    </row>
    <row r="1523">
      <c r="A1523" s="4"/>
      <c r="B1523" s="17"/>
      <c r="C1523" s="4"/>
      <c r="D1523" s="4"/>
      <c r="E1523" s="4"/>
      <c r="F1523" s="4"/>
      <c r="G1523" s="17"/>
      <c r="H1523" s="4"/>
      <c r="I1523" s="4"/>
      <c r="J1523" s="4"/>
      <c r="K1523" s="6"/>
      <c r="L1523" s="17"/>
      <c r="M1523" s="4"/>
      <c r="N1523" s="6"/>
      <c r="O1523" s="4"/>
      <c r="P1523" s="4"/>
      <c r="Q1523" s="4"/>
      <c r="R1523" s="4"/>
      <c r="S1523" s="4"/>
      <c r="T1523" s="4"/>
      <c r="U1523" s="4"/>
    </row>
    <row r="1524">
      <c r="A1524" s="4"/>
      <c r="B1524" s="17"/>
      <c r="C1524" s="4"/>
      <c r="D1524" s="4"/>
      <c r="E1524" s="4"/>
      <c r="F1524" s="4"/>
      <c r="G1524" s="17"/>
      <c r="H1524" s="4"/>
      <c r="I1524" s="4"/>
      <c r="J1524" s="4"/>
      <c r="K1524" s="6"/>
      <c r="L1524" s="17"/>
      <c r="M1524" s="4"/>
      <c r="N1524" s="6"/>
      <c r="O1524" s="4"/>
      <c r="P1524" s="4"/>
      <c r="Q1524" s="4"/>
      <c r="R1524" s="4"/>
      <c r="S1524" s="4"/>
      <c r="T1524" s="4"/>
      <c r="U1524" s="4"/>
    </row>
    <row r="1525">
      <c r="A1525" s="4"/>
      <c r="B1525" s="17"/>
      <c r="C1525" s="4"/>
      <c r="D1525" s="4"/>
      <c r="E1525" s="4"/>
      <c r="F1525" s="4"/>
      <c r="G1525" s="17"/>
      <c r="H1525" s="4"/>
      <c r="I1525" s="4"/>
      <c r="J1525" s="4"/>
      <c r="K1525" s="6"/>
      <c r="L1525" s="17"/>
      <c r="M1525" s="4"/>
      <c r="N1525" s="6"/>
      <c r="O1525" s="4"/>
      <c r="P1525" s="4"/>
      <c r="Q1525" s="4"/>
      <c r="R1525" s="4"/>
      <c r="S1525" s="4"/>
      <c r="T1525" s="4"/>
      <c r="U1525" s="4"/>
    </row>
    <row r="1526">
      <c r="A1526" s="4"/>
      <c r="B1526" s="17"/>
      <c r="C1526" s="4"/>
      <c r="D1526" s="4"/>
      <c r="E1526" s="4"/>
      <c r="F1526" s="4"/>
      <c r="G1526" s="17"/>
      <c r="H1526" s="4"/>
      <c r="I1526" s="4"/>
      <c r="J1526" s="4"/>
      <c r="K1526" s="6"/>
      <c r="L1526" s="17"/>
      <c r="M1526" s="4"/>
      <c r="N1526" s="6"/>
      <c r="O1526" s="4"/>
      <c r="P1526" s="4"/>
      <c r="Q1526" s="4"/>
      <c r="R1526" s="4"/>
      <c r="S1526" s="4"/>
      <c r="T1526" s="4"/>
      <c r="U1526" s="4"/>
    </row>
    <row r="1527">
      <c r="A1527" s="4"/>
      <c r="B1527" s="17"/>
      <c r="C1527" s="4"/>
      <c r="D1527" s="4"/>
      <c r="E1527" s="4"/>
      <c r="F1527" s="4"/>
      <c r="G1527" s="17"/>
      <c r="H1527" s="4"/>
      <c r="I1527" s="4"/>
      <c r="J1527" s="4"/>
      <c r="K1527" s="6"/>
      <c r="L1527" s="17"/>
      <c r="M1527" s="4"/>
      <c r="N1527" s="6"/>
      <c r="O1527" s="4"/>
      <c r="P1527" s="4"/>
      <c r="Q1527" s="4"/>
      <c r="R1527" s="4"/>
      <c r="S1527" s="4"/>
      <c r="T1527" s="4"/>
      <c r="U1527" s="4"/>
    </row>
    <row r="1528">
      <c r="A1528" s="4"/>
      <c r="B1528" s="17"/>
      <c r="C1528" s="4"/>
      <c r="D1528" s="4"/>
      <c r="E1528" s="4"/>
      <c r="F1528" s="4"/>
      <c r="G1528" s="17"/>
      <c r="H1528" s="4"/>
      <c r="I1528" s="4"/>
      <c r="J1528" s="4"/>
      <c r="K1528" s="6"/>
      <c r="L1528" s="17"/>
      <c r="M1528" s="4"/>
      <c r="N1528" s="6"/>
      <c r="O1528" s="4"/>
      <c r="P1528" s="4"/>
      <c r="Q1528" s="4"/>
      <c r="R1528" s="4"/>
      <c r="S1528" s="4"/>
      <c r="T1528" s="4"/>
      <c r="U1528" s="4"/>
    </row>
    <row r="1529">
      <c r="A1529" s="4"/>
      <c r="B1529" s="17"/>
      <c r="C1529" s="4"/>
      <c r="D1529" s="4"/>
      <c r="E1529" s="4"/>
      <c r="F1529" s="4"/>
      <c r="G1529" s="17"/>
      <c r="H1529" s="4"/>
      <c r="I1529" s="4"/>
      <c r="J1529" s="4"/>
      <c r="K1529" s="6"/>
      <c r="L1529" s="17"/>
      <c r="M1529" s="4"/>
      <c r="N1529" s="6"/>
      <c r="O1529" s="4"/>
      <c r="P1529" s="4"/>
      <c r="Q1529" s="4"/>
      <c r="R1529" s="4"/>
      <c r="S1529" s="4"/>
      <c r="T1529" s="4"/>
      <c r="U1529" s="4"/>
    </row>
    <row r="1530">
      <c r="A1530" s="4"/>
      <c r="B1530" s="17"/>
      <c r="C1530" s="4"/>
      <c r="D1530" s="4"/>
      <c r="E1530" s="4"/>
      <c r="F1530" s="4"/>
      <c r="G1530" s="17"/>
      <c r="H1530" s="4"/>
      <c r="I1530" s="4"/>
      <c r="J1530" s="4"/>
      <c r="K1530" s="6"/>
      <c r="L1530" s="17"/>
      <c r="M1530" s="4"/>
      <c r="N1530" s="6"/>
      <c r="O1530" s="4"/>
      <c r="P1530" s="4"/>
      <c r="Q1530" s="4"/>
      <c r="R1530" s="4"/>
      <c r="S1530" s="4"/>
      <c r="T1530" s="4"/>
      <c r="U1530" s="4"/>
    </row>
    <row r="1531">
      <c r="A1531" s="4"/>
      <c r="B1531" s="17"/>
      <c r="C1531" s="4"/>
      <c r="D1531" s="4"/>
      <c r="E1531" s="4"/>
      <c r="F1531" s="4"/>
      <c r="G1531" s="17"/>
      <c r="H1531" s="4"/>
      <c r="I1531" s="4"/>
      <c r="J1531" s="4"/>
      <c r="K1531" s="6"/>
      <c r="L1531" s="17"/>
      <c r="M1531" s="4"/>
      <c r="N1531" s="6"/>
      <c r="O1531" s="4"/>
      <c r="P1531" s="4"/>
      <c r="Q1531" s="4"/>
      <c r="R1531" s="4"/>
      <c r="S1531" s="4"/>
      <c r="T1531" s="4"/>
      <c r="U1531" s="4"/>
    </row>
    <row r="1532">
      <c r="A1532" s="4"/>
      <c r="B1532" s="17"/>
      <c r="C1532" s="4"/>
      <c r="D1532" s="4"/>
      <c r="E1532" s="4"/>
      <c r="F1532" s="4"/>
      <c r="G1532" s="17"/>
      <c r="H1532" s="4"/>
      <c r="I1532" s="4"/>
      <c r="J1532" s="4"/>
      <c r="K1532" s="6"/>
      <c r="L1532" s="17"/>
      <c r="M1532" s="4"/>
      <c r="N1532" s="6"/>
      <c r="O1532" s="4"/>
      <c r="P1532" s="4"/>
      <c r="Q1532" s="4"/>
      <c r="R1532" s="4"/>
      <c r="S1532" s="4"/>
      <c r="T1532" s="4"/>
      <c r="U1532" s="4"/>
    </row>
    <row r="1533">
      <c r="A1533" s="4"/>
      <c r="B1533" s="17"/>
      <c r="C1533" s="4"/>
      <c r="D1533" s="4"/>
      <c r="E1533" s="4"/>
      <c r="F1533" s="4"/>
      <c r="G1533" s="17"/>
      <c r="H1533" s="4"/>
      <c r="I1533" s="4"/>
      <c r="J1533" s="4"/>
      <c r="K1533" s="6"/>
      <c r="L1533" s="17"/>
      <c r="M1533" s="4"/>
      <c r="N1533" s="6"/>
      <c r="O1533" s="4"/>
      <c r="P1533" s="4"/>
      <c r="Q1533" s="4"/>
      <c r="R1533" s="4"/>
      <c r="S1533" s="4"/>
      <c r="T1533" s="4"/>
      <c r="U1533" s="4"/>
    </row>
    <row r="1534">
      <c r="A1534" s="4"/>
      <c r="B1534" s="17"/>
      <c r="C1534" s="4"/>
      <c r="D1534" s="4"/>
      <c r="E1534" s="4"/>
      <c r="F1534" s="4"/>
      <c r="G1534" s="17"/>
      <c r="H1534" s="4"/>
      <c r="I1534" s="4"/>
      <c r="J1534" s="4"/>
      <c r="K1534" s="6"/>
      <c r="L1534" s="17"/>
      <c r="M1534" s="4"/>
      <c r="N1534" s="6"/>
      <c r="O1534" s="4"/>
      <c r="P1534" s="4"/>
      <c r="Q1534" s="4"/>
      <c r="R1534" s="4"/>
      <c r="S1534" s="4"/>
      <c r="T1534" s="4"/>
      <c r="U1534" s="4"/>
    </row>
    <row r="1535">
      <c r="A1535" s="4"/>
      <c r="B1535" s="17"/>
      <c r="C1535" s="4"/>
      <c r="D1535" s="4"/>
      <c r="E1535" s="4"/>
      <c r="F1535" s="4"/>
      <c r="G1535" s="17"/>
      <c r="H1535" s="4"/>
      <c r="I1535" s="4"/>
      <c r="J1535" s="4"/>
      <c r="K1535" s="6"/>
      <c r="L1535" s="17"/>
      <c r="M1535" s="4"/>
      <c r="N1535" s="6"/>
      <c r="O1535" s="4"/>
      <c r="P1535" s="4"/>
      <c r="Q1535" s="4"/>
      <c r="R1535" s="4"/>
      <c r="S1535" s="4"/>
      <c r="T1535" s="4"/>
      <c r="U1535" s="4"/>
    </row>
    <row r="1536">
      <c r="A1536" s="4"/>
      <c r="B1536" s="17"/>
      <c r="C1536" s="4"/>
      <c r="D1536" s="4"/>
      <c r="E1536" s="4"/>
      <c r="F1536" s="4"/>
      <c r="G1536" s="17"/>
      <c r="H1536" s="4"/>
      <c r="I1536" s="4"/>
      <c r="J1536" s="4"/>
      <c r="K1536" s="6"/>
      <c r="L1536" s="17"/>
      <c r="M1536" s="4"/>
      <c r="N1536" s="6"/>
      <c r="O1536" s="4"/>
      <c r="P1536" s="4"/>
      <c r="Q1536" s="4"/>
      <c r="R1536" s="4"/>
      <c r="S1536" s="4"/>
      <c r="T1536" s="4"/>
      <c r="U1536" s="4"/>
    </row>
    <row r="1537">
      <c r="A1537" s="4"/>
      <c r="B1537" s="17"/>
      <c r="C1537" s="4"/>
      <c r="D1537" s="4"/>
      <c r="E1537" s="4"/>
      <c r="F1537" s="4"/>
      <c r="G1537" s="17"/>
      <c r="H1537" s="4"/>
      <c r="I1537" s="4"/>
      <c r="J1537" s="4"/>
      <c r="K1537" s="6"/>
      <c r="L1537" s="17"/>
      <c r="M1537" s="4"/>
      <c r="N1537" s="6"/>
      <c r="O1537" s="4"/>
      <c r="P1537" s="4"/>
      <c r="Q1537" s="4"/>
      <c r="R1537" s="4"/>
      <c r="S1537" s="4"/>
      <c r="T1537" s="4"/>
      <c r="U1537" s="4"/>
    </row>
    <row r="1538">
      <c r="A1538" s="4"/>
      <c r="B1538" s="17"/>
      <c r="C1538" s="4"/>
      <c r="D1538" s="4"/>
      <c r="E1538" s="4"/>
      <c r="F1538" s="4"/>
      <c r="G1538" s="17"/>
      <c r="H1538" s="4"/>
      <c r="I1538" s="4"/>
      <c r="J1538" s="4"/>
      <c r="K1538" s="6"/>
      <c r="L1538" s="17"/>
      <c r="M1538" s="4"/>
      <c r="N1538" s="6"/>
      <c r="O1538" s="4"/>
      <c r="P1538" s="4"/>
      <c r="Q1538" s="4"/>
      <c r="R1538" s="4"/>
      <c r="S1538" s="4"/>
      <c r="T1538" s="4"/>
      <c r="U1538" s="4"/>
    </row>
    <row r="1539">
      <c r="A1539" s="4"/>
      <c r="B1539" s="17"/>
      <c r="C1539" s="4"/>
      <c r="D1539" s="4"/>
      <c r="E1539" s="4"/>
      <c r="F1539" s="4"/>
      <c r="G1539" s="17"/>
      <c r="H1539" s="4"/>
      <c r="I1539" s="4"/>
      <c r="J1539" s="4"/>
      <c r="K1539" s="6"/>
      <c r="L1539" s="17"/>
      <c r="M1539" s="4"/>
      <c r="N1539" s="6"/>
      <c r="O1539" s="4"/>
      <c r="P1539" s="4"/>
      <c r="Q1539" s="4"/>
      <c r="R1539" s="4"/>
      <c r="S1539" s="4"/>
      <c r="T1539" s="4"/>
      <c r="U1539" s="4"/>
    </row>
    <row r="1540">
      <c r="A1540" s="4"/>
      <c r="B1540" s="17"/>
      <c r="C1540" s="4"/>
      <c r="D1540" s="4"/>
      <c r="E1540" s="4"/>
      <c r="F1540" s="4"/>
      <c r="G1540" s="17"/>
      <c r="H1540" s="4"/>
      <c r="I1540" s="4"/>
      <c r="J1540" s="4"/>
      <c r="K1540" s="6"/>
      <c r="L1540" s="17"/>
      <c r="M1540" s="4"/>
      <c r="N1540" s="6"/>
      <c r="O1540" s="4"/>
      <c r="P1540" s="4"/>
      <c r="Q1540" s="4"/>
      <c r="R1540" s="4"/>
      <c r="S1540" s="4"/>
      <c r="T1540" s="4"/>
      <c r="U1540" s="4"/>
    </row>
    <row r="1541">
      <c r="A1541" s="4"/>
      <c r="B1541" s="17"/>
      <c r="C1541" s="4"/>
      <c r="D1541" s="4"/>
      <c r="E1541" s="4"/>
      <c r="F1541" s="4"/>
      <c r="G1541" s="17"/>
      <c r="H1541" s="4"/>
      <c r="I1541" s="4"/>
      <c r="J1541" s="4"/>
      <c r="K1541" s="6"/>
      <c r="L1541" s="17"/>
      <c r="M1541" s="4"/>
      <c r="N1541" s="6"/>
      <c r="O1541" s="4"/>
      <c r="P1541" s="4"/>
      <c r="Q1541" s="4"/>
      <c r="R1541" s="4"/>
      <c r="S1541" s="4"/>
      <c r="T1541" s="4"/>
      <c r="U1541" s="4"/>
    </row>
    <row r="1542">
      <c r="A1542" s="4"/>
      <c r="B1542" s="17"/>
      <c r="C1542" s="4"/>
      <c r="D1542" s="4"/>
      <c r="E1542" s="4"/>
      <c r="F1542" s="4"/>
      <c r="G1542" s="17"/>
      <c r="H1542" s="4"/>
      <c r="I1542" s="4"/>
      <c r="J1542" s="4"/>
      <c r="K1542" s="6"/>
      <c r="L1542" s="17"/>
      <c r="M1542" s="4"/>
      <c r="N1542" s="6"/>
      <c r="O1542" s="4"/>
      <c r="P1542" s="4"/>
      <c r="Q1542" s="4"/>
      <c r="R1542" s="4"/>
      <c r="S1542" s="4"/>
      <c r="T1542" s="4"/>
      <c r="U1542" s="4"/>
    </row>
    <row r="1543">
      <c r="A1543" s="4"/>
      <c r="B1543" s="17"/>
      <c r="C1543" s="4"/>
      <c r="D1543" s="4"/>
      <c r="E1543" s="4"/>
      <c r="F1543" s="4"/>
      <c r="G1543" s="17"/>
      <c r="H1543" s="4"/>
      <c r="I1543" s="4"/>
      <c r="J1543" s="4"/>
      <c r="K1543" s="6"/>
      <c r="L1543" s="17"/>
      <c r="M1543" s="4"/>
      <c r="N1543" s="6"/>
      <c r="O1543" s="4"/>
      <c r="P1543" s="4"/>
      <c r="Q1543" s="4"/>
      <c r="R1543" s="4"/>
      <c r="S1543" s="4"/>
      <c r="T1543" s="4"/>
      <c r="U1543" s="4"/>
    </row>
    <row r="1544">
      <c r="A1544" s="4"/>
      <c r="B1544" s="17"/>
      <c r="C1544" s="4"/>
      <c r="D1544" s="4"/>
      <c r="E1544" s="4"/>
      <c r="F1544" s="4"/>
      <c r="G1544" s="17"/>
      <c r="H1544" s="4"/>
      <c r="I1544" s="4"/>
      <c r="J1544" s="4"/>
      <c r="K1544" s="6"/>
      <c r="L1544" s="17"/>
      <c r="M1544" s="4"/>
      <c r="N1544" s="6"/>
      <c r="O1544" s="4"/>
      <c r="P1544" s="4"/>
      <c r="Q1544" s="4"/>
      <c r="R1544" s="4"/>
      <c r="S1544" s="4"/>
      <c r="T1544" s="4"/>
      <c r="U1544" s="4"/>
    </row>
    <row r="1545">
      <c r="A1545" s="4"/>
      <c r="B1545" s="17"/>
      <c r="C1545" s="4"/>
      <c r="D1545" s="4"/>
      <c r="E1545" s="4"/>
      <c r="F1545" s="4"/>
      <c r="G1545" s="17"/>
      <c r="H1545" s="4"/>
      <c r="I1545" s="4"/>
      <c r="J1545" s="4"/>
      <c r="K1545" s="6"/>
      <c r="L1545" s="17"/>
      <c r="M1545" s="4"/>
      <c r="N1545" s="6"/>
      <c r="O1545" s="4"/>
      <c r="P1545" s="4"/>
      <c r="Q1545" s="4"/>
      <c r="R1545" s="4"/>
      <c r="S1545" s="4"/>
      <c r="T1545" s="4"/>
      <c r="U1545" s="4"/>
    </row>
    <row r="1546">
      <c r="A1546" s="4"/>
      <c r="B1546" s="17"/>
      <c r="C1546" s="4"/>
      <c r="D1546" s="4"/>
      <c r="E1546" s="4"/>
      <c r="F1546" s="4"/>
      <c r="G1546" s="17"/>
      <c r="H1546" s="4"/>
      <c r="I1546" s="4"/>
      <c r="J1546" s="4"/>
      <c r="K1546" s="6"/>
      <c r="L1546" s="17"/>
      <c r="M1546" s="4"/>
      <c r="N1546" s="6"/>
      <c r="O1546" s="4"/>
      <c r="P1546" s="4"/>
      <c r="Q1546" s="4"/>
      <c r="R1546" s="4"/>
      <c r="S1546" s="4"/>
      <c r="T1546" s="4"/>
      <c r="U1546" s="4"/>
    </row>
    <row r="1547">
      <c r="A1547" s="4"/>
      <c r="B1547" s="17"/>
      <c r="C1547" s="4"/>
      <c r="D1547" s="4"/>
      <c r="E1547" s="4"/>
      <c r="F1547" s="4"/>
      <c r="G1547" s="17"/>
      <c r="H1547" s="4"/>
      <c r="I1547" s="4"/>
      <c r="J1547" s="4"/>
      <c r="K1547" s="6"/>
      <c r="L1547" s="17"/>
      <c r="M1547" s="4"/>
      <c r="N1547" s="6"/>
      <c r="O1547" s="4"/>
      <c r="P1547" s="4"/>
      <c r="Q1547" s="4"/>
      <c r="R1547" s="4"/>
      <c r="S1547" s="4"/>
      <c r="T1547" s="4"/>
      <c r="U1547" s="4"/>
    </row>
    <row r="1548">
      <c r="A1548" s="4"/>
      <c r="B1548" s="17"/>
      <c r="C1548" s="4"/>
      <c r="D1548" s="4"/>
      <c r="E1548" s="4"/>
      <c r="F1548" s="4"/>
      <c r="G1548" s="17"/>
      <c r="H1548" s="4"/>
      <c r="I1548" s="4"/>
      <c r="J1548" s="4"/>
      <c r="K1548" s="6"/>
      <c r="L1548" s="17"/>
      <c r="M1548" s="4"/>
      <c r="N1548" s="6"/>
      <c r="O1548" s="4"/>
      <c r="P1548" s="4"/>
      <c r="Q1548" s="4"/>
      <c r="R1548" s="4"/>
      <c r="S1548" s="4"/>
      <c r="T1548" s="4"/>
      <c r="U1548" s="4"/>
    </row>
    <row r="1549">
      <c r="A1549" s="4"/>
      <c r="B1549" s="17"/>
      <c r="C1549" s="4"/>
      <c r="D1549" s="4"/>
      <c r="E1549" s="4"/>
      <c r="F1549" s="4"/>
      <c r="G1549" s="17"/>
      <c r="H1549" s="4"/>
      <c r="I1549" s="4"/>
      <c r="J1549" s="4"/>
      <c r="K1549" s="6"/>
      <c r="L1549" s="17"/>
      <c r="M1549" s="4"/>
      <c r="N1549" s="6"/>
      <c r="O1549" s="4"/>
      <c r="P1549" s="4"/>
      <c r="Q1549" s="4"/>
      <c r="R1549" s="4"/>
      <c r="S1549" s="4"/>
      <c r="T1549" s="4"/>
      <c r="U1549" s="4"/>
    </row>
    <row r="1550">
      <c r="A1550" s="4"/>
      <c r="B1550" s="17"/>
      <c r="C1550" s="4"/>
      <c r="D1550" s="4"/>
      <c r="E1550" s="4"/>
      <c r="F1550" s="4"/>
      <c r="G1550" s="17"/>
      <c r="H1550" s="4"/>
      <c r="I1550" s="4"/>
      <c r="J1550" s="4"/>
      <c r="K1550" s="6"/>
      <c r="L1550" s="17"/>
      <c r="M1550" s="4"/>
      <c r="N1550" s="6"/>
      <c r="O1550" s="4"/>
      <c r="P1550" s="4"/>
      <c r="Q1550" s="4"/>
      <c r="R1550" s="4"/>
      <c r="S1550" s="4"/>
      <c r="T1550" s="4"/>
      <c r="U1550" s="4"/>
    </row>
    <row r="1551">
      <c r="A1551" s="4"/>
      <c r="B1551" s="17"/>
      <c r="C1551" s="4"/>
      <c r="D1551" s="4"/>
      <c r="E1551" s="4"/>
      <c r="F1551" s="4"/>
      <c r="G1551" s="17"/>
      <c r="H1551" s="4"/>
      <c r="I1551" s="4"/>
      <c r="J1551" s="4"/>
      <c r="K1551" s="6"/>
      <c r="L1551" s="17"/>
      <c r="M1551" s="4"/>
      <c r="N1551" s="6"/>
      <c r="O1551" s="4"/>
      <c r="P1551" s="4"/>
      <c r="Q1551" s="4"/>
      <c r="R1551" s="4"/>
      <c r="S1551" s="4"/>
      <c r="T1551" s="4"/>
      <c r="U1551" s="4"/>
    </row>
    <row r="1552">
      <c r="A1552" s="4"/>
      <c r="B1552" s="17"/>
      <c r="C1552" s="4"/>
      <c r="D1552" s="4"/>
      <c r="E1552" s="4"/>
      <c r="F1552" s="4"/>
      <c r="G1552" s="17"/>
      <c r="H1552" s="4"/>
      <c r="I1552" s="4"/>
      <c r="J1552" s="4"/>
      <c r="K1552" s="6"/>
      <c r="L1552" s="17"/>
      <c r="M1552" s="4"/>
      <c r="N1552" s="6"/>
      <c r="O1552" s="4"/>
      <c r="P1552" s="4"/>
      <c r="Q1552" s="4"/>
      <c r="R1552" s="4"/>
      <c r="S1552" s="4"/>
      <c r="T1552" s="4"/>
      <c r="U1552" s="4"/>
    </row>
    <row r="1553">
      <c r="A1553" s="4"/>
      <c r="B1553" s="17"/>
      <c r="C1553" s="4"/>
      <c r="D1553" s="4"/>
      <c r="E1553" s="4"/>
      <c r="F1553" s="4"/>
      <c r="G1553" s="17"/>
      <c r="H1553" s="4"/>
      <c r="I1553" s="4"/>
      <c r="J1553" s="4"/>
      <c r="K1553" s="6"/>
      <c r="L1553" s="17"/>
      <c r="M1553" s="4"/>
      <c r="N1553" s="6"/>
      <c r="O1553" s="4"/>
      <c r="P1553" s="4"/>
      <c r="Q1553" s="4"/>
      <c r="R1553" s="4"/>
      <c r="S1553" s="4"/>
      <c r="T1553" s="4"/>
      <c r="U1553" s="4"/>
    </row>
    <row r="1554">
      <c r="A1554" s="4"/>
      <c r="B1554" s="17"/>
      <c r="C1554" s="4"/>
      <c r="D1554" s="4"/>
      <c r="E1554" s="4"/>
      <c r="F1554" s="4"/>
      <c r="G1554" s="17"/>
      <c r="H1554" s="4"/>
      <c r="I1554" s="4"/>
      <c r="J1554" s="4"/>
      <c r="K1554" s="6"/>
      <c r="L1554" s="17"/>
      <c r="M1554" s="4"/>
      <c r="N1554" s="6"/>
      <c r="O1554" s="4"/>
      <c r="P1554" s="4"/>
      <c r="Q1554" s="4"/>
      <c r="R1554" s="4"/>
      <c r="S1554" s="4"/>
      <c r="T1554" s="4"/>
      <c r="U1554" s="4"/>
    </row>
    <row r="1555">
      <c r="A1555" s="4"/>
      <c r="B1555" s="17"/>
      <c r="C1555" s="4"/>
      <c r="D1555" s="4"/>
      <c r="E1555" s="4"/>
      <c r="F1555" s="4"/>
      <c r="G1555" s="17"/>
      <c r="H1555" s="4"/>
      <c r="I1555" s="4"/>
      <c r="J1555" s="4"/>
      <c r="K1555" s="6"/>
      <c r="L1555" s="17"/>
      <c r="M1555" s="4"/>
      <c r="N1555" s="6"/>
      <c r="O1555" s="4"/>
      <c r="P1555" s="4"/>
      <c r="Q1555" s="4"/>
      <c r="R1555" s="4"/>
      <c r="S1555" s="4"/>
      <c r="T1555" s="4"/>
      <c r="U1555" s="4"/>
    </row>
    <row r="1556">
      <c r="A1556" s="4"/>
      <c r="B1556" s="17"/>
      <c r="C1556" s="4"/>
      <c r="D1556" s="4"/>
      <c r="E1556" s="4"/>
      <c r="F1556" s="4"/>
      <c r="G1556" s="17"/>
      <c r="H1556" s="4"/>
      <c r="I1556" s="4"/>
      <c r="J1556" s="4"/>
      <c r="K1556" s="6"/>
      <c r="L1556" s="17"/>
      <c r="M1556" s="4"/>
      <c r="N1556" s="6"/>
      <c r="O1556" s="4"/>
      <c r="P1556" s="4"/>
      <c r="Q1556" s="4"/>
      <c r="R1556" s="4"/>
      <c r="S1556" s="4"/>
      <c r="T1556" s="4"/>
      <c r="U1556" s="4"/>
    </row>
    <row r="1557">
      <c r="A1557" s="4"/>
      <c r="B1557" s="17"/>
      <c r="C1557" s="4"/>
      <c r="D1557" s="4"/>
      <c r="E1557" s="4"/>
      <c r="F1557" s="4"/>
      <c r="G1557" s="17"/>
      <c r="H1557" s="4"/>
      <c r="I1557" s="4"/>
      <c r="J1557" s="4"/>
      <c r="K1557" s="6"/>
      <c r="L1557" s="17"/>
      <c r="M1557" s="4"/>
      <c r="N1557" s="6"/>
      <c r="O1557" s="4"/>
      <c r="P1557" s="4"/>
      <c r="Q1557" s="4"/>
      <c r="R1557" s="4"/>
      <c r="S1557" s="4"/>
      <c r="T1557" s="4"/>
      <c r="U1557" s="4"/>
    </row>
    <row r="1558">
      <c r="A1558" s="4"/>
      <c r="B1558" s="17"/>
      <c r="C1558" s="4"/>
      <c r="D1558" s="4"/>
      <c r="E1558" s="4"/>
      <c r="F1558" s="4"/>
      <c r="G1558" s="17"/>
      <c r="H1558" s="4"/>
      <c r="I1558" s="4"/>
      <c r="J1558" s="4"/>
      <c r="K1558" s="6"/>
      <c r="L1558" s="17"/>
      <c r="M1558" s="4"/>
      <c r="N1558" s="6"/>
      <c r="O1558" s="4"/>
      <c r="P1558" s="4"/>
      <c r="Q1558" s="4"/>
      <c r="R1558" s="4"/>
      <c r="S1558" s="4"/>
      <c r="T1558" s="4"/>
      <c r="U1558" s="4"/>
    </row>
    <row r="1559">
      <c r="A1559" s="4"/>
      <c r="B1559" s="17"/>
      <c r="C1559" s="4"/>
      <c r="D1559" s="4"/>
      <c r="E1559" s="4"/>
      <c r="F1559" s="4"/>
      <c r="G1559" s="17"/>
      <c r="H1559" s="4"/>
      <c r="I1559" s="4"/>
      <c r="J1559" s="4"/>
      <c r="K1559" s="6"/>
      <c r="L1559" s="17"/>
      <c r="M1559" s="4"/>
      <c r="N1559" s="6"/>
      <c r="O1559" s="4"/>
      <c r="P1559" s="4"/>
      <c r="Q1559" s="4"/>
      <c r="R1559" s="4"/>
      <c r="S1559" s="4"/>
      <c r="T1559" s="4"/>
      <c r="U1559" s="4"/>
    </row>
    <row r="1560">
      <c r="A1560" s="4"/>
      <c r="B1560" s="17"/>
      <c r="C1560" s="4"/>
      <c r="D1560" s="4"/>
      <c r="E1560" s="4"/>
      <c r="F1560" s="4"/>
      <c r="G1560" s="17"/>
      <c r="H1560" s="4"/>
      <c r="I1560" s="4"/>
      <c r="J1560" s="4"/>
      <c r="K1560" s="6"/>
      <c r="L1560" s="17"/>
      <c r="M1560" s="4"/>
      <c r="N1560" s="6"/>
      <c r="O1560" s="4"/>
      <c r="P1560" s="4"/>
      <c r="Q1560" s="4"/>
      <c r="R1560" s="4"/>
      <c r="S1560" s="4"/>
      <c r="T1560" s="4"/>
      <c r="U1560" s="4"/>
    </row>
    <row r="1561">
      <c r="A1561" s="4"/>
      <c r="B1561" s="17"/>
      <c r="C1561" s="4"/>
      <c r="D1561" s="4"/>
      <c r="E1561" s="4"/>
      <c r="F1561" s="4"/>
      <c r="G1561" s="17"/>
      <c r="H1561" s="4"/>
      <c r="I1561" s="4"/>
      <c r="J1561" s="4"/>
      <c r="K1561" s="6"/>
      <c r="L1561" s="17"/>
      <c r="M1561" s="4"/>
      <c r="N1561" s="6"/>
      <c r="O1561" s="4"/>
      <c r="P1561" s="4"/>
      <c r="Q1561" s="4"/>
      <c r="R1561" s="4"/>
      <c r="S1561" s="4"/>
      <c r="T1561" s="4"/>
      <c r="U1561" s="4"/>
    </row>
    <row r="1562">
      <c r="A1562" s="4"/>
      <c r="B1562" s="17"/>
      <c r="C1562" s="4"/>
      <c r="D1562" s="4"/>
      <c r="E1562" s="4"/>
      <c r="F1562" s="4"/>
      <c r="G1562" s="17"/>
      <c r="H1562" s="4"/>
      <c r="I1562" s="4"/>
      <c r="J1562" s="4"/>
      <c r="K1562" s="6"/>
      <c r="L1562" s="17"/>
      <c r="M1562" s="4"/>
      <c r="N1562" s="6"/>
      <c r="O1562" s="4"/>
      <c r="P1562" s="4"/>
      <c r="Q1562" s="4"/>
      <c r="R1562" s="4"/>
      <c r="S1562" s="4"/>
      <c r="T1562" s="4"/>
      <c r="U1562" s="4"/>
    </row>
    <row r="1563">
      <c r="A1563" s="4"/>
      <c r="B1563" s="17"/>
      <c r="C1563" s="4"/>
      <c r="D1563" s="4"/>
      <c r="E1563" s="4"/>
      <c r="F1563" s="4"/>
      <c r="G1563" s="17"/>
      <c r="H1563" s="4"/>
      <c r="I1563" s="4"/>
      <c r="J1563" s="4"/>
      <c r="K1563" s="6"/>
      <c r="L1563" s="17"/>
      <c r="M1563" s="4"/>
      <c r="N1563" s="6"/>
      <c r="O1563" s="4"/>
      <c r="P1563" s="4"/>
      <c r="Q1563" s="4"/>
      <c r="R1563" s="4"/>
      <c r="S1563" s="4"/>
      <c r="T1563" s="4"/>
      <c r="U1563" s="4"/>
    </row>
    <row r="1564">
      <c r="A1564" s="4"/>
      <c r="B1564" s="17"/>
      <c r="C1564" s="4"/>
      <c r="D1564" s="4"/>
      <c r="E1564" s="4"/>
      <c r="F1564" s="4"/>
      <c r="G1564" s="17"/>
      <c r="H1564" s="4"/>
      <c r="I1564" s="4"/>
      <c r="J1564" s="4"/>
      <c r="K1564" s="6"/>
      <c r="L1564" s="17"/>
      <c r="M1564" s="4"/>
      <c r="N1564" s="6"/>
      <c r="O1564" s="4"/>
      <c r="P1564" s="4"/>
      <c r="Q1564" s="4"/>
      <c r="R1564" s="4"/>
      <c r="S1564" s="4"/>
      <c r="T1564" s="4"/>
      <c r="U1564" s="4"/>
    </row>
    <row r="1565">
      <c r="A1565" s="4"/>
      <c r="B1565" s="17"/>
      <c r="C1565" s="4"/>
      <c r="D1565" s="4"/>
      <c r="E1565" s="4"/>
      <c r="F1565" s="4"/>
      <c r="G1565" s="17"/>
      <c r="H1565" s="4"/>
      <c r="I1565" s="4"/>
      <c r="J1565" s="4"/>
      <c r="K1565" s="6"/>
      <c r="L1565" s="17"/>
      <c r="M1565" s="4"/>
      <c r="N1565" s="6"/>
      <c r="O1565" s="4"/>
      <c r="P1565" s="4"/>
      <c r="Q1565" s="4"/>
      <c r="R1565" s="4"/>
      <c r="S1565" s="4"/>
      <c r="T1565" s="4"/>
      <c r="U1565" s="4"/>
    </row>
    <row r="1566">
      <c r="A1566" s="4"/>
      <c r="B1566" s="17"/>
      <c r="C1566" s="4"/>
      <c r="D1566" s="4"/>
      <c r="E1566" s="4"/>
      <c r="F1566" s="4"/>
      <c r="G1566" s="17"/>
      <c r="H1566" s="4"/>
      <c r="I1566" s="4"/>
      <c r="J1566" s="4"/>
      <c r="K1566" s="6"/>
      <c r="L1566" s="17"/>
      <c r="M1566" s="4"/>
      <c r="N1566" s="6"/>
      <c r="O1566" s="4"/>
      <c r="P1566" s="4"/>
      <c r="Q1566" s="4"/>
      <c r="R1566" s="4"/>
      <c r="S1566" s="4"/>
      <c r="T1566" s="4"/>
      <c r="U1566" s="4"/>
    </row>
    <row r="1567">
      <c r="A1567" s="4"/>
      <c r="B1567" s="17"/>
      <c r="C1567" s="4"/>
      <c r="D1567" s="4"/>
      <c r="E1567" s="4"/>
      <c r="F1567" s="4"/>
      <c r="G1567" s="17"/>
      <c r="H1567" s="4"/>
      <c r="I1567" s="4"/>
      <c r="J1567" s="4"/>
      <c r="K1567" s="6"/>
      <c r="L1567" s="17"/>
      <c r="M1567" s="4"/>
      <c r="N1567" s="6"/>
      <c r="O1567" s="4"/>
      <c r="P1567" s="4"/>
      <c r="Q1567" s="4"/>
      <c r="R1567" s="4"/>
      <c r="S1567" s="4"/>
      <c r="T1567" s="4"/>
      <c r="U1567" s="4"/>
    </row>
    <row r="1568">
      <c r="A1568" s="4"/>
      <c r="B1568" s="17"/>
      <c r="C1568" s="4"/>
      <c r="D1568" s="4"/>
      <c r="E1568" s="4"/>
      <c r="F1568" s="4"/>
      <c r="G1568" s="17"/>
      <c r="H1568" s="4"/>
      <c r="I1568" s="4"/>
      <c r="J1568" s="4"/>
      <c r="K1568" s="6"/>
      <c r="L1568" s="17"/>
      <c r="M1568" s="4"/>
      <c r="N1568" s="6"/>
      <c r="O1568" s="4"/>
      <c r="P1568" s="4"/>
      <c r="Q1568" s="4"/>
      <c r="R1568" s="4"/>
      <c r="S1568" s="4"/>
      <c r="T1568" s="4"/>
      <c r="U1568" s="4"/>
    </row>
    <row r="1569">
      <c r="A1569" s="4"/>
      <c r="B1569" s="17"/>
      <c r="C1569" s="4"/>
      <c r="D1569" s="4"/>
      <c r="E1569" s="4"/>
      <c r="F1569" s="4"/>
      <c r="G1569" s="17"/>
      <c r="H1569" s="4"/>
      <c r="I1569" s="4"/>
      <c r="J1569" s="4"/>
      <c r="K1569" s="6"/>
      <c r="L1569" s="17"/>
      <c r="M1569" s="4"/>
      <c r="N1569" s="6"/>
      <c r="O1569" s="4"/>
      <c r="P1569" s="4"/>
      <c r="Q1569" s="4"/>
      <c r="R1569" s="4"/>
      <c r="S1569" s="4"/>
      <c r="T1569" s="4"/>
      <c r="U1569" s="4"/>
    </row>
    <row r="1570">
      <c r="A1570" s="4"/>
      <c r="B1570" s="17"/>
      <c r="C1570" s="4"/>
      <c r="D1570" s="4"/>
      <c r="E1570" s="4"/>
      <c r="F1570" s="4"/>
      <c r="G1570" s="17"/>
      <c r="H1570" s="4"/>
      <c r="I1570" s="4"/>
      <c r="J1570" s="4"/>
      <c r="K1570" s="6"/>
      <c r="L1570" s="17"/>
      <c r="M1570" s="4"/>
      <c r="N1570" s="6"/>
      <c r="O1570" s="4"/>
      <c r="P1570" s="4"/>
      <c r="Q1570" s="4"/>
      <c r="R1570" s="4"/>
      <c r="S1570" s="4"/>
      <c r="T1570" s="4"/>
      <c r="U1570" s="4"/>
    </row>
    <row r="1571">
      <c r="A1571" s="4"/>
      <c r="B1571" s="17"/>
      <c r="C1571" s="4"/>
      <c r="D1571" s="4"/>
      <c r="E1571" s="4"/>
      <c r="F1571" s="4"/>
      <c r="G1571" s="17"/>
      <c r="H1571" s="4"/>
      <c r="I1571" s="4"/>
      <c r="J1571" s="4"/>
      <c r="K1571" s="6"/>
      <c r="L1571" s="17"/>
      <c r="M1571" s="4"/>
      <c r="N1571" s="6"/>
      <c r="O1571" s="4"/>
      <c r="P1571" s="4"/>
      <c r="Q1571" s="4"/>
      <c r="R1571" s="4"/>
      <c r="S1571" s="4"/>
      <c r="T1571" s="4"/>
      <c r="U1571" s="4"/>
    </row>
    <row r="1572">
      <c r="A1572" s="4"/>
      <c r="B1572" s="17"/>
      <c r="C1572" s="4"/>
      <c r="D1572" s="4"/>
      <c r="E1572" s="4"/>
      <c r="F1572" s="4"/>
      <c r="G1572" s="17"/>
      <c r="H1572" s="4"/>
      <c r="I1572" s="4"/>
      <c r="J1572" s="4"/>
      <c r="K1572" s="6"/>
      <c r="L1572" s="17"/>
      <c r="M1572" s="4"/>
      <c r="N1572" s="6"/>
      <c r="O1572" s="4"/>
      <c r="P1572" s="4"/>
      <c r="Q1572" s="4"/>
      <c r="R1572" s="4"/>
      <c r="S1572" s="4"/>
      <c r="T1572" s="4"/>
      <c r="U1572" s="4"/>
    </row>
    <row r="1573">
      <c r="A1573" s="4"/>
      <c r="B1573" s="17"/>
      <c r="C1573" s="4"/>
      <c r="D1573" s="4"/>
      <c r="E1573" s="4"/>
      <c r="F1573" s="4"/>
      <c r="G1573" s="17"/>
      <c r="H1573" s="4"/>
      <c r="I1573" s="4"/>
      <c r="J1573" s="4"/>
      <c r="K1573" s="6"/>
      <c r="L1573" s="17"/>
      <c r="M1573" s="4"/>
      <c r="N1573" s="6"/>
      <c r="O1573" s="4"/>
      <c r="P1573" s="4"/>
      <c r="Q1573" s="4"/>
      <c r="R1573" s="4"/>
      <c r="S1573" s="4"/>
      <c r="T1573" s="4"/>
      <c r="U1573" s="4"/>
    </row>
    <row r="1574">
      <c r="A1574" s="4"/>
      <c r="B1574" s="17"/>
      <c r="C1574" s="4"/>
      <c r="D1574" s="4"/>
      <c r="E1574" s="4"/>
      <c r="F1574" s="4"/>
      <c r="G1574" s="17"/>
      <c r="H1574" s="4"/>
      <c r="I1574" s="4"/>
      <c r="J1574" s="4"/>
      <c r="K1574" s="6"/>
      <c r="L1574" s="17"/>
      <c r="M1574" s="4"/>
      <c r="N1574" s="6"/>
      <c r="O1574" s="4"/>
      <c r="P1574" s="4"/>
      <c r="Q1574" s="4"/>
      <c r="R1574" s="4"/>
      <c r="S1574" s="4"/>
      <c r="T1574" s="4"/>
      <c r="U1574" s="4"/>
    </row>
    <row r="1575">
      <c r="A1575" s="4"/>
      <c r="B1575" s="17"/>
      <c r="C1575" s="4"/>
      <c r="D1575" s="4"/>
      <c r="E1575" s="4"/>
      <c r="F1575" s="4"/>
      <c r="G1575" s="17"/>
      <c r="H1575" s="4"/>
      <c r="I1575" s="4"/>
      <c r="J1575" s="4"/>
      <c r="K1575" s="6"/>
      <c r="L1575" s="17"/>
      <c r="M1575" s="4"/>
      <c r="N1575" s="6"/>
      <c r="O1575" s="4"/>
      <c r="P1575" s="4"/>
      <c r="Q1575" s="4"/>
      <c r="R1575" s="4"/>
      <c r="S1575" s="4"/>
      <c r="T1575" s="4"/>
      <c r="U1575" s="4"/>
    </row>
    <row r="1576">
      <c r="A1576" s="4"/>
      <c r="B1576" s="17"/>
      <c r="C1576" s="4"/>
      <c r="D1576" s="4"/>
      <c r="E1576" s="4"/>
      <c r="F1576" s="4"/>
      <c r="G1576" s="17"/>
      <c r="H1576" s="4"/>
      <c r="I1576" s="4"/>
      <c r="J1576" s="4"/>
      <c r="K1576" s="6"/>
      <c r="L1576" s="17"/>
      <c r="M1576" s="4"/>
      <c r="N1576" s="6"/>
      <c r="O1576" s="4"/>
      <c r="P1576" s="4"/>
      <c r="Q1576" s="4"/>
      <c r="R1576" s="4"/>
      <c r="S1576" s="4"/>
      <c r="T1576" s="4"/>
      <c r="U1576" s="4"/>
    </row>
    <row r="1577">
      <c r="A1577" s="4"/>
      <c r="B1577" s="17"/>
      <c r="C1577" s="4"/>
      <c r="D1577" s="4"/>
      <c r="E1577" s="4"/>
      <c r="F1577" s="4"/>
      <c r="G1577" s="17"/>
      <c r="H1577" s="4"/>
      <c r="I1577" s="4"/>
      <c r="J1577" s="4"/>
      <c r="K1577" s="6"/>
      <c r="L1577" s="17"/>
      <c r="M1577" s="4"/>
      <c r="N1577" s="6"/>
      <c r="O1577" s="4"/>
      <c r="P1577" s="4"/>
      <c r="Q1577" s="4"/>
      <c r="R1577" s="4"/>
      <c r="S1577" s="4"/>
      <c r="T1577" s="4"/>
      <c r="U1577" s="4"/>
    </row>
    <row r="1578">
      <c r="A1578" s="4"/>
      <c r="B1578" s="17"/>
      <c r="C1578" s="4"/>
      <c r="D1578" s="4"/>
      <c r="E1578" s="4"/>
      <c r="F1578" s="4"/>
      <c r="G1578" s="17"/>
      <c r="H1578" s="4"/>
      <c r="I1578" s="4"/>
      <c r="J1578" s="4"/>
      <c r="K1578" s="6"/>
      <c r="L1578" s="17"/>
      <c r="M1578" s="4"/>
      <c r="N1578" s="6"/>
      <c r="O1578" s="4"/>
      <c r="P1578" s="4"/>
      <c r="Q1578" s="4"/>
      <c r="R1578" s="4"/>
      <c r="S1578" s="4"/>
      <c r="T1578" s="4"/>
      <c r="U1578" s="4"/>
    </row>
    <row r="1579">
      <c r="A1579" s="4"/>
      <c r="B1579" s="17"/>
      <c r="C1579" s="4"/>
      <c r="D1579" s="4"/>
      <c r="E1579" s="4"/>
      <c r="F1579" s="4"/>
      <c r="G1579" s="17"/>
      <c r="H1579" s="4"/>
      <c r="I1579" s="4"/>
      <c r="J1579" s="4"/>
      <c r="K1579" s="6"/>
      <c r="L1579" s="17"/>
      <c r="M1579" s="4"/>
      <c r="N1579" s="6"/>
      <c r="O1579" s="4"/>
      <c r="P1579" s="4"/>
      <c r="Q1579" s="4"/>
      <c r="R1579" s="4"/>
      <c r="S1579" s="4"/>
      <c r="T1579" s="4"/>
      <c r="U1579" s="4"/>
    </row>
    <row r="1580">
      <c r="A1580" s="4"/>
      <c r="B1580" s="17"/>
      <c r="C1580" s="4"/>
      <c r="D1580" s="4"/>
      <c r="E1580" s="4"/>
      <c r="F1580" s="4"/>
      <c r="G1580" s="17"/>
      <c r="H1580" s="4"/>
      <c r="I1580" s="4"/>
      <c r="J1580" s="4"/>
      <c r="K1580" s="6"/>
      <c r="L1580" s="17"/>
      <c r="M1580" s="4"/>
      <c r="N1580" s="6"/>
      <c r="O1580" s="4"/>
      <c r="P1580" s="4"/>
      <c r="Q1580" s="4"/>
      <c r="R1580" s="4"/>
      <c r="S1580" s="4"/>
      <c r="T1580" s="4"/>
      <c r="U1580" s="4"/>
    </row>
    <row r="1581">
      <c r="A1581" s="4"/>
      <c r="B1581" s="17"/>
      <c r="C1581" s="4"/>
      <c r="D1581" s="4"/>
      <c r="E1581" s="4"/>
      <c r="F1581" s="4"/>
      <c r="G1581" s="17"/>
      <c r="H1581" s="4"/>
      <c r="I1581" s="4"/>
      <c r="J1581" s="4"/>
      <c r="K1581" s="6"/>
      <c r="L1581" s="17"/>
      <c r="M1581" s="4"/>
      <c r="N1581" s="6"/>
      <c r="O1581" s="4"/>
      <c r="P1581" s="4"/>
      <c r="Q1581" s="4"/>
      <c r="R1581" s="4"/>
      <c r="S1581" s="4"/>
      <c r="T1581" s="4"/>
      <c r="U1581" s="4"/>
    </row>
    <row r="1582">
      <c r="A1582" s="4"/>
      <c r="B1582" s="17"/>
      <c r="C1582" s="4"/>
      <c r="D1582" s="4"/>
      <c r="E1582" s="4"/>
      <c r="F1582" s="4"/>
      <c r="G1582" s="17"/>
      <c r="H1582" s="4"/>
      <c r="I1582" s="4"/>
      <c r="J1582" s="4"/>
      <c r="K1582" s="6"/>
      <c r="L1582" s="17"/>
      <c r="M1582" s="4"/>
      <c r="N1582" s="6"/>
      <c r="O1582" s="4"/>
      <c r="P1582" s="4"/>
      <c r="Q1582" s="4"/>
      <c r="R1582" s="4"/>
      <c r="S1582" s="4"/>
      <c r="T1582" s="4"/>
      <c r="U1582" s="4"/>
    </row>
    <row r="1583">
      <c r="A1583" s="4"/>
      <c r="B1583" s="17"/>
      <c r="C1583" s="4"/>
      <c r="D1583" s="4"/>
      <c r="E1583" s="4"/>
      <c r="F1583" s="4"/>
      <c r="G1583" s="17"/>
      <c r="H1583" s="4"/>
      <c r="I1583" s="4"/>
      <c r="J1583" s="4"/>
      <c r="K1583" s="6"/>
      <c r="L1583" s="17"/>
      <c r="M1583" s="4"/>
      <c r="N1583" s="6"/>
      <c r="O1583" s="4"/>
      <c r="P1583" s="4"/>
      <c r="Q1583" s="4"/>
      <c r="R1583" s="4"/>
      <c r="S1583" s="4"/>
      <c r="T1583" s="4"/>
      <c r="U1583" s="4"/>
    </row>
    <row r="1584">
      <c r="A1584" s="4"/>
      <c r="B1584" s="17"/>
      <c r="C1584" s="4"/>
      <c r="D1584" s="4"/>
      <c r="E1584" s="4"/>
      <c r="F1584" s="4"/>
      <c r="G1584" s="17"/>
      <c r="H1584" s="4"/>
      <c r="I1584" s="4"/>
      <c r="J1584" s="4"/>
      <c r="K1584" s="6"/>
      <c r="L1584" s="17"/>
      <c r="M1584" s="4"/>
      <c r="N1584" s="6"/>
      <c r="O1584" s="4"/>
      <c r="P1584" s="4"/>
      <c r="Q1584" s="4"/>
      <c r="R1584" s="4"/>
      <c r="S1584" s="4"/>
      <c r="T1584" s="4"/>
      <c r="U1584" s="4"/>
    </row>
    <row r="1585">
      <c r="A1585" s="4"/>
      <c r="B1585" s="17"/>
      <c r="C1585" s="4"/>
      <c r="D1585" s="4"/>
      <c r="E1585" s="4"/>
      <c r="F1585" s="4"/>
      <c r="G1585" s="17"/>
      <c r="H1585" s="4"/>
      <c r="I1585" s="4"/>
      <c r="J1585" s="4"/>
      <c r="K1585" s="6"/>
      <c r="L1585" s="17"/>
      <c r="M1585" s="4"/>
      <c r="N1585" s="6"/>
      <c r="O1585" s="4"/>
      <c r="P1585" s="4"/>
      <c r="Q1585" s="4"/>
      <c r="R1585" s="4"/>
      <c r="S1585" s="4"/>
      <c r="T1585" s="4"/>
      <c r="U1585" s="4"/>
    </row>
    <row r="1586">
      <c r="A1586" s="4"/>
      <c r="B1586" s="17"/>
      <c r="C1586" s="4"/>
      <c r="D1586" s="4"/>
      <c r="E1586" s="4"/>
      <c r="F1586" s="4"/>
      <c r="G1586" s="17"/>
      <c r="H1586" s="4"/>
      <c r="I1586" s="4"/>
      <c r="J1586" s="4"/>
      <c r="K1586" s="6"/>
      <c r="L1586" s="17"/>
      <c r="M1586" s="4"/>
      <c r="N1586" s="6"/>
      <c r="O1586" s="4"/>
      <c r="P1586" s="4"/>
      <c r="Q1586" s="4"/>
      <c r="R1586" s="4"/>
      <c r="S1586" s="4"/>
      <c r="T1586" s="4"/>
      <c r="U1586" s="4"/>
    </row>
    <row r="1587">
      <c r="A1587" s="4"/>
      <c r="B1587" s="17"/>
      <c r="C1587" s="4"/>
      <c r="D1587" s="4"/>
      <c r="E1587" s="4"/>
      <c r="F1587" s="4"/>
      <c r="G1587" s="17"/>
      <c r="H1587" s="4"/>
      <c r="I1587" s="4"/>
      <c r="J1587" s="4"/>
      <c r="K1587" s="6"/>
      <c r="L1587" s="17"/>
      <c r="M1587" s="4"/>
      <c r="N1587" s="6"/>
      <c r="O1587" s="4"/>
      <c r="P1587" s="4"/>
      <c r="Q1587" s="4"/>
      <c r="R1587" s="4"/>
      <c r="S1587" s="4"/>
      <c r="T1587" s="4"/>
      <c r="U1587" s="4"/>
    </row>
    <row r="1588">
      <c r="A1588" s="4"/>
      <c r="B1588" s="17"/>
      <c r="C1588" s="4"/>
      <c r="D1588" s="4"/>
      <c r="E1588" s="4"/>
      <c r="F1588" s="4"/>
      <c r="G1588" s="17"/>
      <c r="H1588" s="4"/>
      <c r="I1588" s="4"/>
      <c r="J1588" s="4"/>
      <c r="K1588" s="6"/>
      <c r="L1588" s="17"/>
      <c r="M1588" s="4"/>
      <c r="N1588" s="6"/>
      <c r="O1588" s="4"/>
      <c r="P1588" s="4"/>
      <c r="Q1588" s="4"/>
      <c r="R1588" s="4"/>
      <c r="S1588" s="4"/>
      <c r="T1588" s="4"/>
      <c r="U1588" s="4"/>
    </row>
    <row r="1589">
      <c r="A1589" s="4"/>
      <c r="B1589" s="17"/>
      <c r="C1589" s="4"/>
      <c r="D1589" s="4"/>
      <c r="E1589" s="4"/>
      <c r="F1589" s="4"/>
      <c r="G1589" s="17"/>
      <c r="H1589" s="4"/>
      <c r="I1589" s="4"/>
      <c r="J1589" s="4"/>
      <c r="K1589" s="6"/>
      <c r="L1589" s="17"/>
      <c r="M1589" s="4"/>
      <c r="N1589" s="6"/>
      <c r="O1589" s="4"/>
      <c r="P1589" s="4"/>
      <c r="Q1589" s="4"/>
      <c r="R1589" s="4"/>
      <c r="S1589" s="4"/>
      <c r="T1589" s="4"/>
      <c r="U1589" s="4"/>
    </row>
    <row r="1590">
      <c r="A1590" s="4"/>
      <c r="B1590" s="17"/>
      <c r="C1590" s="4"/>
      <c r="D1590" s="4"/>
      <c r="E1590" s="4"/>
      <c r="F1590" s="4"/>
      <c r="G1590" s="17"/>
      <c r="H1590" s="4"/>
      <c r="I1590" s="4"/>
      <c r="J1590" s="4"/>
      <c r="K1590" s="6"/>
      <c r="L1590" s="17"/>
      <c r="M1590" s="4"/>
      <c r="N1590" s="6"/>
      <c r="O1590" s="4"/>
      <c r="P1590" s="4"/>
      <c r="Q1590" s="4"/>
      <c r="R1590" s="4"/>
      <c r="S1590" s="4"/>
      <c r="T1590" s="4"/>
      <c r="U1590" s="4"/>
    </row>
    <row r="1591">
      <c r="A1591" s="4"/>
      <c r="B1591" s="17"/>
      <c r="C1591" s="4"/>
      <c r="D1591" s="4"/>
      <c r="E1591" s="4"/>
      <c r="F1591" s="4"/>
      <c r="G1591" s="17"/>
      <c r="H1591" s="4"/>
      <c r="I1591" s="4"/>
      <c r="J1591" s="4"/>
      <c r="K1591" s="6"/>
      <c r="L1591" s="17"/>
      <c r="M1591" s="4"/>
      <c r="N1591" s="6"/>
      <c r="O1591" s="4"/>
      <c r="P1591" s="4"/>
      <c r="Q1591" s="4"/>
      <c r="R1591" s="4"/>
      <c r="S1591" s="4"/>
      <c r="T1591" s="4"/>
      <c r="U1591" s="4"/>
    </row>
    <row r="1592">
      <c r="A1592" s="4"/>
      <c r="B1592" s="17"/>
      <c r="C1592" s="4"/>
      <c r="D1592" s="4"/>
      <c r="E1592" s="4"/>
      <c r="F1592" s="4"/>
      <c r="G1592" s="17"/>
      <c r="H1592" s="4"/>
      <c r="I1592" s="4"/>
      <c r="J1592" s="4"/>
      <c r="K1592" s="6"/>
      <c r="L1592" s="17"/>
      <c r="M1592" s="4"/>
      <c r="N1592" s="6"/>
      <c r="O1592" s="4"/>
      <c r="P1592" s="4"/>
      <c r="Q1592" s="4"/>
      <c r="R1592" s="4"/>
      <c r="S1592" s="4"/>
      <c r="T1592" s="4"/>
      <c r="U1592" s="4"/>
    </row>
    <row r="1593">
      <c r="A1593" s="4"/>
      <c r="B1593" s="17"/>
      <c r="C1593" s="4"/>
      <c r="D1593" s="4"/>
      <c r="E1593" s="4"/>
      <c r="F1593" s="4"/>
      <c r="G1593" s="17"/>
      <c r="H1593" s="4"/>
      <c r="I1593" s="4"/>
      <c r="J1593" s="4"/>
      <c r="K1593" s="6"/>
      <c r="L1593" s="17"/>
      <c r="M1593" s="4"/>
      <c r="N1593" s="6"/>
      <c r="O1593" s="4"/>
      <c r="P1593" s="4"/>
      <c r="Q1593" s="4"/>
      <c r="R1593" s="4"/>
      <c r="S1593" s="4"/>
      <c r="T1593" s="4"/>
      <c r="U1593" s="4"/>
    </row>
    <row r="1594">
      <c r="A1594" s="4"/>
      <c r="B1594" s="17"/>
      <c r="C1594" s="4"/>
      <c r="D1594" s="4"/>
      <c r="E1594" s="4"/>
      <c r="F1594" s="4"/>
      <c r="G1594" s="17"/>
      <c r="H1594" s="4"/>
      <c r="I1594" s="4"/>
      <c r="J1594" s="4"/>
      <c r="K1594" s="6"/>
      <c r="L1594" s="17"/>
      <c r="M1594" s="4"/>
      <c r="N1594" s="6"/>
      <c r="O1594" s="4"/>
      <c r="P1594" s="4"/>
      <c r="Q1594" s="4"/>
      <c r="R1594" s="4"/>
      <c r="S1594" s="4"/>
      <c r="T1594" s="4"/>
      <c r="U1594" s="4"/>
    </row>
    <row r="1595">
      <c r="A1595" s="4"/>
      <c r="B1595" s="17"/>
      <c r="C1595" s="4"/>
      <c r="D1595" s="4"/>
      <c r="E1595" s="4"/>
      <c r="F1595" s="4"/>
      <c r="G1595" s="17"/>
      <c r="H1595" s="4"/>
      <c r="I1595" s="4"/>
      <c r="J1595" s="4"/>
      <c r="K1595" s="6"/>
      <c r="L1595" s="17"/>
      <c r="M1595" s="4"/>
      <c r="N1595" s="6"/>
      <c r="O1595" s="4"/>
      <c r="P1595" s="4"/>
      <c r="Q1595" s="4"/>
      <c r="R1595" s="4"/>
      <c r="S1595" s="4"/>
      <c r="T1595" s="4"/>
      <c r="U1595" s="4"/>
    </row>
    <row r="1596">
      <c r="A1596" s="4"/>
      <c r="B1596" s="17"/>
      <c r="C1596" s="4"/>
      <c r="D1596" s="4"/>
      <c r="E1596" s="4"/>
      <c r="F1596" s="4"/>
      <c r="G1596" s="17"/>
      <c r="H1596" s="4"/>
      <c r="I1596" s="4"/>
      <c r="J1596" s="4"/>
      <c r="K1596" s="6"/>
      <c r="L1596" s="17"/>
      <c r="M1596" s="4"/>
      <c r="N1596" s="6"/>
      <c r="O1596" s="4"/>
      <c r="P1596" s="4"/>
      <c r="Q1596" s="4"/>
      <c r="R1596" s="4"/>
      <c r="S1596" s="4"/>
      <c r="T1596" s="4"/>
      <c r="U1596" s="4"/>
    </row>
    <row r="1597">
      <c r="A1597" s="4"/>
      <c r="B1597" s="17"/>
      <c r="C1597" s="4"/>
      <c r="D1597" s="4"/>
      <c r="E1597" s="4"/>
      <c r="F1597" s="4"/>
      <c r="G1597" s="17"/>
      <c r="H1597" s="4"/>
      <c r="I1597" s="4"/>
      <c r="J1597" s="4"/>
      <c r="K1597" s="6"/>
      <c r="L1597" s="17"/>
      <c r="M1597" s="4"/>
      <c r="N1597" s="6"/>
      <c r="O1597" s="4"/>
      <c r="P1597" s="4"/>
      <c r="Q1597" s="4"/>
      <c r="R1597" s="4"/>
      <c r="S1597" s="4"/>
      <c r="T1597" s="4"/>
      <c r="U1597" s="4"/>
    </row>
    <row r="1598">
      <c r="A1598" s="4"/>
      <c r="B1598" s="17"/>
      <c r="C1598" s="4"/>
      <c r="D1598" s="4"/>
      <c r="E1598" s="4"/>
      <c r="F1598" s="4"/>
      <c r="G1598" s="17"/>
      <c r="H1598" s="4"/>
      <c r="I1598" s="4"/>
      <c r="J1598" s="4"/>
      <c r="K1598" s="6"/>
      <c r="L1598" s="17"/>
      <c r="M1598" s="4"/>
      <c r="N1598" s="6"/>
      <c r="O1598" s="4"/>
      <c r="P1598" s="4"/>
      <c r="Q1598" s="4"/>
      <c r="R1598" s="4"/>
      <c r="S1598" s="4"/>
      <c r="T1598" s="4"/>
      <c r="U1598" s="4"/>
    </row>
    <row r="1599">
      <c r="A1599" s="4"/>
      <c r="B1599" s="17"/>
      <c r="C1599" s="4"/>
      <c r="D1599" s="4"/>
      <c r="E1599" s="4"/>
      <c r="F1599" s="4"/>
      <c r="G1599" s="17"/>
      <c r="H1599" s="4"/>
      <c r="I1599" s="4"/>
      <c r="J1599" s="4"/>
      <c r="K1599" s="6"/>
      <c r="L1599" s="17"/>
      <c r="M1599" s="4"/>
      <c r="N1599" s="6"/>
      <c r="O1599" s="4"/>
      <c r="P1599" s="4"/>
      <c r="Q1599" s="4"/>
      <c r="R1599" s="4"/>
      <c r="S1599" s="4"/>
      <c r="T1599" s="4"/>
      <c r="U1599" s="4"/>
    </row>
    <row r="1600">
      <c r="A1600" s="4"/>
      <c r="B1600" s="17"/>
      <c r="C1600" s="4"/>
      <c r="D1600" s="4"/>
      <c r="E1600" s="4"/>
      <c r="F1600" s="4"/>
      <c r="G1600" s="17"/>
      <c r="H1600" s="4"/>
      <c r="I1600" s="4"/>
      <c r="J1600" s="4"/>
      <c r="K1600" s="6"/>
      <c r="L1600" s="17"/>
      <c r="M1600" s="4"/>
      <c r="N1600" s="6"/>
      <c r="O1600" s="4"/>
      <c r="P1600" s="4"/>
      <c r="Q1600" s="4"/>
      <c r="R1600" s="4"/>
      <c r="S1600" s="4"/>
      <c r="T1600" s="4"/>
      <c r="U1600" s="4"/>
    </row>
    <row r="1601">
      <c r="A1601" s="4"/>
      <c r="B1601" s="17"/>
      <c r="C1601" s="4"/>
      <c r="D1601" s="4"/>
      <c r="E1601" s="4"/>
      <c r="F1601" s="4"/>
      <c r="G1601" s="17"/>
      <c r="H1601" s="4"/>
      <c r="I1601" s="4"/>
      <c r="J1601" s="4"/>
      <c r="K1601" s="6"/>
      <c r="L1601" s="17"/>
      <c r="M1601" s="4"/>
      <c r="N1601" s="6"/>
      <c r="O1601" s="4"/>
      <c r="P1601" s="4"/>
      <c r="Q1601" s="4"/>
      <c r="R1601" s="4"/>
      <c r="S1601" s="4"/>
      <c r="T1601" s="4"/>
      <c r="U1601" s="4"/>
    </row>
    <row r="1602">
      <c r="A1602" s="4"/>
      <c r="B1602" s="17"/>
      <c r="C1602" s="4"/>
      <c r="D1602" s="4"/>
      <c r="E1602" s="4"/>
      <c r="F1602" s="4"/>
      <c r="G1602" s="17"/>
      <c r="H1602" s="4"/>
      <c r="I1602" s="4"/>
      <c r="J1602" s="4"/>
      <c r="K1602" s="6"/>
      <c r="L1602" s="17"/>
      <c r="M1602" s="4"/>
      <c r="N1602" s="6"/>
      <c r="O1602" s="4"/>
      <c r="P1602" s="4"/>
      <c r="Q1602" s="4"/>
      <c r="R1602" s="4"/>
      <c r="S1602" s="4"/>
      <c r="T1602" s="4"/>
      <c r="U1602" s="4"/>
    </row>
    <row r="1603">
      <c r="A1603" s="4"/>
      <c r="B1603" s="17"/>
      <c r="C1603" s="4"/>
      <c r="D1603" s="4"/>
      <c r="E1603" s="4"/>
      <c r="F1603" s="4"/>
      <c r="G1603" s="17"/>
      <c r="H1603" s="4"/>
      <c r="I1603" s="4"/>
      <c r="J1603" s="4"/>
      <c r="K1603" s="6"/>
      <c r="L1603" s="17"/>
      <c r="M1603" s="4"/>
      <c r="N1603" s="6"/>
      <c r="O1603" s="4"/>
      <c r="P1603" s="4"/>
      <c r="Q1603" s="4"/>
      <c r="R1603" s="4"/>
      <c r="S1603" s="4"/>
      <c r="T1603" s="4"/>
      <c r="U1603" s="4"/>
    </row>
    <row r="1604">
      <c r="A1604" s="4"/>
      <c r="B1604" s="17"/>
      <c r="C1604" s="4"/>
      <c r="D1604" s="4"/>
      <c r="E1604" s="4"/>
      <c r="F1604" s="4"/>
      <c r="G1604" s="17"/>
      <c r="H1604" s="4"/>
      <c r="I1604" s="4"/>
      <c r="J1604" s="4"/>
      <c r="K1604" s="6"/>
      <c r="L1604" s="17"/>
      <c r="M1604" s="4"/>
      <c r="N1604" s="6"/>
      <c r="O1604" s="4"/>
      <c r="P1604" s="4"/>
      <c r="Q1604" s="4"/>
      <c r="R1604" s="4"/>
      <c r="S1604" s="4"/>
      <c r="T1604" s="4"/>
      <c r="U1604" s="4"/>
    </row>
    <row r="1605">
      <c r="A1605" s="4"/>
      <c r="B1605" s="17"/>
      <c r="C1605" s="4"/>
      <c r="D1605" s="4"/>
      <c r="E1605" s="4"/>
      <c r="F1605" s="4"/>
      <c r="G1605" s="17"/>
      <c r="H1605" s="4"/>
      <c r="I1605" s="4"/>
      <c r="J1605" s="4"/>
      <c r="K1605" s="6"/>
      <c r="L1605" s="17"/>
      <c r="M1605" s="4"/>
      <c r="N1605" s="6"/>
      <c r="O1605" s="4"/>
      <c r="P1605" s="4"/>
      <c r="Q1605" s="4"/>
      <c r="R1605" s="4"/>
      <c r="S1605" s="4"/>
      <c r="T1605" s="4"/>
      <c r="U1605" s="4"/>
    </row>
    <row r="1606">
      <c r="A1606" s="4"/>
      <c r="B1606" s="17"/>
      <c r="C1606" s="4"/>
      <c r="D1606" s="4"/>
      <c r="E1606" s="4"/>
      <c r="F1606" s="4"/>
      <c r="G1606" s="17"/>
      <c r="H1606" s="4"/>
      <c r="I1606" s="4"/>
      <c r="J1606" s="4"/>
      <c r="K1606" s="6"/>
      <c r="L1606" s="17"/>
      <c r="M1606" s="4"/>
      <c r="N1606" s="6"/>
      <c r="O1606" s="4"/>
      <c r="P1606" s="4"/>
      <c r="Q1606" s="4"/>
      <c r="R1606" s="4"/>
      <c r="S1606" s="4"/>
      <c r="T1606" s="4"/>
      <c r="U1606" s="4"/>
    </row>
    <row r="1607">
      <c r="A1607" s="4"/>
      <c r="B1607" s="17"/>
      <c r="C1607" s="4"/>
      <c r="D1607" s="4"/>
      <c r="E1607" s="4"/>
      <c r="F1607" s="4"/>
      <c r="G1607" s="17"/>
      <c r="H1607" s="4"/>
      <c r="I1607" s="4"/>
      <c r="J1607" s="4"/>
      <c r="K1607" s="6"/>
      <c r="L1607" s="17"/>
      <c r="M1607" s="4"/>
      <c r="N1607" s="6"/>
      <c r="O1607" s="4"/>
      <c r="P1607" s="4"/>
      <c r="Q1607" s="4"/>
      <c r="R1607" s="4"/>
      <c r="S1607" s="4"/>
      <c r="T1607" s="4"/>
      <c r="U1607" s="4"/>
    </row>
    <row r="1608">
      <c r="A1608" s="4"/>
      <c r="B1608" s="17"/>
      <c r="C1608" s="4"/>
      <c r="D1608" s="4"/>
      <c r="E1608" s="4"/>
      <c r="F1608" s="4"/>
      <c r="G1608" s="17"/>
      <c r="H1608" s="4"/>
      <c r="I1608" s="4"/>
      <c r="J1608" s="4"/>
      <c r="K1608" s="6"/>
      <c r="L1608" s="17"/>
      <c r="M1608" s="4"/>
      <c r="N1608" s="6"/>
      <c r="O1608" s="4"/>
      <c r="P1608" s="4"/>
      <c r="Q1608" s="4"/>
      <c r="R1608" s="4"/>
      <c r="S1608" s="4"/>
      <c r="T1608" s="4"/>
      <c r="U1608" s="4"/>
    </row>
    <row r="1609">
      <c r="A1609" s="4"/>
      <c r="B1609" s="17"/>
      <c r="C1609" s="4"/>
      <c r="D1609" s="4"/>
      <c r="E1609" s="4"/>
      <c r="F1609" s="4"/>
      <c r="G1609" s="17"/>
      <c r="H1609" s="4"/>
      <c r="I1609" s="4"/>
      <c r="J1609" s="4"/>
      <c r="K1609" s="6"/>
      <c r="L1609" s="17"/>
      <c r="M1609" s="4"/>
      <c r="N1609" s="6"/>
      <c r="O1609" s="4"/>
      <c r="P1609" s="4"/>
      <c r="Q1609" s="4"/>
      <c r="R1609" s="4"/>
      <c r="S1609" s="4"/>
      <c r="T1609" s="4"/>
      <c r="U1609" s="4"/>
    </row>
    <row r="1610">
      <c r="A1610" s="4"/>
      <c r="B1610" s="17"/>
      <c r="C1610" s="4"/>
      <c r="D1610" s="4"/>
      <c r="E1610" s="4"/>
      <c r="F1610" s="4"/>
      <c r="G1610" s="17"/>
      <c r="H1610" s="4"/>
      <c r="I1610" s="4"/>
      <c r="J1610" s="4"/>
      <c r="K1610" s="6"/>
      <c r="L1610" s="17"/>
      <c r="M1610" s="4"/>
      <c r="N1610" s="6"/>
      <c r="O1610" s="4"/>
      <c r="P1610" s="4"/>
      <c r="Q1610" s="4"/>
      <c r="R1610" s="4"/>
      <c r="S1610" s="4"/>
      <c r="T1610" s="4"/>
      <c r="U1610" s="4"/>
    </row>
    <row r="1611">
      <c r="A1611" s="4"/>
      <c r="B1611" s="17"/>
      <c r="C1611" s="4"/>
      <c r="D1611" s="4"/>
      <c r="E1611" s="4"/>
      <c r="F1611" s="4"/>
      <c r="G1611" s="17"/>
      <c r="H1611" s="4"/>
      <c r="I1611" s="4"/>
      <c r="J1611" s="4"/>
      <c r="K1611" s="6"/>
      <c r="L1611" s="17"/>
      <c r="M1611" s="4"/>
      <c r="N1611" s="6"/>
      <c r="O1611" s="4"/>
      <c r="P1611" s="4"/>
      <c r="Q1611" s="4"/>
      <c r="R1611" s="4"/>
      <c r="S1611" s="4"/>
      <c r="T1611" s="4"/>
      <c r="U1611" s="4"/>
    </row>
    <row r="1612">
      <c r="A1612" s="4"/>
      <c r="B1612" s="17"/>
      <c r="C1612" s="4"/>
      <c r="D1612" s="4"/>
      <c r="E1612" s="4"/>
      <c r="F1612" s="4"/>
      <c r="G1612" s="17"/>
      <c r="H1612" s="4"/>
      <c r="I1612" s="4"/>
      <c r="J1612" s="4"/>
      <c r="K1612" s="6"/>
      <c r="L1612" s="17"/>
      <c r="M1612" s="4"/>
      <c r="N1612" s="6"/>
      <c r="O1612" s="4"/>
      <c r="P1612" s="4"/>
      <c r="Q1612" s="4"/>
      <c r="R1612" s="4"/>
      <c r="S1612" s="4"/>
      <c r="T1612" s="4"/>
      <c r="U1612" s="4"/>
    </row>
    <row r="1613">
      <c r="A1613" s="4"/>
      <c r="B1613" s="17"/>
      <c r="C1613" s="4"/>
      <c r="D1613" s="4"/>
      <c r="E1613" s="4"/>
      <c r="F1613" s="4"/>
      <c r="G1613" s="17"/>
      <c r="H1613" s="4"/>
      <c r="I1613" s="4"/>
      <c r="J1613" s="4"/>
      <c r="K1613" s="6"/>
      <c r="L1613" s="17"/>
      <c r="M1613" s="4"/>
      <c r="N1613" s="6"/>
      <c r="O1613" s="4"/>
      <c r="P1613" s="4"/>
      <c r="Q1613" s="4"/>
      <c r="R1613" s="4"/>
      <c r="S1613" s="4"/>
      <c r="T1613" s="4"/>
      <c r="U1613" s="4"/>
    </row>
    <row r="1614">
      <c r="A1614" s="4"/>
      <c r="B1614" s="17"/>
      <c r="C1614" s="4"/>
      <c r="D1614" s="4"/>
      <c r="E1614" s="4"/>
      <c r="F1614" s="4"/>
      <c r="G1614" s="17"/>
      <c r="H1614" s="4"/>
      <c r="I1614" s="4"/>
      <c r="J1614" s="4"/>
      <c r="K1614" s="6"/>
      <c r="L1614" s="17"/>
      <c r="M1614" s="4"/>
      <c r="N1614" s="6"/>
      <c r="O1614" s="4"/>
      <c r="P1614" s="4"/>
      <c r="Q1614" s="4"/>
      <c r="R1614" s="4"/>
      <c r="S1614" s="4"/>
      <c r="T1614" s="4"/>
      <c r="U1614" s="4"/>
    </row>
    <row r="1615">
      <c r="A1615" s="4"/>
      <c r="B1615" s="17"/>
      <c r="C1615" s="4"/>
      <c r="D1615" s="4"/>
      <c r="E1615" s="4"/>
      <c r="F1615" s="4"/>
      <c r="G1615" s="17"/>
      <c r="H1615" s="4"/>
      <c r="I1615" s="4"/>
      <c r="J1615" s="4"/>
      <c r="K1615" s="6"/>
      <c r="L1615" s="17"/>
      <c r="M1615" s="4"/>
      <c r="N1615" s="6"/>
      <c r="O1615" s="4"/>
      <c r="P1615" s="4"/>
      <c r="Q1615" s="4"/>
      <c r="R1615" s="4"/>
      <c r="S1615" s="4"/>
      <c r="T1615" s="4"/>
      <c r="U1615" s="4"/>
    </row>
    <row r="1616">
      <c r="A1616" s="4"/>
      <c r="B1616" s="17"/>
      <c r="C1616" s="4"/>
      <c r="D1616" s="4"/>
      <c r="E1616" s="4"/>
      <c r="F1616" s="4"/>
      <c r="G1616" s="17"/>
      <c r="H1616" s="4"/>
      <c r="I1616" s="4"/>
      <c r="J1616" s="4"/>
      <c r="K1616" s="6"/>
      <c r="L1616" s="17"/>
      <c r="M1616" s="4"/>
      <c r="N1616" s="6"/>
      <c r="O1616" s="4"/>
      <c r="P1616" s="4"/>
      <c r="Q1616" s="4"/>
      <c r="R1616" s="4"/>
      <c r="S1616" s="4"/>
      <c r="T1616" s="4"/>
      <c r="U1616" s="4"/>
    </row>
    <row r="1617">
      <c r="A1617" s="4"/>
      <c r="B1617" s="17"/>
      <c r="C1617" s="4"/>
      <c r="D1617" s="4"/>
      <c r="E1617" s="4"/>
      <c r="F1617" s="4"/>
      <c r="G1617" s="17"/>
      <c r="H1617" s="4"/>
      <c r="I1617" s="4"/>
      <c r="J1617" s="4"/>
      <c r="K1617" s="6"/>
      <c r="L1617" s="17"/>
      <c r="M1617" s="4"/>
      <c r="N1617" s="6"/>
      <c r="O1617" s="4"/>
      <c r="P1617" s="4"/>
      <c r="Q1617" s="4"/>
      <c r="R1617" s="4"/>
      <c r="S1617" s="4"/>
      <c r="T1617" s="4"/>
      <c r="U1617" s="4"/>
    </row>
    <row r="1618">
      <c r="A1618" s="4"/>
      <c r="B1618" s="17"/>
      <c r="C1618" s="4"/>
      <c r="D1618" s="4"/>
      <c r="E1618" s="4"/>
      <c r="F1618" s="4"/>
      <c r="G1618" s="17"/>
      <c r="H1618" s="4"/>
      <c r="I1618" s="4"/>
      <c r="J1618" s="4"/>
      <c r="K1618" s="6"/>
      <c r="L1618" s="17"/>
      <c r="M1618" s="4"/>
      <c r="N1618" s="6"/>
      <c r="O1618" s="4"/>
      <c r="P1618" s="4"/>
      <c r="Q1618" s="4"/>
      <c r="R1618" s="4"/>
      <c r="S1618" s="4"/>
      <c r="T1618" s="4"/>
      <c r="U1618" s="4"/>
    </row>
    <row r="1619">
      <c r="A1619" s="4"/>
      <c r="B1619" s="17"/>
      <c r="C1619" s="4"/>
      <c r="D1619" s="4"/>
      <c r="E1619" s="4"/>
      <c r="F1619" s="4"/>
      <c r="G1619" s="17"/>
      <c r="H1619" s="4"/>
      <c r="I1619" s="4"/>
      <c r="J1619" s="4"/>
      <c r="K1619" s="6"/>
      <c r="L1619" s="17"/>
      <c r="M1619" s="4"/>
      <c r="N1619" s="6"/>
      <c r="O1619" s="4"/>
      <c r="P1619" s="4"/>
      <c r="Q1619" s="4"/>
      <c r="R1619" s="4"/>
      <c r="S1619" s="4"/>
      <c r="T1619" s="4"/>
      <c r="U1619" s="4"/>
    </row>
    <row r="1620">
      <c r="A1620" s="4"/>
      <c r="B1620" s="17"/>
      <c r="C1620" s="4"/>
      <c r="D1620" s="4"/>
      <c r="E1620" s="4"/>
      <c r="F1620" s="4"/>
      <c r="G1620" s="17"/>
      <c r="H1620" s="4"/>
      <c r="I1620" s="4"/>
      <c r="J1620" s="4"/>
      <c r="K1620" s="6"/>
      <c r="L1620" s="17"/>
      <c r="M1620" s="4"/>
      <c r="N1620" s="6"/>
      <c r="O1620" s="4"/>
      <c r="P1620" s="4"/>
      <c r="Q1620" s="4"/>
      <c r="R1620" s="4"/>
      <c r="S1620" s="4"/>
      <c r="T1620" s="4"/>
      <c r="U1620" s="4"/>
    </row>
    <row r="1621">
      <c r="A1621" s="4"/>
      <c r="B1621" s="17"/>
      <c r="C1621" s="4"/>
      <c r="D1621" s="4"/>
      <c r="E1621" s="4"/>
      <c r="F1621" s="4"/>
      <c r="G1621" s="17"/>
      <c r="H1621" s="4"/>
      <c r="I1621" s="4"/>
      <c r="J1621" s="4"/>
      <c r="K1621" s="6"/>
      <c r="L1621" s="17"/>
      <c r="M1621" s="4"/>
      <c r="N1621" s="6"/>
      <c r="O1621" s="4"/>
      <c r="P1621" s="4"/>
      <c r="Q1621" s="4"/>
      <c r="R1621" s="4"/>
      <c r="S1621" s="4"/>
      <c r="T1621" s="4"/>
      <c r="U1621" s="4"/>
    </row>
    <row r="1622">
      <c r="A1622" s="4"/>
      <c r="B1622" s="17"/>
      <c r="C1622" s="4"/>
      <c r="D1622" s="4"/>
      <c r="E1622" s="4"/>
      <c r="F1622" s="4"/>
      <c r="G1622" s="17"/>
      <c r="H1622" s="4"/>
      <c r="I1622" s="4"/>
      <c r="J1622" s="4"/>
      <c r="K1622" s="6"/>
      <c r="L1622" s="17"/>
      <c r="M1622" s="4"/>
      <c r="N1622" s="6"/>
      <c r="O1622" s="4"/>
      <c r="P1622" s="4"/>
      <c r="Q1622" s="4"/>
      <c r="R1622" s="4"/>
      <c r="S1622" s="4"/>
      <c r="T1622" s="4"/>
      <c r="U1622" s="4"/>
    </row>
    <row r="1623">
      <c r="A1623" s="4"/>
      <c r="B1623" s="17"/>
      <c r="C1623" s="4"/>
      <c r="D1623" s="4"/>
      <c r="E1623" s="4"/>
      <c r="F1623" s="4"/>
      <c r="G1623" s="17"/>
      <c r="H1623" s="4"/>
      <c r="I1623" s="4"/>
      <c r="J1623" s="4"/>
      <c r="K1623" s="6"/>
      <c r="L1623" s="17"/>
      <c r="M1623" s="4"/>
      <c r="N1623" s="6"/>
      <c r="O1623" s="4"/>
      <c r="P1623" s="4"/>
      <c r="Q1623" s="4"/>
      <c r="R1623" s="4"/>
      <c r="S1623" s="4"/>
      <c r="T1623" s="4"/>
      <c r="U1623" s="4"/>
    </row>
    <row r="1624">
      <c r="A1624" s="4"/>
      <c r="B1624" s="17"/>
      <c r="C1624" s="4"/>
      <c r="D1624" s="4"/>
      <c r="E1624" s="4"/>
      <c r="F1624" s="4"/>
      <c r="G1624" s="17"/>
      <c r="H1624" s="4"/>
      <c r="I1624" s="4"/>
      <c r="J1624" s="4"/>
      <c r="K1624" s="6"/>
      <c r="L1624" s="17"/>
      <c r="M1624" s="4"/>
      <c r="N1624" s="6"/>
      <c r="O1624" s="4"/>
      <c r="P1624" s="4"/>
      <c r="Q1624" s="4"/>
      <c r="R1624" s="4"/>
      <c r="S1624" s="4"/>
      <c r="T1624" s="4"/>
      <c r="U1624" s="4"/>
    </row>
    <row r="1625">
      <c r="A1625" s="4"/>
      <c r="B1625" s="17"/>
      <c r="C1625" s="4"/>
      <c r="D1625" s="4"/>
      <c r="E1625" s="4"/>
      <c r="F1625" s="4"/>
      <c r="G1625" s="17"/>
      <c r="H1625" s="4"/>
      <c r="I1625" s="4"/>
      <c r="J1625" s="4"/>
      <c r="K1625" s="6"/>
      <c r="L1625" s="17"/>
      <c r="M1625" s="4"/>
      <c r="N1625" s="6"/>
      <c r="O1625" s="4"/>
      <c r="P1625" s="4"/>
      <c r="Q1625" s="4"/>
      <c r="R1625" s="4"/>
      <c r="S1625" s="4"/>
      <c r="T1625" s="4"/>
      <c r="U1625" s="4"/>
    </row>
    <row r="1626">
      <c r="A1626" s="4"/>
      <c r="B1626" s="17"/>
      <c r="C1626" s="4"/>
      <c r="D1626" s="4"/>
      <c r="E1626" s="4"/>
      <c r="F1626" s="4"/>
      <c r="G1626" s="17"/>
      <c r="H1626" s="4"/>
      <c r="I1626" s="4"/>
      <c r="J1626" s="4"/>
      <c r="K1626" s="6"/>
      <c r="L1626" s="17"/>
      <c r="M1626" s="4"/>
      <c r="N1626" s="6"/>
      <c r="O1626" s="4"/>
      <c r="P1626" s="4"/>
      <c r="Q1626" s="4"/>
      <c r="R1626" s="4"/>
      <c r="S1626" s="4"/>
      <c r="T1626" s="4"/>
      <c r="U1626" s="4"/>
    </row>
    <row r="1627">
      <c r="A1627" s="4"/>
      <c r="B1627" s="17"/>
      <c r="C1627" s="4"/>
      <c r="D1627" s="4"/>
      <c r="E1627" s="4"/>
      <c r="F1627" s="4"/>
      <c r="G1627" s="17"/>
      <c r="H1627" s="4"/>
      <c r="I1627" s="4"/>
      <c r="J1627" s="4"/>
      <c r="K1627" s="6"/>
      <c r="L1627" s="17"/>
      <c r="M1627" s="4"/>
      <c r="N1627" s="6"/>
      <c r="O1627" s="4"/>
      <c r="P1627" s="4"/>
      <c r="Q1627" s="4"/>
      <c r="R1627" s="4"/>
      <c r="S1627" s="4"/>
      <c r="T1627" s="4"/>
      <c r="U1627" s="4"/>
    </row>
    <row r="1628">
      <c r="A1628" s="4"/>
      <c r="B1628" s="17"/>
      <c r="C1628" s="4"/>
      <c r="D1628" s="4"/>
      <c r="E1628" s="4"/>
      <c r="F1628" s="4"/>
      <c r="G1628" s="17"/>
      <c r="H1628" s="4"/>
      <c r="I1628" s="4"/>
      <c r="J1628" s="4"/>
      <c r="K1628" s="6"/>
      <c r="L1628" s="17"/>
      <c r="M1628" s="4"/>
      <c r="N1628" s="6"/>
      <c r="O1628" s="4"/>
      <c r="P1628" s="4"/>
      <c r="Q1628" s="4"/>
      <c r="R1628" s="4"/>
      <c r="S1628" s="4"/>
      <c r="T1628" s="4"/>
      <c r="U1628" s="4"/>
    </row>
    <row r="1629">
      <c r="A1629" s="4"/>
      <c r="B1629" s="17"/>
      <c r="C1629" s="4"/>
      <c r="D1629" s="4"/>
      <c r="E1629" s="4"/>
      <c r="F1629" s="4"/>
      <c r="G1629" s="17"/>
      <c r="H1629" s="4"/>
      <c r="I1629" s="4"/>
      <c r="J1629" s="4"/>
      <c r="K1629" s="6"/>
      <c r="L1629" s="17"/>
      <c r="M1629" s="4"/>
      <c r="N1629" s="6"/>
      <c r="O1629" s="4"/>
      <c r="P1629" s="4"/>
      <c r="Q1629" s="4"/>
      <c r="R1629" s="4"/>
      <c r="S1629" s="4"/>
      <c r="T1629" s="4"/>
      <c r="U1629" s="4"/>
    </row>
    <row r="1630">
      <c r="A1630" s="4"/>
      <c r="B1630" s="17"/>
      <c r="C1630" s="4"/>
      <c r="D1630" s="4"/>
      <c r="E1630" s="4"/>
      <c r="F1630" s="4"/>
      <c r="G1630" s="17"/>
      <c r="H1630" s="4"/>
      <c r="I1630" s="4"/>
      <c r="J1630" s="4"/>
      <c r="K1630" s="6"/>
      <c r="L1630" s="17"/>
      <c r="M1630" s="4"/>
      <c r="N1630" s="6"/>
      <c r="O1630" s="4"/>
      <c r="P1630" s="4"/>
      <c r="Q1630" s="4"/>
      <c r="R1630" s="4"/>
      <c r="S1630" s="4"/>
      <c r="T1630" s="4"/>
      <c r="U1630" s="4"/>
    </row>
    <row r="1631">
      <c r="A1631" s="4"/>
      <c r="B1631" s="17"/>
      <c r="C1631" s="4"/>
      <c r="D1631" s="4"/>
      <c r="E1631" s="4"/>
      <c r="F1631" s="4"/>
      <c r="G1631" s="17"/>
      <c r="H1631" s="4"/>
      <c r="I1631" s="4"/>
      <c r="J1631" s="4"/>
      <c r="K1631" s="6"/>
      <c r="L1631" s="17"/>
      <c r="M1631" s="4"/>
      <c r="N1631" s="6"/>
      <c r="O1631" s="4"/>
      <c r="P1631" s="4"/>
      <c r="Q1631" s="4"/>
      <c r="R1631" s="4"/>
      <c r="S1631" s="4"/>
      <c r="T1631" s="4"/>
      <c r="U1631" s="4"/>
    </row>
    <row r="1632">
      <c r="A1632" s="4"/>
      <c r="B1632" s="17"/>
      <c r="C1632" s="4"/>
      <c r="D1632" s="4"/>
      <c r="E1632" s="4"/>
      <c r="F1632" s="4"/>
      <c r="G1632" s="17"/>
      <c r="H1632" s="4"/>
      <c r="I1632" s="4"/>
      <c r="J1632" s="4"/>
      <c r="K1632" s="6"/>
      <c r="L1632" s="17"/>
      <c r="M1632" s="4"/>
      <c r="N1632" s="6"/>
      <c r="O1632" s="4"/>
      <c r="P1632" s="4"/>
      <c r="Q1632" s="4"/>
      <c r="R1632" s="4"/>
      <c r="S1632" s="4"/>
      <c r="T1632" s="4"/>
      <c r="U1632" s="4"/>
    </row>
    <row r="1633">
      <c r="A1633" s="4"/>
      <c r="B1633" s="17"/>
      <c r="C1633" s="4"/>
      <c r="D1633" s="4"/>
      <c r="E1633" s="4"/>
      <c r="F1633" s="4"/>
      <c r="G1633" s="17"/>
      <c r="H1633" s="4"/>
      <c r="I1633" s="4"/>
      <c r="J1633" s="4"/>
      <c r="K1633" s="6"/>
      <c r="L1633" s="17"/>
      <c r="M1633" s="4"/>
      <c r="N1633" s="6"/>
      <c r="O1633" s="4"/>
      <c r="P1633" s="4"/>
      <c r="Q1633" s="4"/>
      <c r="R1633" s="4"/>
      <c r="S1633" s="4"/>
      <c r="T1633" s="4"/>
      <c r="U1633" s="4"/>
    </row>
    <row r="1634">
      <c r="A1634" s="4"/>
      <c r="B1634" s="17"/>
      <c r="C1634" s="4"/>
      <c r="D1634" s="4"/>
      <c r="E1634" s="4"/>
      <c r="F1634" s="4"/>
      <c r="G1634" s="17"/>
      <c r="H1634" s="4"/>
      <c r="I1634" s="4"/>
      <c r="J1634" s="4"/>
      <c r="K1634" s="6"/>
      <c r="L1634" s="17"/>
      <c r="M1634" s="4"/>
      <c r="N1634" s="6"/>
      <c r="O1634" s="4"/>
      <c r="P1634" s="4"/>
      <c r="Q1634" s="4"/>
      <c r="R1634" s="4"/>
      <c r="S1634" s="4"/>
      <c r="T1634" s="4"/>
      <c r="U1634" s="4"/>
    </row>
    <row r="1635">
      <c r="A1635" s="4"/>
      <c r="B1635" s="17"/>
      <c r="C1635" s="4"/>
      <c r="D1635" s="4"/>
      <c r="E1635" s="4"/>
      <c r="F1635" s="4"/>
      <c r="G1635" s="17"/>
      <c r="H1635" s="4"/>
      <c r="I1635" s="4"/>
      <c r="J1635" s="4"/>
      <c r="K1635" s="6"/>
      <c r="L1635" s="17"/>
      <c r="M1635" s="4"/>
      <c r="N1635" s="6"/>
      <c r="O1635" s="4"/>
      <c r="P1635" s="4"/>
      <c r="Q1635" s="4"/>
      <c r="R1635" s="4"/>
      <c r="S1635" s="4"/>
      <c r="T1635" s="4"/>
      <c r="U1635" s="4"/>
    </row>
    <row r="1636">
      <c r="A1636" s="4"/>
      <c r="B1636" s="17"/>
      <c r="C1636" s="4"/>
      <c r="D1636" s="4"/>
      <c r="E1636" s="4"/>
      <c r="F1636" s="4"/>
      <c r="G1636" s="17"/>
      <c r="H1636" s="4"/>
      <c r="I1636" s="4"/>
      <c r="J1636" s="4"/>
      <c r="K1636" s="6"/>
      <c r="L1636" s="17"/>
      <c r="M1636" s="4"/>
      <c r="N1636" s="6"/>
      <c r="O1636" s="4"/>
      <c r="P1636" s="4"/>
      <c r="Q1636" s="4"/>
      <c r="R1636" s="4"/>
      <c r="S1636" s="4"/>
      <c r="T1636" s="4"/>
      <c r="U1636" s="4"/>
    </row>
    <row r="1637">
      <c r="A1637" s="4"/>
      <c r="B1637" s="17"/>
      <c r="C1637" s="4"/>
      <c r="D1637" s="4"/>
      <c r="E1637" s="4"/>
      <c r="F1637" s="4"/>
      <c r="G1637" s="17"/>
      <c r="H1637" s="4"/>
      <c r="I1637" s="4"/>
      <c r="J1637" s="4"/>
      <c r="K1637" s="6"/>
      <c r="L1637" s="17"/>
      <c r="M1637" s="4"/>
      <c r="N1637" s="6"/>
      <c r="O1637" s="4"/>
      <c r="P1637" s="4"/>
      <c r="Q1637" s="4"/>
      <c r="R1637" s="4"/>
      <c r="S1637" s="4"/>
      <c r="T1637" s="4"/>
      <c r="U1637" s="4"/>
    </row>
    <row r="1638">
      <c r="A1638" s="4"/>
      <c r="B1638" s="17"/>
      <c r="C1638" s="4"/>
      <c r="D1638" s="4"/>
      <c r="E1638" s="4"/>
      <c r="F1638" s="4"/>
      <c r="G1638" s="17"/>
      <c r="H1638" s="4"/>
      <c r="I1638" s="4"/>
      <c r="J1638" s="4"/>
      <c r="K1638" s="6"/>
      <c r="L1638" s="17"/>
      <c r="M1638" s="4"/>
      <c r="N1638" s="6"/>
      <c r="O1638" s="4"/>
      <c r="P1638" s="4"/>
      <c r="Q1638" s="4"/>
      <c r="R1638" s="4"/>
      <c r="S1638" s="4"/>
      <c r="T1638" s="4"/>
      <c r="U1638" s="4"/>
    </row>
    <row r="1639">
      <c r="A1639" s="4"/>
      <c r="B1639" s="17"/>
      <c r="C1639" s="4"/>
      <c r="D1639" s="4"/>
      <c r="E1639" s="4"/>
      <c r="F1639" s="4"/>
      <c r="G1639" s="17"/>
      <c r="H1639" s="4"/>
      <c r="I1639" s="4"/>
      <c r="J1639" s="4"/>
      <c r="K1639" s="6"/>
      <c r="L1639" s="17"/>
      <c r="M1639" s="4"/>
      <c r="N1639" s="6"/>
      <c r="O1639" s="4"/>
      <c r="P1639" s="4"/>
      <c r="Q1639" s="4"/>
      <c r="R1639" s="4"/>
      <c r="S1639" s="4"/>
      <c r="T1639" s="4"/>
      <c r="U1639" s="4"/>
    </row>
    <row r="1640">
      <c r="A1640" s="4"/>
      <c r="B1640" s="17"/>
      <c r="C1640" s="4"/>
      <c r="D1640" s="4"/>
      <c r="E1640" s="4"/>
      <c r="F1640" s="4"/>
      <c r="G1640" s="17"/>
      <c r="H1640" s="4"/>
      <c r="I1640" s="4"/>
      <c r="J1640" s="4"/>
      <c r="K1640" s="6"/>
      <c r="L1640" s="17"/>
      <c r="M1640" s="4"/>
      <c r="N1640" s="6"/>
      <c r="O1640" s="4"/>
      <c r="P1640" s="4"/>
      <c r="Q1640" s="4"/>
      <c r="R1640" s="4"/>
      <c r="S1640" s="4"/>
      <c r="T1640" s="4"/>
      <c r="U1640" s="4"/>
    </row>
    <row r="1641">
      <c r="A1641" s="4"/>
      <c r="B1641" s="17"/>
      <c r="C1641" s="4"/>
      <c r="D1641" s="4"/>
      <c r="E1641" s="4"/>
      <c r="F1641" s="4"/>
      <c r="G1641" s="17"/>
      <c r="H1641" s="4"/>
      <c r="I1641" s="4"/>
      <c r="J1641" s="4"/>
      <c r="K1641" s="6"/>
      <c r="L1641" s="17"/>
      <c r="M1641" s="4"/>
      <c r="N1641" s="6"/>
      <c r="O1641" s="4"/>
      <c r="P1641" s="4"/>
      <c r="Q1641" s="4"/>
      <c r="R1641" s="4"/>
      <c r="S1641" s="4"/>
      <c r="T1641" s="4"/>
      <c r="U1641" s="4"/>
    </row>
    <row r="1642">
      <c r="A1642" s="4"/>
      <c r="B1642" s="17"/>
      <c r="C1642" s="4"/>
      <c r="D1642" s="4"/>
      <c r="E1642" s="4"/>
      <c r="F1642" s="4"/>
      <c r="G1642" s="17"/>
      <c r="H1642" s="4"/>
      <c r="I1642" s="4"/>
      <c r="J1642" s="4"/>
      <c r="K1642" s="6"/>
      <c r="L1642" s="17"/>
      <c r="M1642" s="4"/>
      <c r="N1642" s="6"/>
      <c r="O1642" s="4"/>
      <c r="P1642" s="4"/>
      <c r="Q1642" s="4"/>
      <c r="R1642" s="4"/>
      <c r="S1642" s="4"/>
      <c r="T1642" s="4"/>
      <c r="U1642" s="4"/>
    </row>
    <row r="1643">
      <c r="A1643" s="4"/>
      <c r="B1643" s="17"/>
      <c r="C1643" s="4"/>
      <c r="D1643" s="4"/>
      <c r="E1643" s="4"/>
      <c r="F1643" s="4"/>
      <c r="G1643" s="17"/>
      <c r="H1643" s="4"/>
      <c r="I1643" s="4"/>
      <c r="J1643" s="4"/>
      <c r="K1643" s="6"/>
      <c r="L1643" s="17"/>
      <c r="M1643" s="4"/>
      <c r="N1643" s="6"/>
      <c r="O1643" s="4"/>
      <c r="P1643" s="4"/>
      <c r="Q1643" s="4"/>
      <c r="R1643" s="4"/>
      <c r="S1643" s="4"/>
      <c r="T1643" s="4"/>
      <c r="U1643" s="4"/>
    </row>
    <row r="1644">
      <c r="A1644" s="4"/>
      <c r="B1644" s="17"/>
      <c r="C1644" s="4"/>
      <c r="D1644" s="4"/>
      <c r="E1644" s="4"/>
      <c r="F1644" s="4"/>
      <c r="G1644" s="17"/>
      <c r="H1644" s="4"/>
      <c r="I1644" s="4"/>
      <c r="J1644" s="4"/>
      <c r="K1644" s="6"/>
      <c r="L1644" s="17"/>
      <c r="M1644" s="4"/>
      <c r="N1644" s="6"/>
      <c r="O1644" s="4"/>
      <c r="P1644" s="4"/>
      <c r="Q1644" s="4"/>
      <c r="R1644" s="4"/>
      <c r="S1644" s="4"/>
      <c r="T1644" s="4"/>
      <c r="U1644" s="4"/>
    </row>
    <row r="1645">
      <c r="A1645" s="4"/>
      <c r="B1645" s="17"/>
      <c r="C1645" s="4"/>
      <c r="D1645" s="4"/>
      <c r="E1645" s="4"/>
      <c r="F1645" s="4"/>
      <c r="G1645" s="17"/>
      <c r="H1645" s="4"/>
      <c r="I1645" s="4"/>
      <c r="J1645" s="4"/>
      <c r="K1645" s="6"/>
      <c r="L1645" s="17"/>
      <c r="M1645" s="4"/>
      <c r="N1645" s="6"/>
      <c r="O1645" s="4"/>
      <c r="P1645" s="4"/>
      <c r="Q1645" s="4"/>
      <c r="R1645" s="4"/>
      <c r="S1645" s="4"/>
      <c r="T1645" s="4"/>
      <c r="U1645" s="4"/>
    </row>
    <row r="1646">
      <c r="A1646" s="4"/>
      <c r="B1646" s="17"/>
      <c r="C1646" s="4"/>
      <c r="D1646" s="4"/>
      <c r="E1646" s="4"/>
      <c r="F1646" s="4"/>
      <c r="G1646" s="17"/>
      <c r="H1646" s="4"/>
      <c r="I1646" s="4"/>
      <c r="J1646" s="4"/>
      <c r="K1646" s="6"/>
      <c r="L1646" s="17"/>
      <c r="M1646" s="4"/>
      <c r="N1646" s="6"/>
      <c r="O1646" s="4"/>
      <c r="P1646" s="4"/>
      <c r="Q1646" s="4"/>
      <c r="R1646" s="4"/>
      <c r="S1646" s="4"/>
      <c r="T1646" s="4"/>
      <c r="U1646" s="4"/>
    </row>
    <row r="1647">
      <c r="A1647" s="4"/>
      <c r="B1647" s="17"/>
      <c r="C1647" s="4"/>
      <c r="D1647" s="4"/>
      <c r="E1647" s="4"/>
      <c r="F1647" s="4"/>
      <c r="G1647" s="17"/>
      <c r="H1647" s="4"/>
      <c r="I1647" s="4"/>
      <c r="J1647" s="4"/>
      <c r="K1647" s="6"/>
      <c r="L1647" s="17"/>
      <c r="M1647" s="4"/>
      <c r="N1647" s="6"/>
      <c r="O1647" s="4"/>
      <c r="P1647" s="4"/>
      <c r="Q1647" s="4"/>
      <c r="R1647" s="4"/>
      <c r="S1647" s="4"/>
      <c r="T1647" s="4"/>
      <c r="U1647" s="4"/>
    </row>
    <row r="1648">
      <c r="A1648" s="4"/>
      <c r="B1648" s="17"/>
      <c r="C1648" s="4"/>
      <c r="D1648" s="4"/>
      <c r="E1648" s="4"/>
      <c r="F1648" s="4"/>
      <c r="G1648" s="17"/>
      <c r="H1648" s="4"/>
      <c r="I1648" s="4"/>
      <c r="J1648" s="4"/>
      <c r="K1648" s="6"/>
      <c r="L1648" s="17"/>
      <c r="M1648" s="4"/>
      <c r="N1648" s="6"/>
      <c r="O1648" s="4"/>
      <c r="P1648" s="4"/>
      <c r="Q1648" s="4"/>
      <c r="R1648" s="4"/>
      <c r="S1648" s="4"/>
      <c r="T1648" s="4"/>
      <c r="U1648" s="4"/>
    </row>
    <row r="1649">
      <c r="A1649" s="4"/>
      <c r="B1649" s="17"/>
      <c r="C1649" s="4"/>
      <c r="D1649" s="4"/>
      <c r="E1649" s="4"/>
      <c r="F1649" s="4"/>
      <c r="G1649" s="17"/>
      <c r="H1649" s="4"/>
      <c r="I1649" s="4"/>
      <c r="J1649" s="4"/>
      <c r="K1649" s="6"/>
      <c r="L1649" s="17"/>
      <c r="M1649" s="4"/>
      <c r="N1649" s="6"/>
      <c r="O1649" s="4"/>
      <c r="P1649" s="4"/>
      <c r="Q1649" s="4"/>
      <c r="R1649" s="4"/>
      <c r="S1649" s="4"/>
      <c r="T1649" s="4"/>
      <c r="U1649" s="4"/>
    </row>
    <row r="1650">
      <c r="A1650" s="4"/>
      <c r="B1650" s="17"/>
      <c r="C1650" s="4"/>
      <c r="D1650" s="4"/>
      <c r="E1650" s="4"/>
      <c r="F1650" s="4"/>
      <c r="G1650" s="17"/>
      <c r="H1650" s="4"/>
      <c r="I1650" s="4"/>
      <c r="J1650" s="4"/>
      <c r="K1650" s="6"/>
      <c r="L1650" s="17"/>
      <c r="M1650" s="4"/>
      <c r="N1650" s="6"/>
      <c r="O1650" s="4"/>
      <c r="P1650" s="4"/>
      <c r="Q1650" s="4"/>
      <c r="R1650" s="4"/>
      <c r="S1650" s="4"/>
      <c r="T1650" s="4"/>
      <c r="U1650" s="4"/>
    </row>
    <row r="1651">
      <c r="A1651" s="4"/>
      <c r="B1651" s="17"/>
      <c r="C1651" s="4"/>
      <c r="D1651" s="4"/>
      <c r="E1651" s="4"/>
      <c r="F1651" s="4"/>
      <c r="G1651" s="17"/>
      <c r="H1651" s="4"/>
      <c r="I1651" s="4"/>
      <c r="J1651" s="4"/>
      <c r="K1651" s="6"/>
      <c r="L1651" s="17"/>
      <c r="M1651" s="4"/>
      <c r="N1651" s="6"/>
      <c r="O1651" s="4"/>
      <c r="P1651" s="4"/>
      <c r="Q1651" s="4"/>
      <c r="R1651" s="4"/>
      <c r="S1651" s="4"/>
      <c r="T1651" s="4"/>
      <c r="U1651" s="4"/>
    </row>
    <row r="1652">
      <c r="A1652" s="4"/>
      <c r="B1652" s="17"/>
      <c r="C1652" s="4"/>
      <c r="D1652" s="4"/>
      <c r="E1652" s="4"/>
      <c r="F1652" s="4"/>
      <c r="G1652" s="17"/>
      <c r="H1652" s="4"/>
      <c r="I1652" s="4"/>
      <c r="J1652" s="4"/>
      <c r="K1652" s="6"/>
      <c r="L1652" s="17"/>
      <c r="M1652" s="4"/>
      <c r="N1652" s="6"/>
      <c r="O1652" s="4"/>
      <c r="P1652" s="4"/>
      <c r="Q1652" s="4"/>
      <c r="R1652" s="4"/>
      <c r="S1652" s="4"/>
      <c r="T1652" s="4"/>
      <c r="U1652" s="4"/>
    </row>
    <row r="1653">
      <c r="A1653" s="4"/>
      <c r="B1653" s="17"/>
      <c r="C1653" s="4"/>
      <c r="D1653" s="4"/>
      <c r="E1653" s="4"/>
      <c r="F1653" s="4"/>
      <c r="G1653" s="17"/>
      <c r="H1653" s="4"/>
      <c r="I1653" s="4"/>
      <c r="J1653" s="4"/>
      <c r="K1653" s="6"/>
      <c r="L1653" s="17"/>
      <c r="M1653" s="4"/>
      <c r="N1653" s="6"/>
      <c r="O1653" s="4"/>
      <c r="P1653" s="4"/>
      <c r="Q1653" s="4"/>
      <c r="R1653" s="4"/>
      <c r="S1653" s="4"/>
      <c r="T1653" s="4"/>
      <c r="U1653" s="4"/>
    </row>
    <row r="1654">
      <c r="A1654" s="4"/>
      <c r="B1654" s="17"/>
      <c r="C1654" s="4"/>
      <c r="D1654" s="4"/>
      <c r="E1654" s="4"/>
      <c r="F1654" s="4"/>
      <c r="G1654" s="17"/>
      <c r="H1654" s="4"/>
      <c r="I1654" s="4"/>
      <c r="J1654" s="4"/>
      <c r="K1654" s="6"/>
      <c r="L1654" s="17"/>
      <c r="M1654" s="4"/>
      <c r="N1654" s="6"/>
      <c r="O1654" s="4"/>
      <c r="P1654" s="4"/>
      <c r="Q1654" s="4"/>
      <c r="R1654" s="4"/>
      <c r="S1654" s="4"/>
      <c r="T1654" s="4"/>
      <c r="U1654" s="4"/>
    </row>
    <row r="1655">
      <c r="A1655" s="4"/>
      <c r="B1655" s="17"/>
      <c r="C1655" s="4"/>
      <c r="D1655" s="4"/>
      <c r="E1655" s="4"/>
      <c r="F1655" s="4"/>
      <c r="G1655" s="17"/>
      <c r="H1655" s="4"/>
      <c r="I1655" s="4"/>
      <c r="J1655" s="4"/>
      <c r="K1655" s="6"/>
      <c r="L1655" s="17"/>
      <c r="M1655" s="4"/>
      <c r="N1655" s="6"/>
      <c r="O1655" s="4"/>
      <c r="P1655" s="4"/>
      <c r="Q1655" s="4"/>
      <c r="R1655" s="4"/>
      <c r="S1655" s="4"/>
      <c r="T1655" s="4"/>
      <c r="U1655" s="4"/>
    </row>
    <row r="1656">
      <c r="A1656" s="4"/>
      <c r="B1656" s="17"/>
      <c r="C1656" s="4"/>
      <c r="D1656" s="4"/>
      <c r="E1656" s="4"/>
      <c r="F1656" s="4"/>
      <c r="G1656" s="17"/>
      <c r="H1656" s="4"/>
      <c r="I1656" s="4"/>
      <c r="J1656" s="4"/>
      <c r="K1656" s="6"/>
      <c r="L1656" s="17"/>
      <c r="M1656" s="4"/>
      <c r="N1656" s="6"/>
      <c r="O1656" s="4"/>
      <c r="P1656" s="4"/>
      <c r="Q1656" s="4"/>
      <c r="R1656" s="4"/>
      <c r="S1656" s="4"/>
      <c r="T1656" s="4"/>
      <c r="U1656" s="4"/>
    </row>
    <row r="1657">
      <c r="A1657" s="4"/>
      <c r="B1657" s="17"/>
      <c r="C1657" s="4"/>
      <c r="D1657" s="4"/>
      <c r="E1657" s="4"/>
      <c r="F1657" s="4"/>
      <c r="G1657" s="17"/>
      <c r="H1657" s="4"/>
      <c r="I1657" s="4"/>
      <c r="J1657" s="4"/>
      <c r="K1657" s="6"/>
      <c r="L1657" s="17"/>
      <c r="M1657" s="4"/>
      <c r="N1657" s="6"/>
      <c r="O1657" s="4"/>
      <c r="P1657" s="4"/>
      <c r="Q1657" s="4"/>
      <c r="R1657" s="4"/>
      <c r="S1657" s="4"/>
      <c r="T1657" s="4"/>
      <c r="U1657" s="4"/>
    </row>
    <row r="1658">
      <c r="A1658" s="4"/>
      <c r="B1658" s="17"/>
      <c r="C1658" s="4"/>
      <c r="D1658" s="4"/>
      <c r="E1658" s="4"/>
      <c r="F1658" s="4"/>
      <c r="G1658" s="17"/>
      <c r="H1658" s="4"/>
      <c r="I1658" s="4"/>
      <c r="J1658" s="4"/>
      <c r="K1658" s="6"/>
      <c r="L1658" s="17"/>
      <c r="M1658" s="4"/>
      <c r="N1658" s="6"/>
      <c r="O1658" s="4"/>
      <c r="P1658" s="4"/>
      <c r="Q1658" s="4"/>
      <c r="R1658" s="4"/>
      <c r="S1658" s="4"/>
      <c r="T1658" s="4"/>
      <c r="U1658" s="4"/>
    </row>
    <row r="1659">
      <c r="A1659" s="4"/>
      <c r="B1659" s="17"/>
      <c r="C1659" s="4"/>
      <c r="D1659" s="4"/>
      <c r="E1659" s="4"/>
      <c r="F1659" s="4"/>
      <c r="G1659" s="17"/>
      <c r="H1659" s="4"/>
      <c r="I1659" s="4"/>
      <c r="J1659" s="4"/>
      <c r="K1659" s="6"/>
      <c r="L1659" s="17"/>
      <c r="M1659" s="4"/>
      <c r="N1659" s="6"/>
      <c r="O1659" s="4"/>
      <c r="P1659" s="4"/>
      <c r="Q1659" s="4"/>
      <c r="R1659" s="4"/>
      <c r="S1659" s="4"/>
      <c r="T1659" s="4"/>
      <c r="U1659" s="4"/>
    </row>
    <row r="1660">
      <c r="A1660" s="4"/>
      <c r="B1660" s="17"/>
      <c r="C1660" s="4"/>
      <c r="D1660" s="4"/>
      <c r="E1660" s="4"/>
      <c r="F1660" s="4"/>
      <c r="G1660" s="17"/>
      <c r="H1660" s="4"/>
      <c r="I1660" s="4"/>
      <c r="J1660" s="4"/>
      <c r="K1660" s="6"/>
      <c r="L1660" s="17"/>
      <c r="M1660" s="4"/>
      <c r="N1660" s="6"/>
      <c r="O1660" s="4"/>
      <c r="P1660" s="4"/>
      <c r="Q1660" s="4"/>
      <c r="R1660" s="4"/>
      <c r="S1660" s="4"/>
      <c r="T1660" s="4"/>
      <c r="U1660" s="4"/>
    </row>
    <row r="1661">
      <c r="A1661" s="4"/>
      <c r="B1661" s="17"/>
      <c r="C1661" s="4"/>
      <c r="D1661" s="4"/>
      <c r="E1661" s="4"/>
      <c r="F1661" s="4"/>
      <c r="G1661" s="17"/>
      <c r="H1661" s="4"/>
      <c r="I1661" s="4"/>
      <c r="J1661" s="4"/>
      <c r="K1661" s="6"/>
      <c r="L1661" s="17"/>
      <c r="M1661" s="4"/>
      <c r="N1661" s="6"/>
      <c r="O1661" s="4"/>
      <c r="P1661" s="4"/>
      <c r="Q1661" s="4"/>
      <c r="R1661" s="4"/>
      <c r="S1661" s="4"/>
      <c r="T1661" s="4"/>
      <c r="U1661" s="4"/>
    </row>
    <row r="1662">
      <c r="A1662" s="4"/>
      <c r="B1662" s="17"/>
      <c r="C1662" s="4"/>
      <c r="D1662" s="4"/>
      <c r="E1662" s="4"/>
      <c r="F1662" s="4"/>
      <c r="G1662" s="17"/>
      <c r="H1662" s="4"/>
      <c r="I1662" s="4"/>
      <c r="J1662" s="4"/>
      <c r="K1662" s="6"/>
      <c r="L1662" s="17"/>
      <c r="M1662" s="4"/>
      <c r="N1662" s="6"/>
      <c r="O1662" s="4"/>
      <c r="P1662" s="4"/>
      <c r="Q1662" s="4"/>
      <c r="R1662" s="4"/>
      <c r="S1662" s="4"/>
      <c r="T1662" s="4"/>
      <c r="U1662" s="4"/>
    </row>
    <row r="1663">
      <c r="A1663" s="4"/>
      <c r="B1663" s="17"/>
      <c r="C1663" s="4"/>
      <c r="D1663" s="4"/>
      <c r="E1663" s="4"/>
      <c r="F1663" s="4"/>
      <c r="G1663" s="17"/>
      <c r="H1663" s="4"/>
      <c r="I1663" s="4"/>
      <c r="J1663" s="4"/>
      <c r="K1663" s="6"/>
      <c r="L1663" s="17"/>
      <c r="M1663" s="4"/>
      <c r="N1663" s="6"/>
      <c r="O1663" s="4"/>
      <c r="P1663" s="4"/>
      <c r="Q1663" s="4"/>
      <c r="R1663" s="4"/>
      <c r="S1663" s="4"/>
      <c r="T1663" s="4"/>
      <c r="U1663" s="4"/>
    </row>
    <row r="1664">
      <c r="A1664" s="4"/>
      <c r="B1664" s="17"/>
      <c r="C1664" s="4"/>
      <c r="D1664" s="4"/>
      <c r="E1664" s="4"/>
      <c r="F1664" s="4"/>
      <c r="G1664" s="17"/>
      <c r="H1664" s="4"/>
      <c r="I1664" s="4"/>
      <c r="J1664" s="4"/>
      <c r="K1664" s="6"/>
      <c r="L1664" s="17"/>
      <c r="M1664" s="4"/>
      <c r="N1664" s="6"/>
      <c r="O1664" s="4"/>
      <c r="P1664" s="4"/>
      <c r="Q1664" s="4"/>
      <c r="R1664" s="4"/>
      <c r="S1664" s="4"/>
      <c r="T1664" s="4"/>
      <c r="U1664" s="4"/>
    </row>
    <row r="1665">
      <c r="A1665" s="4"/>
      <c r="B1665" s="17"/>
      <c r="C1665" s="4"/>
      <c r="D1665" s="4"/>
      <c r="E1665" s="4"/>
      <c r="F1665" s="4"/>
      <c r="G1665" s="17"/>
      <c r="H1665" s="4"/>
      <c r="I1665" s="4"/>
      <c r="J1665" s="4"/>
      <c r="K1665" s="6"/>
      <c r="L1665" s="17"/>
      <c r="M1665" s="4"/>
      <c r="N1665" s="6"/>
      <c r="O1665" s="4"/>
      <c r="P1665" s="4"/>
      <c r="Q1665" s="4"/>
      <c r="R1665" s="4"/>
      <c r="S1665" s="4"/>
      <c r="T1665" s="4"/>
      <c r="U1665" s="4"/>
    </row>
    <row r="1666">
      <c r="A1666" s="4"/>
      <c r="B1666" s="17"/>
      <c r="C1666" s="4"/>
      <c r="D1666" s="4"/>
      <c r="E1666" s="4"/>
      <c r="F1666" s="4"/>
      <c r="G1666" s="17"/>
      <c r="H1666" s="4"/>
      <c r="I1666" s="4"/>
      <c r="J1666" s="4"/>
      <c r="K1666" s="6"/>
      <c r="L1666" s="17"/>
      <c r="M1666" s="4"/>
      <c r="N1666" s="6"/>
      <c r="O1666" s="4"/>
      <c r="P1666" s="4"/>
      <c r="Q1666" s="4"/>
      <c r="R1666" s="4"/>
      <c r="S1666" s="4"/>
      <c r="T1666" s="4"/>
      <c r="U1666" s="4"/>
    </row>
    <row r="1667">
      <c r="A1667" s="4"/>
      <c r="B1667" s="17"/>
      <c r="C1667" s="4"/>
      <c r="D1667" s="4"/>
      <c r="E1667" s="4"/>
      <c r="F1667" s="4"/>
      <c r="G1667" s="17"/>
      <c r="H1667" s="4"/>
      <c r="I1667" s="4"/>
      <c r="J1667" s="4"/>
      <c r="K1667" s="6"/>
      <c r="L1667" s="17"/>
      <c r="M1667" s="4"/>
      <c r="N1667" s="6"/>
      <c r="O1667" s="4"/>
      <c r="P1667" s="4"/>
      <c r="Q1667" s="4"/>
      <c r="R1667" s="4"/>
      <c r="S1667" s="4"/>
      <c r="T1667" s="4"/>
      <c r="U1667" s="4"/>
    </row>
    <row r="1668">
      <c r="A1668" s="4"/>
      <c r="B1668" s="17"/>
      <c r="C1668" s="4"/>
      <c r="D1668" s="4"/>
      <c r="E1668" s="4"/>
      <c r="F1668" s="4"/>
      <c r="G1668" s="17"/>
      <c r="H1668" s="4"/>
      <c r="I1668" s="4"/>
      <c r="J1668" s="4"/>
      <c r="K1668" s="6"/>
      <c r="L1668" s="17"/>
      <c r="M1668" s="4"/>
      <c r="N1668" s="6"/>
      <c r="O1668" s="4"/>
      <c r="P1668" s="4"/>
      <c r="Q1668" s="4"/>
      <c r="R1668" s="4"/>
      <c r="S1668" s="4"/>
      <c r="T1668" s="4"/>
      <c r="U1668" s="4"/>
    </row>
    <row r="1669">
      <c r="A1669" s="4"/>
      <c r="B1669" s="17"/>
      <c r="C1669" s="4"/>
      <c r="D1669" s="4"/>
      <c r="E1669" s="4"/>
      <c r="F1669" s="4"/>
      <c r="G1669" s="17"/>
      <c r="H1669" s="4"/>
      <c r="I1669" s="4"/>
      <c r="J1669" s="4"/>
      <c r="K1669" s="6"/>
      <c r="L1669" s="17"/>
      <c r="M1669" s="4"/>
      <c r="N1669" s="6"/>
      <c r="O1669" s="4"/>
      <c r="P1669" s="4"/>
      <c r="Q1669" s="4"/>
      <c r="R1669" s="4"/>
      <c r="S1669" s="4"/>
      <c r="T1669" s="4"/>
      <c r="U1669" s="4"/>
    </row>
    <row r="1670">
      <c r="A1670" s="4"/>
      <c r="B1670" s="17"/>
      <c r="C1670" s="4"/>
      <c r="D1670" s="4"/>
      <c r="E1670" s="4"/>
      <c r="F1670" s="4"/>
      <c r="G1670" s="17"/>
      <c r="H1670" s="4"/>
      <c r="I1670" s="4"/>
      <c r="J1670" s="4"/>
      <c r="K1670" s="6"/>
      <c r="L1670" s="17"/>
      <c r="M1670" s="4"/>
      <c r="N1670" s="6"/>
      <c r="O1670" s="4"/>
      <c r="P1670" s="4"/>
      <c r="Q1670" s="4"/>
      <c r="R1670" s="4"/>
      <c r="S1670" s="4"/>
      <c r="T1670" s="4"/>
      <c r="U1670" s="4"/>
    </row>
    <row r="1671">
      <c r="A1671" s="4"/>
      <c r="B1671" s="17"/>
      <c r="C1671" s="4"/>
      <c r="D1671" s="4"/>
      <c r="E1671" s="4"/>
      <c r="F1671" s="4"/>
      <c r="G1671" s="17"/>
      <c r="H1671" s="4"/>
      <c r="I1671" s="4"/>
      <c r="J1671" s="4"/>
      <c r="K1671" s="6"/>
      <c r="L1671" s="17"/>
      <c r="M1671" s="4"/>
      <c r="N1671" s="6"/>
      <c r="O1671" s="4"/>
      <c r="P1671" s="4"/>
      <c r="Q1671" s="4"/>
      <c r="R1671" s="4"/>
      <c r="S1671" s="4"/>
      <c r="T1671" s="4"/>
      <c r="U1671" s="4"/>
    </row>
    <row r="1672">
      <c r="A1672" s="4"/>
      <c r="B1672" s="17"/>
      <c r="C1672" s="4"/>
      <c r="D1672" s="4"/>
      <c r="E1672" s="4"/>
      <c r="F1672" s="4"/>
      <c r="G1672" s="17"/>
      <c r="H1672" s="4"/>
      <c r="I1672" s="4"/>
      <c r="J1672" s="4"/>
      <c r="K1672" s="6"/>
      <c r="L1672" s="17"/>
      <c r="M1672" s="4"/>
      <c r="N1672" s="6"/>
      <c r="O1672" s="4"/>
      <c r="P1672" s="4"/>
      <c r="Q1672" s="4"/>
      <c r="R1672" s="4"/>
      <c r="S1672" s="4"/>
      <c r="T1672" s="4"/>
      <c r="U1672" s="4"/>
    </row>
    <row r="1673">
      <c r="A1673" s="4"/>
      <c r="B1673" s="17"/>
      <c r="C1673" s="4"/>
      <c r="D1673" s="4"/>
      <c r="E1673" s="4"/>
      <c r="F1673" s="4"/>
      <c r="G1673" s="17"/>
      <c r="H1673" s="4"/>
      <c r="I1673" s="4"/>
      <c r="J1673" s="4"/>
      <c r="K1673" s="6"/>
      <c r="L1673" s="17"/>
      <c r="M1673" s="4"/>
      <c r="N1673" s="6"/>
      <c r="O1673" s="4"/>
      <c r="P1673" s="4"/>
      <c r="Q1673" s="4"/>
      <c r="R1673" s="4"/>
      <c r="S1673" s="4"/>
      <c r="T1673" s="4"/>
      <c r="U1673" s="4"/>
    </row>
    <row r="1674">
      <c r="A1674" s="4"/>
      <c r="B1674" s="17"/>
      <c r="C1674" s="4"/>
      <c r="D1674" s="4"/>
      <c r="E1674" s="4"/>
      <c r="F1674" s="4"/>
      <c r="G1674" s="17"/>
      <c r="H1674" s="4"/>
      <c r="I1674" s="4"/>
      <c r="J1674" s="4"/>
      <c r="K1674" s="6"/>
      <c r="L1674" s="17"/>
      <c r="M1674" s="4"/>
      <c r="N1674" s="6"/>
      <c r="O1674" s="4"/>
      <c r="P1674" s="4"/>
      <c r="Q1674" s="4"/>
      <c r="R1674" s="4"/>
      <c r="S1674" s="4"/>
      <c r="T1674" s="4"/>
      <c r="U1674" s="4"/>
    </row>
    <row r="1675">
      <c r="A1675" s="4"/>
      <c r="B1675" s="17"/>
      <c r="C1675" s="4"/>
      <c r="D1675" s="4"/>
      <c r="E1675" s="4"/>
      <c r="F1675" s="4"/>
      <c r="G1675" s="17"/>
      <c r="H1675" s="4"/>
      <c r="I1675" s="4"/>
      <c r="J1675" s="4"/>
      <c r="K1675" s="6"/>
      <c r="L1675" s="17"/>
      <c r="M1675" s="4"/>
      <c r="N1675" s="6"/>
      <c r="O1675" s="4"/>
      <c r="P1675" s="4"/>
      <c r="Q1675" s="4"/>
      <c r="R1675" s="4"/>
      <c r="S1675" s="4"/>
      <c r="T1675" s="4"/>
      <c r="U1675" s="4"/>
    </row>
    <row r="1676">
      <c r="A1676" s="4"/>
      <c r="B1676" s="17"/>
      <c r="C1676" s="4"/>
      <c r="D1676" s="4"/>
      <c r="E1676" s="4"/>
      <c r="F1676" s="4"/>
      <c r="G1676" s="17"/>
      <c r="H1676" s="4"/>
      <c r="I1676" s="4"/>
      <c r="J1676" s="4"/>
      <c r="K1676" s="6"/>
      <c r="L1676" s="17"/>
      <c r="M1676" s="4"/>
      <c r="N1676" s="6"/>
      <c r="O1676" s="4"/>
      <c r="P1676" s="4"/>
      <c r="Q1676" s="4"/>
      <c r="R1676" s="4"/>
      <c r="S1676" s="4"/>
      <c r="T1676" s="4"/>
      <c r="U1676" s="4"/>
    </row>
    <row r="1677">
      <c r="A1677" s="4"/>
      <c r="B1677" s="17"/>
      <c r="C1677" s="4"/>
      <c r="D1677" s="4"/>
      <c r="E1677" s="4"/>
      <c r="F1677" s="4"/>
      <c r="G1677" s="17"/>
      <c r="H1677" s="4"/>
      <c r="I1677" s="4"/>
      <c r="J1677" s="4"/>
      <c r="K1677" s="6"/>
      <c r="L1677" s="17"/>
      <c r="M1677" s="4"/>
      <c r="N1677" s="6"/>
      <c r="O1677" s="4"/>
      <c r="P1677" s="4"/>
      <c r="Q1677" s="4"/>
      <c r="R1677" s="4"/>
      <c r="S1677" s="4"/>
      <c r="T1677" s="4"/>
      <c r="U1677" s="4"/>
    </row>
    <row r="1678">
      <c r="A1678" s="4"/>
      <c r="B1678" s="17"/>
      <c r="C1678" s="4"/>
      <c r="D1678" s="4"/>
      <c r="E1678" s="4"/>
      <c r="F1678" s="4"/>
      <c r="G1678" s="17"/>
      <c r="H1678" s="4"/>
      <c r="I1678" s="4"/>
      <c r="J1678" s="4"/>
      <c r="K1678" s="6"/>
      <c r="L1678" s="17"/>
      <c r="M1678" s="4"/>
      <c r="N1678" s="6"/>
      <c r="O1678" s="4"/>
      <c r="P1678" s="4"/>
      <c r="Q1678" s="4"/>
      <c r="R1678" s="4"/>
      <c r="S1678" s="4"/>
      <c r="T1678" s="4"/>
      <c r="U1678" s="4"/>
    </row>
    <row r="1679">
      <c r="A1679" s="4"/>
      <c r="B1679" s="17"/>
      <c r="C1679" s="4"/>
      <c r="D1679" s="4"/>
      <c r="E1679" s="4"/>
      <c r="F1679" s="4"/>
      <c r="G1679" s="17"/>
      <c r="H1679" s="4"/>
      <c r="I1679" s="4"/>
      <c r="J1679" s="4"/>
      <c r="K1679" s="6"/>
      <c r="L1679" s="17"/>
      <c r="M1679" s="4"/>
      <c r="N1679" s="6"/>
      <c r="O1679" s="4"/>
      <c r="P1679" s="4"/>
      <c r="Q1679" s="4"/>
      <c r="R1679" s="4"/>
      <c r="S1679" s="4"/>
      <c r="T1679" s="4"/>
      <c r="U1679" s="4"/>
    </row>
    <row r="1680">
      <c r="A1680" s="4"/>
      <c r="B1680" s="17"/>
      <c r="C1680" s="4"/>
      <c r="D1680" s="4"/>
      <c r="E1680" s="4"/>
      <c r="F1680" s="4"/>
      <c r="G1680" s="17"/>
      <c r="H1680" s="4"/>
      <c r="I1680" s="4"/>
      <c r="J1680" s="4"/>
      <c r="K1680" s="6"/>
      <c r="L1680" s="17"/>
      <c r="M1680" s="4"/>
      <c r="N1680" s="6"/>
      <c r="O1680" s="4"/>
      <c r="P1680" s="4"/>
      <c r="Q1680" s="4"/>
      <c r="R1680" s="4"/>
      <c r="S1680" s="4"/>
      <c r="T1680" s="4"/>
      <c r="U1680" s="4"/>
    </row>
    <row r="1681">
      <c r="A1681" s="4"/>
      <c r="B1681" s="17"/>
      <c r="C1681" s="4"/>
      <c r="D1681" s="4"/>
      <c r="E1681" s="4"/>
      <c r="F1681" s="4"/>
      <c r="G1681" s="17"/>
      <c r="H1681" s="4"/>
      <c r="I1681" s="4"/>
      <c r="J1681" s="4"/>
      <c r="K1681" s="6"/>
      <c r="L1681" s="17"/>
      <c r="M1681" s="4"/>
      <c r="N1681" s="6"/>
      <c r="O1681" s="4"/>
      <c r="P1681" s="4"/>
      <c r="Q1681" s="4"/>
      <c r="R1681" s="4"/>
      <c r="S1681" s="4"/>
      <c r="T1681" s="4"/>
      <c r="U1681" s="4"/>
    </row>
    <row r="1682">
      <c r="A1682" s="4"/>
      <c r="B1682" s="17"/>
      <c r="C1682" s="4"/>
      <c r="D1682" s="4"/>
      <c r="E1682" s="4"/>
      <c r="F1682" s="4"/>
      <c r="G1682" s="17"/>
      <c r="H1682" s="4"/>
      <c r="I1682" s="4"/>
      <c r="J1682" s="4"/>
      <c r="K1682" s="6"/>
      <c r="L1682" s="17"/>
      <c r="M1682" s="4"/>
      <c r="N1682" s="6"/>
      <c r="O1682" s="4"/>
      <c r="P1682" s="4"/>
      <c r="Q1682" s="4"/>
      <c r="R1682" s="4"/>
      <c r="S1682" s="4"/>
      <c r="T1682" s="4"/>
      <c r="U1682" s="4"/>
    </row>
    <row r="1683">
      <c r="A1683" s="4"/>
      <c r="B1683" s="17"/>
      <c r="C1683" s="4"/>
      <c r="D1683" s="4"/>
      <c r="E1683" s="4"/>
      <c r="F1683" s="4"/>
      <c r="G1683" s="17"/>
      <c r="H1683" s="4"/>
      <c r="I1683" s="4"/>
      <c r="J1683" s="4"/>
      <c r="K1683" s="6"/>
      <c r="L1683" s="17"/>
      <c r="M1683" s="4"/>
      <c r="N1683" s="6"/>
      <c r="O1683" s="4"/>
      <c r="P1683" s="4"/>
      <c r="Q1683" s="4"/>
      <c r="R1683" s="4"/>
      <c r="S1683" s="4"/>
      <c r="T1683" s="4"/>
      <c r="U1683" s="4"/>
    </row>
    <row r="1684">
      <c r="A1684" s="4"/>
      <c r="B1684" s="17"/>
      <c r="C1684" s="4"/>
      <c r="D1684" s="4"/>
      <c r="E1684" s="4"/>
      <c r="F1684" s="4"/>
      <c r="G1684" s="17"/>
      <c r="H1684" s="4"/>
      <c r="I1684" s="4"/>
      <c r="J1684" s="4"/>
      <c r="K1684" s="6"/>
      <c r="L1684" s="17"/>
      <c r="M1684" s="4"/>
      <c r="N1684" s="6"/>
      <c r="O1684" s="4"/>
      <c r="P1684" s="4"/>
      <c r="Q1684" s="4"/>
      <c r="R1684" s="4"/>
      <c r="S1684" s="4"/>
      <c r="T1684" s="4"/>
      <c r="U1684" s="4"/>
    </row>
    <row r="1685">
      <c r="A1685" s="4"/>
      <c r="B1685" s="17"/>
      <c r="C1685" s="4"/>
      <c r="D1685" s="4"/>
      <c r="E1685" s="4"/>
      <c r="F1685" s="4"/>
      <c r="G1685" s="17"/>
      <c r="H1685" s="4"/>
      <c r="I1685" s="4"/>
      <c r="J1685" s="4"/>
      <c r="K1685" s="6"/>
      <c r="L1685" s="17"/>
      <c r="M1685" s="4"/>
      <c r="N1685" s="6"/>
      <c r="O1685" s="4"/>
      <c r="P1685" s="4"/>
      <c r="Q1685" s="4"/>
      <c r="R1685" s="4"/>
      <c r="S1685" s="4"/>
      <c r="T1685" s="4"/>
      <c r="U1685" s="4"/>
    </row>
    <row r="1686">
      <c r="A1686" s="4"/>
      <c r="B1686" s="17"/>
      <c r="C1686" s="4"/>
      <c r="D1686" s="4"/>
      <c r="E1686" s="4"/>
      <c r="F1686" s="4"/>
      <c r="G1686" s="17"/>
      <c r="H1686" s="4"/>
      <c r="I1686" s="4"/>
      <c r="J1686" s="4"/>
      <c r="K1686" s="6"/>
      <c r="L1686" s="17"/>
      <c r="M1686" s="4"/>
      <c r="N1686" s="6"/>
      <c r="O1686" s="4"/>
      <c r="P1686" s="4"/>
      <c r="Q1686" s="4"/>
      <c r="R1686" s="4"/>
      <c r="S1686" s="4"/>
      <c r="T1686" s="4"/>
      <c r="U1686" s="4"/>
    </row>
    <row r="1687">
      <c r="A1687" s="4"/>
      <c r="B1687" s="17"/>
      <c r="C1687" s="4"/>
      <c r="D1687" s="4"/>
      <c r="E1687" s="4"/>
      <c r="F1687" s="4"/>
      <c r="G1687" s="17"/>
      <c r="H1687" s="4"/>
      <c r="I1687" s="4"/>
      <c r="J1687" s="4"/>
      <c r="K1687" s="6"/>
      <c r="L1687" s="17"/>
      <c r="M1687" s="4"/>
      <c r="N1687" s="6"/>
      <c r="O1687" s="4"/>
      <c r="P1687" s="4"/>
      <c r="Q1687" s="4"/>
      <c r="R1687" s="4"/>
      <c r="S1687" s="4"/>
      <c r="T1687" s="4"/>
      <c r="U1687" s="4"/>
    </row>
    <row r="1688">
      <c r="A1688" s="4"/>
      <c r="B1688" s="17"/>
      <c r="C1688" s="4"/>
      <c r="D1688" s="4"/>
      <c r="E1688" s="4"/>
      <c r="F1688" s="4"/>
      <c r="G1688" s="17"/>
      <c r="H1688" s="4"/>
      <c r="I1688" s="4"/>
      <c r="J1688" s="4"/>
      <c r="K1688" s="6"/>
      <c r="L1688" s="17"/>
      <c r="M1688" s="4"/>
      <c r="N1688" s="6"/>
      <c r="O1688" s="4"/>
      <c r="P1688" s="4"/>
      <c r="Q1688" s="4"/>
      <c r="R1688" s="4"/>
      <c r="S1688" s="4"/>
      <c r="T1688" s="4"/>
      <c r="U1688" s="4"/>
    </row>
    <row r="1689">
      <c r="A1689" s="4"/>
      <c r="B1689" s="17"/>
      <c r="C1689" s="4"/>
      <c r="D1689" s="4"/>
      <c r="E1689" s="4"/>
      <c r="F1689" s="4"/>
      <c r="G1689" s="17"/>
      <c r="H1689" s="4"/>
      <c r="I1689" s="4"/>
      <c r="J1689" s="4"/>
      <c r="K1689" s="6"/>
      <c r="L1689" s="17"/>
      <c r="M1689" s="4"/>
      <c r="N1689" s="6"/>
      <c r="O1689" s="4"/>
      <c r="P1689" s="4"/>
      <c r="Q1689" s="4"/>
      <c r="R1689" s="4"/>
      <c r="S1689" s="4"/>
      <c r="T1689" s="4"/>
      <c r="U1689" s="4"/>
    </row>
    <row r="1690">
      <c r="A1690" s="4"/>
      <c r="B1690" s="17"/>
      <c r="C1690" s="4"/>
      <c r="D1690" s="4"/>
      <c r="E1690" s="4"/>
      <c r="F1690" s="4"/>
      <c r="G1690" s="17"/>
      <c r="H1690" s="4"/>
      <c r="I1690" s="4"/>
      <c r="J1690" s="4"/>
      <c r="K1690" s="6"/>
      <c r="L1690" s="17"/>
      <c r="M1690" s="4"/>
      <c r="N1690" s="6"/>
      <c r="O1690" s="4"/>
      <c r="P1690" s="4"/>
      <c r="Q1690" s="4"/>
      <c r="R1690" s="4"/>
      <c r="S1690" s="4"/>
      <c r="T1690" s="4"/>
      <c r="U1690" s="4"/>
    </row>
    <row r="1691">
      <c r="A1691" s="4"/>
      <c r="B1691" s="17"/>
      <c r="C1691" s="4"/>
      <c r="D1691" s="4"/>
      <c r="E1691" s="4"/>
      <c r="F1691" s="4"/>
      <c r="G1691" s="17"/>
      <c r="H1691" s="4"/>
      <c r="I1691" s="4"/>
      <c r="J1691" s="4"/>
      <c r="K1691" s="6"/>
      <c r="L1691" s="17"/>
      <c r="M1691" s="4"/>
      <c r="N1691" s="6"/>
      <c r="O1691" s="4"/>
      <c r="P1691" s="4"/>
      <c r="Q1691" s="4"/>
      <c r="R1691" s="4"/>
      <c r="S1691" s="4"/>
      <c r="T1691" s="4"/>
      <c r="U1691" s="4"/>
    </row>
    <row r="1692">
      <c r="A1692" s="4"/>
      <c r="B1692" s="17"/>
      <c r="C1692" s="4"/>
      <c r="D1692" s="4"/>
      <c r="E1692" s="4"/>
      <c r="F1692" s="4"/>
      <c r="G1692" s="17"/>
      <c r="H1692" s="4"/>
      <c r="I1692" s="4"/>
      <c r="J1692" s="4"/>
      <c r="K1692" s="6"/>
      <c r="L1692" s="17"/>
      <c r="M1692" s="4"/>
      <c r="N1692" s="6"/>
      <c r="O1692" s="4"/>
      <c r="P1692" s="4"/>
      <c r="Q1692" s="4"/>
      <c r="R1692" s="4"/>
      <c r="S1692" s="4"/>
      <c r="T1692" s="4"/>
      <c r="U1692" s="4"/>
    </row>
    <row r="1693">
      <c r="A1693" s="4"/>
      <c r="B1693" s="17"/>
      <c r="C1693" s="4"/>
      <c r="D1693" s="4"/>
      <c r="E1693" s="4"/>
      <c r="F1693" s="4"/>
      <c r="G1693" s="17"/>
      <c r="H1693" s="4"/>
      <c r="I1693" s="4"/>
      <c r="J1693" s="4"/>
      <c r="K1693" s="6"/>
      <c r="L1693" s="17"/>
      <c r="M1693" s="4"/>
      <c r="N1693" s="6"/>
      <c r="O1693" s="4"/>
      <c r="P1693" s="4"/>
      <c r="Q1693" s="4"/>
      <c r="R1693" s="4"/>
      <c r="S1693" s="4"/>
      <c r="T1693" s="4"/>
      <c r="U1693" s="4"/>
    </row>
    <row r="1694">
      <c r="A1694" s="4"/>
      <c r="B1694" s="17"/>
      <c r="C1694" s="4"/>
      <c r="D1694" s="4"/>
      <c r="E1694" s="4"/>
      <c r="F1694" s="4"/>
      <c r="G1694" s="17"/>
      <c r="H1694" s="4"/>
      <c r="I1694" s="4"/>
      <c r="J1694" s="4"/>
      <c r="K1694" s="6"/>
      <c r="L1694" s="17"/>
      <c r="M1694" s="4"/>
      <c r="N1694" s="6"/>
      <c r="O1694" s="4"/>
      <c r="P1694" s="4"/>
      <c r="Q1694" s="4"/>
      <c r="R1694" s="4"/>
      <c r="S1694" s="4"/>
      <c r="T1694" s="4"/>
      <c r="U1694" s="4"/>
    </row>
    <row r="1695">
      <c r="A1695" s="4"/>
      <c r="B1695" s="17"/>
      <c r="C1695" s="4"/>
      <c r="D1695" s="4"/>
      <c r="E1695" s="4"/>
      <c r="F1695" s="4"/>
      <c r="G1695" s="17"/>
      <c r="H1695" s="4"/>
      <c r="I1695" s="4"/>
      <c r="J1695" s="4"/>
      <c r="K1695" s="6"/>
      <c r="L1695" s="17"/>
      <c r="M1695" s="4"/>
      <c r="N1695" s="6"/>
      <c r="O1695" s="4"/>
      <c r="P1695" s="4"/>
      <c r="Q1695" s="4"/>
      <c r="R1695" s="4"/>
      <c r="S1695" s="4"/>
      <c r="T1695" s="4"/>
      <c r="U1695" s="4"/>
    </row>
    <row r="1696">
      <c r="A1696" s="4"/>
      <c r="B1696" s="17"/>
      <c r="C1696" s="4"/>
      <c r="D1696" s="4"/>
      <c r="E1696" s="4"/>
      <c r="F1696" s="4"/>
      <c r="G1696" s="17"/>
      <c r="H1696" s="4"/>
      <c r="I1696" s="4"/>
      <c r="J1696" s="4"/>
      <c r="K1696" s="6"/>
      <c r="L1696" s="17"/>
      <c r="M1696" s="4"/>
      <c r="N1696" s="6"/>
      <c r="O1696" s="4"/>
      <c r="P1696" s="4"/>
      <c r="Q1696" s="4"/>
      <c r="R1696" s="4"/>
      <c r="S1696" s="4"/>
      <c r="T1696" s="4"/>
      <c r="U1696" s="4"/>
    </row>
    <row r="1697">
      <c r="A1697" s="4"/>
      <c r="B1697" s="17"/>
      <c r="C1697" s="4"/>
      <c r="D1697" s="4"/>
      <c r="E1697" s="4"/>
      <c r="F1697" s="4"/>
      <c r="G1697" s="17"/>
      <c r="H1697" s="4"/>
      <c r="I1697" s="4"/>
      <c r="J1697" s="4"/>
      <c r="K1697" s="6"/>
      <c r="L1697" s="17"/>
      <c r="M1697" s="4"/>
      <c r="N1697" s="6"/>
      <c r="O1697" s="4"/>
      <c r="P1697" s="4"/>
      <c r="Q1697" s="4"/>
      <c r="R1697" s="4"/>
      <c r="S1697" s="4"/>
      <c r="T1697" s="4"/>
      <c r="U1697" s="4"/>
    </row>
    <row r="1698">
      <c r="A1698" s="4"/>
      <c r="B1698" s="17"/>
      <c r="C1698" s="4"/>
      <c r="D1698" s="4"/>
      <c r="E1698" s="4"/>
      <c r="F1698" s="4"/>
      <c r="G1698" s="17"/>
      <c r="H1698" s="4"/>
      <c r="I1698" s="4"/>
      <c r="J1698" s="4"/>
      <c r="K1698" s="6"/>
      <c r="L1698" s="17"/>
      <c r="M1698" s="4"/>
      <c r="N1698" s="6"/>
      <c r="O1698" s="4"/>
      <c r="P1698" s="4"/>
      <c r="Q1698" s="4"/>
      <c r="R1698" s="4"/>
      <c r="S1698" s="4"/>
      <c r="T1698" s="4"/>
      <c r="U1698" s="4"/>
    </row>
    <row r="1699">
      <c r="A1699" s="4"/>
      <c r="B1699" s="17"/>
      <c r="C1699" s="4"/>
      <c r="D1699" s="4"/>
      <c r="E1699" s="4"/>
      <c r="F1699" s="4"/>
      <c r="G1699" s="17"/>
      <c r="H1699" s="4"/>
      <c r="I1699" s="4"/>
      <c r="J1699" s="4"/>
      <c r="K1699" s="6"/>
      <c r="L1699" s="17"/>
      <c r="M1699" s="4"/>
      <c r="N1699" s="6"/>
      <c r="O1699" s="4"/>
      <c r="P1699" s="4"/>
      <c r="Q1699" s="4"/>
      <c r="R1699" s="4"/>
      <c r="S1699" s="4"/>
      <c r="T1699" s="4"/>
      <c r="U1699" s="4"/>
    </row>
    <row r="1700">
      <c r="A1700" s="4"/>
      <c r="B1700" s="17"/>
      <c r="C1700" s="4"/>
      <c r="D1700" s="4"/>
      <c r="E1700" s="4"/>
      <c r="F1700" s="4"/>
      <c r="G1700" s="17"/>
      <c r="H1700" s="4"/>
      <c r="I1700" s="4"/>
      <c r="J1700" s="4"/>
      <c r="K1700" s="6"/>
      <c r="L1700" s="17"/>
      <c r="M1700" s="4"/>
      <c r="N1700" s="6"/>
      <c r="O1700" s="4"/>
      <c r="P1700" s="4"/>
      <c r="Q1700" s="4"/>
      <c r="R1700" s="4"/>
      <c r="S1700" s="4"/>
      <c r="T1700" s="4"/>
      <c r="U1700" s="4"/>
    </row>
    <row r="1701">
      <c r="A1701" s="4"/>
      <c r="B1701" s="17"/>
      <c r="C1701" s="4"/>
      <c r="D1701" s="4"/>
      <c r="E1701" s="4"/>
      <c r="F1701" s="4"/>
      <c r="G1701" s="17"/>
      <c r="H1701" s="4"/>
      <c r="I1701" s="4"/>
      <c r="J1701" s="4"/>
      <c r="K1701" s="6"/>
      <c r="L1701" s="17"/>
      <c r="M1701" s="4"/>
      <c r="N1701" s="6"/>
      <c r="O1701" s="4"/>
      <c r="P1701" s="4"/>
      <c r="Q1701" s="4"/>
      <c r="R1701" s="4"/>
      <c r="S1701" s="4"/>
      <c r="T1701" s="4"/>
      <c r="U1701" s="4"/>
    </row>
    <row r="1702">
      <c r="A1702" s="4"/>
      <c r="B1702" s="17"/>
      <c r="C1702" s="4"/>
      <c r="D1702" s="4"/>
      <c r="E1702" s="4"/>
      <c r="F1702" s="4"/>
      <c r="G1702" s="17"/>
      <c r="H1702" s="4"/>
      <c r="I1702" s="4"/>
      <c r="J1702" s="4"/>
      <c r="K1702" s="6"/>
      <c r="L1702" s="17"/>
      <c r="M1702" s="4"/>
      <c r="N1702" s="6"/>
      <c r="O1702" s="4"/>
      <c r="P1702" s="4"/>
      <c r="Q1702" s="4"/>
      <c r="R1702" s="4"/>
      <c r="S1702" s="4"/>
      <c r="T1702" s="4"/>
      <c r="U1702" s="4"/>
    </row>
    <row r="1703">
      <c r="A1703" s="4"/>
      <c r="B1703" s="17"/>
      <c r="C1703" s="4"/>
      <c r="D1703" s="4"/>
      <c r="E1703" s="4"/>
      <c r="F1703" s="4"/>
      <c r="G1703" s="17"/>
      <c r="H1703" s="4"/>
      <c r="I1703" s="4"/>
      <c r="J1703" s="4"/>
      <c r="K1703" s="6"/>
      <c r="L1703" s="17"/>
      <c r="M1703" s="4"/>
      <c r="N1703" s="6"/>
      <c r="O1703" s="4"/>
      <c r="P1703" s="4"/>
      <c r="Q1703" s="4"/>
      <c r="R1703" s="4"/>
      <c r="S1703" s="4"/>
      <c r="T1703" s="4"/>
      <c r="U1703" s="4"/>
    </row>
    <row r="1704">
      <c r="A1704" s="4"/>
      <c r="B1704" s="17"/>
      <c r="C1704" s="4"/>
      <c r="D1704" s="4"/>
      <c r="E1704" s="4"/>
      <c r="F1704" s="4"/>
      <c r="G1704" s="17"/>
      <c r="H1704" s="4"/>
      <c r="I1704" s="4"/>
      <c r="J1704" s="4"/>
      <c r="K1704" s="6"/>
      <c r="L1704" s="17"/>
      <c r="M1704" s="4"/>
      <c r="N1704" s="6"/>
      <c r="O1704" s="4"/>
      <c r="P1704" s="4"/>
      <c r="Q1704" s="4"/>
      <c r="R1704" s="4"/>
      <c r="S1704" s="4"/>
      <c r="T1704" s="4"/>
      <c r="U1704" s="4"/>
    </row>
    <row r="1705">
      <c r="A1705" s="4"/>
      <c r="B1705" s="17"/>
      <c r="C1705" s="4"/>
      <c r="D1705" s="4"/>
      <c r="E1705" s="4"/>
      <c r="F1705" s="4"/>
      <c r="G1705" s="17"/>
      <c r="H1705" s="4"/>
      <c r="I1705" s="4"/>
      <c r="J1705" s="4"/>
      <c r="K1705" s="6"/>
      <c r="L1705" s="17"/>
      <c r="M1705" s="4"/>
      <c r="N1705" s="6"/>
      <c r="O1705" s="4"/>
      <c r="P1705" s="4"/>
      <c r="Q1705" s="4"/>
      <c r="R1705" s="4"/>
      <c r="S1705" s="4"/>
      <c r="T1705" s="4"/>
      <c r="U1705" s="4"/>
    </row>
    <row r="1706">
      <c r="A1706" s="4"/>
      <c r="B1706" s="17"/>
      <c r="C1706" s="4"/>
      <c r="D1706" s="4"/>
      <c r="E1706" s="4"/>
      <c r="F1706" s="4"/>
      <c r="G1706" s="17"/>
      <c r="H1706" s="4"/>
      <c r="I1706" s="4"/>
      <c r="J1706" s="4"/>
      <c r="K1706" s="6"/>
      <c r="L1706" s="17"/>
      <c r="M1706" s="4"/>
      <c r="N1706" s="6"/>
      <c r="O1706" s="4"/>
      <c r="P1706" s="4"/>
      <c r="Q1706" s="4"/>
      <c r="R1706" s="4"/>
      <c r="S1706" s="4"/>
      <c r="T1706" s="4"/>
      <c r="U1706" s="4"/>
    </row>
    <row r="1707">
      <c r="A1707" s="4"/>
      <c r="B1707" s="17"/>
      <c r="C1707" s="4"/>
      <c r="D1707" s="4"/>
      <c r="E1707" s="4"/>
      <c r="F1707" s="4"/>
      <c r="G1707" s="17"/>
      <c r="H1707" s="4"/>
      <c r="I1707" s="4"/>
      <c r="J1707" s="4"/>
      <c r="K1707" s="6"/>
      <c r="L1707" s="17"/>
      <c r="M1707" s="4"/>
      <c r="N1707" s="6"/>
      <c r="O1707" s="4"/>
      <c r="P1707" s="4"/>
      <c r="Q1707" s="4"/>
      <c r="R1707" s="4"/>
      <c r="S1707" s="4"/>
      <c r="T1707" s="4"/>
      <c r="U1707" s="4"/>
    </row>
    <row r="1708">
      <c r="A1708" s="4"/>
      <c r="B1708" s="17"/>
      <c r="C1708" s="4"/>
      <c r="D1708" s="4"/>
      <c r="E1708" s="4"/>
      <c r="F1708" s="4"/>
      <c r="G1708" s="17"/>
      <c r="H1708" s="4"/>
      <c r="I1708" s="4"/>
      <c r="J1708" s="4"/>
      <c r="K1708" s="6"/>
      <c r="L1708" s="17"/>
      <c r="M1708" s="4"/>
      <c r="N1708" s="6"/>
      <c r="O1708" s="4"/>
      <c r="P1708" s="4"/>
      <c r="Q1708" s="4"/>
      <c r="R1708" s="4"/>
      <c r="S1708" s="4"/>
      <c r="T1708" s="4"/>
      <c r="U1708" s="4"/>
    </row>
    <row r="1709">
      <c r="A1709" s="4"/>
      <c r="B1709" s="17"/>
      <c r="C1709" s="4"/>
      <c r="D1709" s="4"/>
      <c r="E1709" s="4"/>
      <c r="F1709" s="4"/>
      <c r="G1709" s="17"/>
      <c r="H1709" s="4"/>
      <c r="I1709" s="4"/>
      <c r="J1709" s="4"/>
      <c r="K1709" s="6"/>
      <c r="L1709" s="17"/>
      <c r="M1709" s="4"/>
      <c r="N1709" s="6"/>
      <c r="O1709" s="4"/>
      <c r="P1709" s="4"/>
      <c r="Q1709" s="4"/>
      <c r="R1709" s="4"/>
      <c r="S1709" s="4"/>
      <c r="T1709" s="4"/>
      <c r="U1709" s="4"/>
    </row>
    <row r="1710">
      <c r="A1710" s="4"/>
      <c r="B1710" s="17"/>
      <c r="C1710" s="4"/>
      <c r="D1710" s="4"/>
      <c r="E1710" s="4"/>
      <c r="F1710" s="4"/>
      <c r="G1710" s="17"/>
      <c r="H1710" s="4"/>
      <c r="I1710" s="4"/>
      <c r="J1710" s="4"/>
      <c r="K1710" s="6"/>
      <c r="L1710" s="17"/>
      <c r="M1710" s="4"/>
      <c r="N1710" s="6"/>
      <c r="O1710" s="4"/>
      <c r="P1710" s="4"/>
      <c r="Q1710" s="4"/>
      <c r="R1710" s="4"/>
      <c r="S1710" s="4"/>
      <c r="T1710" s="4"/>
      <c r="U1710" s="4"/>
    </row>
    <row r="1711">
      <c r="A1711" s="4"/>
      <c r="B1711" s="17"/>
      <c r="C1711" s="4"/>
      <c r="D1711" s="4"/>
      <c r="E1711" s="4"/>
      <c r="F1711" s="4"/>
      <c r="G1711" s="17"/>
      <c r="H1711" s="4"/>
      <c r="I1711" s="4"/>
      <c r="J1711" s="4"/>
      <c r="K1711" s="6"/>
      <c r="L1711" s="17"/>
      <c r="M1711" s="4"/>
      <c r="N1711" s="6"/>
      <c r="O1711" s="4"/>
      <c r="P1711" s="4"/>
      <c r="Q1711" s="4"/>
      <c r="R1711" s="4"/>
      <c r="S1711" s="4"/>
      <c r="T1711" s="4"/>
      <c r="U1711" s="4"/>
    </row>
    <row r="1712">
      <c r="A1712" s="4"/>
      <c r="B1712" s="17"/>
      <c r="C1712" s="4"/>
      <c r="D1712" s="4"/>
      <c r="E1712" s="4"/>
      <c r="F1712" s="4"/>
      <c r="G1712" s="17"/>
      <c r="H1712" s="4"/>
      <c r="I1712" s="4"/>
      <c r="J1712" s="4"/>
      <c r="K1712" s="6"/>
      <c r="L1712" s="17"/>
      <c r="M1712" s="4"/>
      <c r="N1712" s="6"/>
      <c r="O1712" s="4"/>
      <c r="P1712" s="4"/>
      <c r="Q1712" s="4"/>
      <c r="R1712" s="4"/>
      <c r="S1712" s="4"/>
      <c r="T1712" s="4"/>
      <c r="U1712" s="4"/>
    </row>
    <row r="1713">
      <c r="A1713" s="4"/>
      <c r="B1713" s="17"/>
      <c r="C1713" s="4"/>
      <c r="D1713" s="4"/>
      <c r="E1713" s="4"/>
      <c r="F1713" s="4"/>
      <c r="G1713" s="17"/>
      <c r="H1713" s="4"/>
      <c r="I1713" s="4"/>
      <c r="J1713" s="4"/>
      <c r="K1713" s="6"/>
      <c r="L1713" s="17"/>
      <c r="M1713" s="4"/>
      <c r="N1713" s="6"/>
      <c r="O1713" s="4"/>
      <c r="P1713" s="4"/>
      <c r="Q1713" s="4"/>
      <c r="R1713" s="4"/>
      <c r="S1713" s="4"/>
      <c r="T1713" s="4"/>
      <c r="U1713" s="4"/>
    </row>
    <row r="1714">
      <c r="A1714" s="4"/>
      <c r="B1714" s="17"/>
      <c r="C1714" s="4"/>
      <c r="D1714" s="4"/>
      <c r="E1714" s="4"/>
      <c r="F1714" s="4"/>
      <c r="G1714" s="17"/>
      <c r="H1714" s="4"/>
      <c r="I1714" s="4"/>
      <c r="J1714" s="4"/>
      <c r="K1714" s="6"/>
      <c r="L1714" s="17"/>
      <c r="M1714" s="4"/>
      <c r="N1714" s="6"/>
      <c r="O1714" s="4"/>
      <c r="P1714" s="4"/>
      <c r="Q1714" s="4"/>
      <c r="R1714" s="4"/>
      <c r="S1714" s="4"/>
      <c r="T1714" s="4"/>
      <c r="U1714" s="4"/>
    </row>
    <row r="1715">
      <c r="A1715" s="4"/>
      <c r="B1715" s="17"/>
      <c r="C1715" s="4"/>
      <c r="D1715" s="4"/>
      <c r="E1715" s="4"/>
      <c r="F1715" s="4"/>
      <c r="G1715" s="17"/>
      <c r="H1715" s="4"/>
      <c r="I1715" s="4"/>
      <c r="J1715" s="4"/>
      <c r="K1715" s="6"/>
      <c r="L1715" s="17"/>
      <c r="M1715" s="4"/>
      <c r="N1715" s="6"/>
      <c r="O1715" s="4"/>
      <c r="P1715" s="4"/>
      <c r="Q1715" s="4"/>
      <c r="R1715" s="4"/>
      <c r="S1715" s="4"/>
      <c r="T1715" s="4"/>
      <c r="U1715" s="4"/>
    </row>
    <row r="1716">
      <c r="A1716" s="4"/>
      <c r="B1716" s="17"/>
      <c r="C1716" s="4"/>
      <c r="D1716" s="4"/>
      <c r="E1716" s="4"/>
      <c r="F1716" s="4"/>
      <c r="G1716" s="17"/>
      <c r="H1716" s="4"/>
      <c r="I1716" s="4"/>
      <c r="J1716" s="4"/>
      <c r="K1716" s="6"/>
      <c r="L1716" s="17"/>
      <c r="M1716" s="4"/>
      <c r="N1716" s="6"/>
      <c r="O1716" s="4"/>
      <c r="P1716" s="4"/>
      <c r="Q1716" s="4"/>
      <c r="R1716" s="4"/>
      <c r="S1716" s="4"/>
      <c r="T1716" s="4"/>
      <c r="U1716" s="4"/>
    </row>
    <row r="1717">
      <c r="A1717" s="4"/>
      <c r="B1717" s="17"/>
      <c r="C1717" s="4"/>
      <c r="D1717" s="4"/>
      <c r="E1717" s="4"/>
      <c r="F1717" s="4"/>
      <c r="G1717" s="17"/>
      <c r="H1717" s="4"/>
      <c r="I1717" s="4"/>
      <c r="J1717" s="4"/>
      <c r="K1717" s="6"/>
      <c r="L1717" s="17"/>
      <c r="M1717" s="4"/>
      <c r="N1717" s="6"/>
      <c r="O1717" s="4"/>
      <c r="P1717" s="4"/>
      <c r="Q1717" s="4"/>
      <c r="R1717" s="4"/>
      <c r="S1717" s="4"/>
      <c r="T1717" s="4"/>
      <c r="U1717" s="4"/>
    </row>
    <row r="1718">
      <c r="A1718" s="4"/>
      <c r="B1718" s="17"/>
      <c r="C1718" s="4"/>
      <c r="D1718" s="4"/>
      <c r="E1718" s="4"/>
      <c r="F1718" s="4"/>
      <c r="G1718" s="17"/>
      <c r="H1718" s="4"/>
      <c r="I1718" s="4"/>
      <c r="J1718" s="4"/>
      <c r="K1718" s="6"/>
      <c r="L1718" s="17"/>
      <c r="M1718" s="4"/>
      <c r="N1718" s="6"/>
      <c r="O1718" s="4"/>
      <c r="P1718" s="4"/>
      <c r="Q1718" s="4"/>
      <c r="R1718" s="4"/>
      <c r="S1718" s="4"/>
      <c r="T1718" s="4"/>
      <c r="U1718" s="4"/>
    </row>
    <row r="1719">
      <c r="A1719" s="4"/>
      <c r="B1719" s="17"/>
      <c r="C1719" s="4"/>
      <c r="D1719" s="4"/>
      <c r="E1719" s="4"/>
      <c r="F1719" s="4"/>
      <c r="G1719" s="17"/>
      <c r="H1719" s="4"/>
      <c r="I1719" s="4"/>
      <c r="J1719" s="4"/>
      <c r="K1719" s="6"/>
      <c r="L1719" s="17"/>
      <c r="M1719" s="4"/>
      <c r="N1719" s="6"/>
      <c r="O1719" s="4"/>
      <c r="P1719" s="4"/>
      <c r="Q1719" s="4"/>
      <c r="R1719" s="4"/>
      <c r="S1719" s="4"/>
      <c r="T1719" s="4"/>
      <c r="U1719" s="4"/>
    </row>
    <row r="1720">
      <c r="A1720" s="4"/>
      <c r="B1720" s="17"/>
      <c r="C1720" s="4"/>
      <c r="D1720" s="4"/>
      <c r="E1720" s="4"/>
      <c r="F1720" s="4"/>
      <c r="G1720" s="17"/>
      <c r="H1720" s="4"/>
      <c r="I1720" s="4"/>
      <c r="J1720" s="4"/>
      <c r="K1720" s="6"/>
      <c r="L1720" s="17"/>
      <c r="M1720" s="4"/>
      <c r="N1720" s="6"/>
      <c r="O1720" s="4"/>
      <c r="P1720" s="4"/>
      <c r="Q1720" s="4"/>
      <c r="R1720" s="4"/>
      <c r="S1720" s="4"/>
      <c r="T1720" s="4"/>
      <c r="U1720" s="4"/>
    </row>
    <row r="1721">
      <c r="A1721" s="4"/>
      <c r="B1721" s="17"/>
      <c r="C1721" s="4"/>
      <c r="D1721" s="4"/>
      <c r="E1721" s="4"/>
      <c r="F1721" s="4"/>
      <c r="G1721" s="17"/>
      <c r="H1721" s="4"/>
      <c r="I1721" s="4"/>
      <c r="J1721" s="4"/>
      <c r="K1721" s="6"/>
      <c r="L1721" s="17"/>
      <c r="M1721" s="4"/>
      <c r="N1721" s="6"/>
      <c r="O1721" s="4"/>
      <c r="P1721" s="4"/>
      <c r="Q1721" s="4"/>
      <c r="R1721" s="4"/>
      <c r="S1721" s="4"/>
      <c r="T1721" s="4"/>
      <c r="U1721" s="4"/>
    </row>
    <row r="1722">
      <c r="A1722" s="4"/>
      <c r="B1722" s="17"/>
      <c r="C1722" s="4"/>
      <c r="D1722" s="4"/>
      <c r="E1722" s="4"/>
      <c r="F1722" s="4"/>
      <c r="G1722" s="17"/>
      <c r="H1722" s="4"/>
      <c r="I1722" s="4"/>
      <c r="J1722" s="4"/>
      <c r="K1722" s="6"/>
      <c r="L1722" s="17"/>
      <c r="M1722" s="4"/>
      <c r="N1722" s="6"/>
      <c r="O1722" s="4"/>
      <c r="P1722" s="4"/>
      <c r="Q1722" s="4"/>
      <c r="R1722" s="4"/>
      <c r="S1722" s="4"/>
      <c r="T1722" s="4"/>
      <c r="U1722" s="4"/>
    </row>
    <row r="1723">
      <c r="A1723" s="4"/>
      <c r="B1723" s="17"/>
      <c r="C1723" s="4"/>
      <c r="D1723" s="4"/>
      <c r="E1723" s="4"/>
      <c r="F1723" s="4"/>
      <c r="G1723" s="17"/>
      <c r="H1723" s="4"/>
      <c r="I1723" s="4"/>
      <c r="J1723" s="4"/>
      <c r="K1723" s="6"/>
      <c r="L1723" s="17"/>
      <c r="M1723" s="4"/>
      <c r="N1723" s="6"/>
      <c r="O1723" s="4"/>
      <c r="P1723" s="4"/>
      <c r="Q1723" s="4"/>
      <c r="R1723" s="4"/>
      <c r="S1723" s="4"/>
      <c r="T1723" s="4"/>
      <c r="U1723" s="4"/>
    </row>
    <row r="1724">
      <c r="A1724" s="4"/>
      <c r="B1724" s="17"/>
      <c r="C1724" s="4"/>
      <c r="D1724" s="4"/>
      <c r="E1724" s="4"/>
      <c r="F1724" s="4"/>
      <c r="G1724" s="17"/>
      <c r="H1724" s="4"/>
      <c r="I1724" s="4"/>
      <c r="J1724" s="4"/>
      <c r="K1724" s="6"/>
      <c r="L1724" s="17"/>
      <c r="M1724" s="4"/>
      <c r="N1724" s="6"/>
      <c r="O1724" s="4"/>
      <c r="P1724" s="4"/>
      <c r="Q1724" s="4"/>
      <c r="R1724" s="4"/>
      <c r="S1724" s="4"/>
      <c r="T1724" s="4"/>
      <c r="U1724" s="4"/>
    </row>
    <row r="1725">
      <c r="A1725" s="4"/>
      <c r="B1725" s="17"/>
      <c r="C1725" s="4"/>
      <c r="D1725" s="4"/>
      <c r="E1725" s="4"/>
      <c r="F1725" s="4"/>
      <c r="G1725" s="17"/>
      <c r="H1725" s="4"/>
      <c r="I1725" s="4"/>
      <c r="J1725" s="4"/>
      <c r="K1725" s="6"/>
      <c r="L1725" s="17"/>
      <c r="M1725" s="4"/>
      <c r="N1725" s="6"/>
      <c r="O1725" s="4"/>
      <c r="P1725" s="4"/>
      <c r="Q1725" s="4"/>
      <c r="R1725" s="4"/>
      <c r="S1725" s="4"/>
      <c r="T1725" s="4"/>
      <c r="U1725" s="4"/>
    </row>
    <row r="1726">
      <c r="A1726" s="4"/>
      <c r="B1726" s="17"/>
      <c r="C1726" s="4"/>
      <c r="D1726" s="4"/>
      <c r="E1726" s="4"/>
      <c r="F1726" s="4"/>
      <c r="G1726" s="17"/>
      <c r="H1726" s="4"/>
      <c r="I1726" s="4"/>
      <c r="J1726" s="4"/>
      <c r="K1726" s="6"/>
      <c r="L1726" s="17"/>
      <c r="M1726" s="4"/>
      <c r="N1726" s="6"/>
      <c r="O1726" s="4"/>
      <c r="P1726" s="4"/>
      <c r="Q1726" s="4"/>
      <c r="R1726" s="4"/>
      <c r="S1726" s="4"/>
      <c r="T1726" s="4"/>
      <c r="U1726" s="4"/>
    </row>
    <row r="1727">
      <c r="A1727" s="4"/>
      <c r="B1727" s="17"/>
      <c r="C1727" s="4"/>
      <c r="D1727" s="4"/>
      <c r="E1727" s="4"/>
      <c r="F1727" s="4"/>
      <c r="G1727" s="17"/>
      <c r="H1727" s="4"/>
      <c r="I1727" s="4"/>
      <c r="J1727" s="4"/>
      <c r="K1727" s="6"/>
      <c r="L1727" s="17"/>
      <c r="M1727" s="4"/>
      <c r="N1727" s="6"/>
      <c r="O1727" s="4"/>
      <c r="P1727" s="4"/>
      <c r="Q1727" s="4"/>
      <c r="R1727" s="4"/>
      <c r="S1727" s="4"/>
      <c r="T1727" s="4"/>
      <c r="U1727" s="4"/>
    </row>
    <row r="1728">
      <c r="A1728" s="4"/>
      <c r="B1728" s="17"/>
      <c r="C1728" s="4"/>
      <c r="D1728" s="4"/>
      <c r="E1728" s="4"/>
      <c r="F1728" s="4"/>
      <c r="G1728" s="17"/>
      <c r="H1728" s="4"/>
      <c r="I1728" s="4"/>
      <c r="J1728" s="4"/>
      <c r="K1728" s="6"/>
      <c r="L1728" s="17"/>
      <c r="M1728" s="4"/>
      <c r="N1728" s="6"/>
      <c r="O1728" s="4"/>
      <c r="P1728" s="4"/>
      <c r="Q1728" s="4"/>
      <c r="R1728" s="4"/>
      <c r="S1728" s="4"/>
      <c r="T1728" s="4"/>
      <c r="U1728" s="4"/>
    </row>
    <row r="1729">
      <c r="A1729" s="4"/>
      <c r="B1729" s="17"/>
      <c r="C1729" s="4"/>
      <c r="D1729" s="4"/>
      <c r="E1729" s="4"/>
      <c r="F1729" s="4"/>
      <c r="G1729" s="17"/>
      <c r="H1729" s="4"/>
      <c r="I1729" s="4"/>
      <c r="J1729" s="4"/>
      <c r="K1729" s="6"/>
      <c r="L1729" s="17"/>
      <c r="M1729" s="4"/>
      <c r="N1729" s="6"/>
      <c r="O1729" s="4"/>
      <c r="P1729" s="4"/>
      <c r="Q1729" s="4"/>
      <c r="R1729" s="4"/>
      <c r="S1729" s="4"/>
      <c r="T1729" s="4"/>
      <c r="U1729" s="4"/>
    </row>
    <row r="1730">
      <c r="A1730" s="4"/>
      <c r="B1730" s="17"/>
      <c r="C1730" s="4"/>
      <c r="D1730" s="4"/>
      <c r="E1730" s="4"/>
      <c r="F1730" s="4"/>
      <c r="G1730" s="17"/>
      <c r="H1730" s="4"/>
      <c r="I1730" s="4"/>
      <c r="J1730" s="4"/>
      <c r="K1730" s="6"/>
      <c r="L1730" s="17"/>
      <c r="M1730" s="4"/>
      <c r="N1730" s="6"/>
      <c r="O1730" s="4"/>
      <c r="P1730" s="4"/>
      <c r="Q1730" s="4"/>
      <c r="R1730" s="4"/>
      <c r="S1730" s="4"/>
      <c r="T1730" s="4"/>
      <c r="U1730" s="4"/>
    </row>
    <row r="1731">
      <c r="A1731" s="4"/>
      <c r="B1731" s="17"/>
      <c r="C1731" s="4"/>
      <c r="D1731" s="4"/>
      <c r="E1731" s="4"/>
      <c r="F1731" s="4"/>
      <c r="G1731" s="17"/>
      <c r="H1731" s="4"/>
      <c r="I1731" s="4"/>
      <c r="J1731" s="4"/>
      <c r="K1731" s="6"/>
      <c r="L1731" s="17"/>
      <c r="M1731" s="4"/>
      <c r="N1731" s="6"/>
      <c r="O1731" s="4"/>
      <c r="P1731" s="4"/>
      <c r="Q1731" s="4"/>
      <c r="R1731" s="4"/>
      <c r="S1731" s="4"/>
      <c r="T1731" s="4"/>
      <c r="U1731" s="4"/>
    </row>
    <row r="1732">
      <c r="A1732" s="4"/>
      <c r="B1732" s="17"/>
      <c r="C1732" s="4"/>
      <c r="D1732" s="4"/>
      <c r="E1732" s="4"/>
      <c r="F1732" s="4"/>
      <c r="G1732" s="17"/>
      <c r="H1732" s="4"/>
      <c r="I1732" s="4"/>
      <c r="J1732" s="4"/>
      <c r="K1732" s="6"/>
      <c r="L1732" s="17"/>
      <c r="M1732" s="4"/>
      <c r="N1732" s="6"/>
      <c r="O1732" s="4"/>
      <c r="P1732" s="4"/>
      <c r="Q1732" s="4"/>
      <c r="R1732" s="4"/>
      <c r="S1732" s="4"/>
      <c r="T1732" s="4"/>
      <c r="U1732" s="4"/>
    </row>
    <row r="1733">
      <c r="A1733" s="4"/>
      <c r="B1733" s="17"/>
      <c r="C1733" s="4"/>
      <c r="D1733" s="4"/>
      <c r="E1733" s="4"/>
      <c r="F1733" s="4"/>
      <c r="G1733" s="17"/>
      <c r="H1733" s="4"/>
      <c r="I1733" s="4"/>
      <c r="J1733" s="4"/>
      <c r="K1733" s="6"/>
      <c r="L1733" s="17"/>
      <c r="M1733" s="4"/>
      <c r="N1733" s="6"/>
      <c r="O1733" s="4"/>
      <c r="P1733" s="4"/>
      <c r="Q1733" s="4"/>
      <c r="R1733" s="4"/>
      <c r="S1733" s="4"/>
      <c r="T1733" s="4"/>
      <c r="U1733" s="4"/>
    </row>
    <row r="1734">
      <c r="A1734" s="4"/>
      <c r="B1734" s="17"/>
      <c r="C1734" s="4"/>
      <c r="D1734" s="4"/>
      <c r="E1734" s="4"/>
      <c r="F1734" s="4"/>
      <c r="G1734" s="17"/>
      <c r="H1734" s="4"/>
      <c r="I1734" s="4"/>
      <c r="J1734" s="4"/>
      <c r="K1734" s="6"/>
      <c r="L1734" s="17"/>
      <c r="M1734" s="4"/>
      <c r="N1734" s="6"/>
      <c r="O1734" s="4"/>
      <c r="P1734" s="4"/>
      <c r="Q1734" s="4"/>
      <c r="R1734" s="4"/>
      <c r="S1734" s="4"/>
      <c r="T1734" s="4"/>
      <c r="U1734" s="4"/>
    </row>
    <row r="1735">
      <c r="A1735" s="4"/>
      <c r="B1735" s="17"/>
      <c r="C1735" s="4"/>
      <c r="D1735" s="4"/>
      <c r="E1735" s="4"/>
      <c r="F1735" s="4"/>
      <c r="G1735" s="17"/>
      <c r="H1735" s="4"/>
      <c r="I1735" s="4"/>
      <c r="J1735" s="4"/>
      <c r="K1735" s="6"/>
      <c r="L1735" s="17"/>
      <c r="M1735" s="4"/>
      <c r="N1735" s="6"/>
      <c r="O1735" s="4"/>
      <c r="P1735" s="4"/>
      <c r="Q1735" s="4"/>
      <c r="R1735" s="4"/>
      <c r="S1735" s="4"/>
      <c r="T1735" s="4"/>
      <c r="U1735" s="4"/>
    </row>
    <row r="1736">
      <c r="A1736" s="4"/>
      <c r="B1736" s="17"/>
      <c r="C1736" s="4"/>
      <c r="D1736" s="4"/>
      <c r="E1736" s="4"/>
      <c r="F1736" s="4"/>
      <c r="G1736" s="17"/>
      <c r="H1736" s="4"/>
      <c r="I1736" s="4"/>
      <c r="J1736" s="4"/>
      <c r="K1736" s="6"/>
      <c r="L1736" s="17"/>
      <c r="M1736" s="4"/>
      <c r="N1736" s="6"/>
      <c r="O1736" s="4"/>
      <c r="P1736" s="4"/>
      <c r="Q1736" s="4"/>
      <c r="R1736" s="4"/>
      <c r="S1736" s="4"/>
      <c r="T1736" s="4"/>
      <c r="U1736" s="4"/>
    </row>
    <row r="1737">
      <c r="A1737" s="4"/>
      <c r="B1737" s="17"/>
      <c r="C1737" s="4"/>
      <c r="D1737" s="4"/>
      <c r="E1737" s="4"/>
      <c r="F1737" s="4"/>
      <c r="G1737" s="17"/>
      <c r="H1737" s="4"/>
      <c r="I1737" s="4"/>
      <c r="J1737" s="4"/>
      <c r="K1737" s="6"/>
      <c r="L1737" s="17"/>
      <c r="M1737" s="4"/>
      <c r="N1737" s="6"/>
      <c r="O1737" s="4"/>
      <c r="P1737" s="4"/>
      <c r="Q1737" s="4"/>
      <c r="R1737" s="4"/>
      <c r="S1737" s="4"/>
      <c r="T1737" s="4"/>
      <c r="U1737" s="4"/>
    </row>
    <row r="1738">
      <c r="A1738" s="4"/>
      <c r="B1738" s="17"/>
      <c r="C1738" s="4"/>
      <c r="D1738" s="4"/>
      <c r="E1738" s="4"/>
      <c r="F1738" s="4"/>
      <c r="G1738" s="17"/>
      <c r="H1738" s="4"/>
      <c r="I1738" s="4"/>
      <c r="J1738" s="4"/>
      <c r="K1738" s="6"/>
      <c r="L1738" s="17"/>
      <c r="M1738" s="4"/>
      <c r="N1738" s="6"/>
      <c r="O1738" s="4"/>
      <c r="P1738" s="4"/>
      <c r="Q1738" s="4"/>
      <c r="R1738" s="4"/>
      <c r="S1738" s="4"/>
      <c r="T1738" s="4"/>
      <c r="U1738" s="4"/>
    </row>
    <row r="1739">
      <c r="A1739" s="4"/>
      <c r="B1739" s="17"/>
      <c r="C1739" s="4"/>
      <c r="D1739" s="4"/>
      <c r="E1739" s="4"/>
      <c r="F1739" s="4"/>
      <c r="G1739" s="17"/>
      <c r="H1739" s="4"/>
      <c r="I1739" s="4"/>
      <c r="J1739" s="4"/>
      <c r="K1739" s="6"/>
      <c r="L1739" s="17"/>
      <c r="M1739" s="4"/>
      <c r="N1739" s="6"/>
      <c r="O1739" s="4"/>
      <c r="P1739" s="4"/>
      <c r="Q1739" s="4"/>
      <c r="R1739" s="4"/>
      <c r="S1739" s="4"/>
      <c r="T1739" s="4"/>
      <c r="U1739" s="4"/>
    </row>
    <row r="1740">
      <c r="A1740" s="4"/>
      <c r="B1740" s="17"/>
      <c r="C1740" s="4"/>
      <c r="D1740" s="4"/>
      <c r="E1740" s="4"/>
      <c r="F1740" s="4"/>
      <c r="G1740" s="17"/>
      <c r="H1740" s="4"/>
      <c r="I1740" s="4"/>
      <c r="J1740" s="4"/>
      <c r="K1740" s="6"/>
      <c r="L1740" s="17"/>
      <c r="M1740" s="4"/>
      <c r="N1740" s="6"/>
      <c r="O1740" s="4"/>
      <c r="P1740" s="4"/>
      <c r="Q1740" s="4"/>
      <c r="R1740" s="4"/>
      <c r="S1740" s="4"/>
      <c r="T1740" s="4"/>
      <c r="U1740" s="4"/>
    </row>
    <row r="1741">
      <c r="A1741" s="4"/>
      <c r="B1741" s="17"/>
      <c r="C1741" s="4"/>
      <c r="D1741" s="4"/>
      <c r="E1741" s="4"/>
      <c r="F1741" s="4"/>
      <c r="G1741" s="17"/>
      <c r="H1741" s="4"/>
      <c r="I1741" s="4"/>
      <c r="J1741" s="4"/>
      <c r="K1741" s="6"/>
      <c r="L1741" s="17"/>
      <c r="M1741" s="4"/>
      <c r="N1741" s="6"/>
      <c r="O1741" s="4"/>
      <c r="P1741" s="4"/>
      <c r="Q1741" s="4"/>
      <c r="R1741" s="4"/>
      <c r="S1741" s="4"/>
      <c r="T1741" s="4"/>
      <c r="U1741" s="4"/>
    </row>
    <row r="1742">
      <c r="A1742" s="4"/>
      <c r="B1742" s="17"/>
      <c r="C1742" s="4"/>
      <c r="D1742" s="4"/>
      <c r="E1742" s="4"/>
      <c r="F1742" s="4"/>
      <c r="G1742" s="17"/>
      <c r="H1742" s="4"/>
      <c r="I1742" s="4"/>
      <c r="J1742" s="4"/>
      <c r="K1742" s="6"/>
      <c r="L1742" s="17"/>
      <c r="M1742" s="4"/>
      <c r="N1742" s="6"/>
      <c r="O1742" s="4"/>
      <c r="P1742" s="4"/>
      <c r="Q1742" s="4"/>
      <c r="R1742" s="4"/>
      <c r="S1742" s="4"/>
      <c r="T1742" s="4"/>
      <c r="U1742" s="4"/>
    </row>
    <row r="1743">
      <c r="A1743" s="4"/>
      <c r="B1743" s="17"/>
      <c r="C1743" s="4"/>
      <c r="D1743" s="4"/>
      <c r="E1743" s="4"/>
      <c r="F1743" s="4"/>
      <c r="G1743" s="17"/>
      <c r="H1743" s="4"/>
      <c r="I1743" s="4"/>
      <c r="J1743" s="4"/>
      <c r="K1743" s="6"/>
      <c r="L1743" s="17"/>
      <c r="M1743" s="4"/>
      <c r="N1743" s="6"/>
      <c r="O1743" s="4"/>
      <c r="P1743" s="4"/>
      <c r="Q1743" s="4"/>
      <c r="R1743" s="4"/>
      <c r="S1743" s="4"/>
      <c r="T1743" s="4"/>
      <c r="U1743" s="4"/>
    </row>
    <row r="1744">
      <c r="A1744" s="4"/>
      <c r="B1744" s="17"/>
      <c r="C1744" s="4"/>
      <c r="D1744" s="4"/>
      <c r="E1744" s="4"/>
      <c r="F1744" s="4"/>
      <c r="G1744" s="17"/>
      <c r="H1744" s="4"/>
      <c r="I1744" s="4"/>
      <c r="J1744" s="4"/>
      <c r="K1744" s="6"/>
      <c r="L1744" s="17"/>
      <c r="M1744" s="4"/>
      <c r="N1744" s="6"/>
      <c r="O1744" s="4"/>
      <c r="P1744" s="4"/>
      <c r="Q1744" s="4"/>
      <c r="R1744" s="4"/>
      <c r="S1744" s="4"/>
      <c r="T1744" s="4"/>
      <c r="U1744" s="4"/>
    </row>
    <row r="1745">
      <c r="A1745" s="4"/>
      <c r="B1745" s="17"/>
      <c r="C1745" s="4"/>
      <c r="D1745" s="4"/>
      <c r="E1745" s="4"/>
      <c r="F1745" s="4"/>
      <c r="G1745" s="17"/>
      <c r="H1745" s="4"/>
      <c r="I1745" s="4"/>
      <c r="J1745" s="4"/>
      <c r="K1745" s="6"/>
      <c r="L1745" s="17"/>
      <c r="M1745" s="4"/>
      <c r="N1745" s="6"/>
      <c r="O1745" s="4"/>
      <c r="P1745" s="4"/>
      <c r="Q1745" s="4"/>
      <c r="R1745" s="4"/>
      <c r="S1745" s="4"/>
      <c r="T1745" s="4"/>
      <c r="U1745" s="4"/>
    </row>
    <row r="1746">
      <c r="A1746" s="4"/>
      <c r="B1746" s="17"/>
      <c r="C1746" s="4"/>
      <c r="D1746" s="4"/>
      <c r="E1746" s="4"/>
      <c r="F1746" s="4"/>
      <c r="G1746" s="17"/>
      <c r="H1746" s="4"/>
      <c r="I1746" s="4"/>
      <c r="J1746" s="4"/>
      <c r="K1746" s="6"/>
      <c r="L1746" s="17"/>
      <c r="M1746" s="4"/>
      <c r="N1746" s="6"/>
      <c r="O1746" s="4"/>
      <c r="P1746" s="4"/>
      <c r="Q1746" s="4"/>
      <c r="R1746" s="4"/>
      <c r="S1746" s="4"/>
      <c r="T1746" s="4"/>
      <c r="U1746" s="4"/>
    </row>
    <row r="1747">
      <c r="A1747" s="4"/>
      <c r="B1747" s="17"/>
      <c r="C1747" s="4"/>
      <c r="D1747" s="4"/>
      <c r="E1747" s="4"/>
      <c r="F1747" s="4"/>
      <c r="G1747" s="17"/>
      <c r="H1747" s="4"/>
      <c r="I1747" s="4"/>
      <c r="J1747" s="4"/>
      <c r="K1747" s="6"/>
      <c r="L1747" s="17"/>
      <c r="M1747" s="4"/>
      <c r="N1747" s="6"/>
      <c r="O1747" s="4"/>
      <c r="P1747" s="4"/>
      <c r="Q1747" s="4"/>
      <c r="R1747" s="4"/>
      <c r="S1747" s="4"/>
      <c r="T1747" s="4"/>
      <c r="U1747" s="4"/>
    </row>
    <row r="1748">
      <c r="A1748" s="4"/>
      <c r="B1748" s="17"/>
      <c r="C1748" s="4"/>
      <c r="D1748" s="4"/>
      <c r="E1748" s="4"/>
      <c r="F1748" s="4"/>
      <c r="G1748" s="17"/>
      <c r="H1748" s="4"/>
      <c r="I1748" s="4"/>
      <c r="J1748" s="4"/>
      <c r="K1748" s="6"/>
      <c r="L1748" s="17"/>
      <c r="M1748" s="4"/>
      <c r="N1748" s="6"/>
      <c r="O1748" s="4"/>
      <c r="P1748" s="4"/>
      <c r="Q1748" s="4"/>
      <c r="R1748" s="4"/>
      <c r="S1748" s="4"/>
      <c r="T1748" s="4"/>
      <c r="U1748" s="4"/>
    </row>
    <row r="1749">
      <c r="A1749" s="4"/>
      <c r="B1749" s="17"/>
      <c r="C1749" s="4"/>
      <c r="D1749" s="4"/>
      <c r="E1749" s="4"/>
      <c r="F1749" s="4"/>
      <c r="G1749" s="17"/>
      <c r="H1749" s="4"/>
      <c r="I1749" s="4"/>
      <c r="J1749" s="4"/>
      <c r="K1749" s="6"/>
      <c r="L1749" s="17"/>
      <c r="M1749" s="4"/>
      <c r="N1749" s="6"/>
      <c r="O1749" s="4"/>
      <c r="P1749" s="4"/>
      <c r="Q1749" s="4"/>
      <c r="R1749" s="4"/>
      <c r="S1749" s="4"/>
      <c r="T1749" s="4"/>
      <c r="U1749" s="4"/>
    </row>
    <row r="1750">
      <c r="A1750" s="4"/>
      <c r="B1750" s="17"/>
      <c r="C1750" s="4"/>
      <c r="D1750" s="4"/>
      <c r="E1750" s="4"/>
      <c r="F1750" s="4"/>
      <c r="G1750" s="17"/>
      <c r="H1750" s="4"/>
      <c r="I1750" s="4"/>
      <c r="J1750" s="4"/>
      <c r="K1750" s="6"/>
      <c r="L1750" s="17"/>
      <c r="M1750" s="4"/>
      <c r="N1750" s="6"/>
      <c r="O1750" s="4"/>
      <c r="P1750" s="4"/>
      <c r="Q1750" s="4"/>
      <c r="R1750" s="4"/>
      <c r="S1750" s="4"/>
      <c r="T1750" s="4"/>
      <c r="U1750" s="4"/>
    </row>
    <row r="1751">
      <c r="A1751" s="4"/>
      <c r="B1751" s="17"/>
      <c r="C1751" s="4"/>
      <c r="D1751" s="4"/>
      <c r="E1751" s="4"/>
      <c r="F1751" s="4"/>
      <c r="G1751" s="17"/>
      <c r="H1751" s="4"/>
      <c r="I1751" s="4"/>
      <c r="J1751" s="4"/>
      <c r="K1751" s="6"/>
      <c r="L1751" s="17"/>
      <c r="M1751" s="4"/>
      <c r="N1751" s="6"/>
      <c r="O1751" s="4"/>
      <c r="P1751" s="4"/>
      <c r="Q1751" s="4"/>
      <c r="R1751" s="4"/>
      <c r="S1751" s="4"/>
      <c r="T1751" s="4"/>
      <c r="U1751" s="4"/>
    </row>
    <row r="1752">
      <c r="A1752" s="4"/>
      <c r="B1752" s="17"/>
      <c r="C1752" s="4"/>
      <c r="D1752" s="4"/>
      <c r="E1752" s="4"/>
      <c r="F1752" s="4"/>
      <c r="G1752" s="17"/>
      <c r="H1752" s="4"/>
      <c r="I1752" s="4"/>
      <c r="J1752" s="4"/>
      <c r="K1752" s="6"/>
      <c r="L1752" s="17"/>
      <c r="M1752" s="4"/>
      <c r="N1752" s="6"/>
      <c r="O1752" s="4"/>
      <c r="P1752" s="4"/>
      <c r="Q1752" s="4"/>
      <c r="R1752" s="4"/>
      <c r="S1752" s="4"/>
      <c r="T1752" s="4"/>
      <c r="U1752" s="4"/>
    </row>
    <row r="1753">
      <c r="A1753" s="4"/>
      <c r="B1753" s="17"/>
      <c r="C1753" s="4"/>
      <c r="D1753" s="4"/>
      <c r="E1753" s="4"/>
      <c r="F1753" s="4"/>
      <c r="G1753" s="17"/>
      <c r="H1753" s="4"/>
      <c r="I1753" s="4"/>
      <c r="J1753" s="4"/>
      <c r="K1753" s="6"/>
      <c r="L1753" s="17"/>
      <c r="M1753" s="4"/>
      <c r="N1753" s="6"/>
      <c r="O1753" s="4"/>
      <c r="P1753" s="4"/>
      <c r="Q1753" s="4"/>
      <c r="R1753" s="4"/>
      <c r="S1753" s="4"/>
      <c r="T1753" s="4"/>
      <c r="U1753" s="4"/>
    </row>
    <row r="1754">
      <c r="A1754" s="4"/>
      <c r="B1754" s="17"/>
      <c r="C1754" s="4"/>
      <c r="D1754" s="4"/>
      <c r="E1754" s="4"/>
      <c r="F1754" s="4"/>
      <c r="G1754" s="17"/>
      <c r="H1754" s="4"/>
      <c r="I1754" s="4"/>
      <c r="J1754" s="4"/>
      <c r="K1754" s="6"/>
      <c r="L1754" s="17"/>
      <c r="M1754" s="4"/>
      <c r="N1754" s="6"/>
      <c r="O1754" s="4"/>
      <c r="P1754" s="4"/>
      <c r="Q1754" s="4"/>
      <c r="R1754" s="4"/>
      <c r="S1754" s="4"/>
      <c r="T1754" s="4"/>
      <c r="U1754" s="4"/>
    </row>
    <row r="1755">
      <c r="A1755" s="4"/>
      <c r="B1755" s="17"/>
      <c r="C1755" s="4"/>
      <c r="D1755" s="4"/>
      <c r="E1755" s="4"/>
      <c r="F1755" s="4"/>
      <c r="G1755" s="17"/>
      <c r="H1755" s="4"/>
      <c r="I1755" s="4"/>
      <c r="J1755" s="4"/>
      <c r="K1755" s="6"/>
      <c r="L1755" s="17"/>
      <c r="M1755" s="4"/>
      <c r="N1755" s="6"/>
      <c r="O1755" s="4"/>
      <c r="P1755" s="4"/>
      <c r="Q1755" s="4"/>
      <c r="R1755" s="4"/>
      <c r="S1755" s="4"/>
      <c r="T1755" s="4"/>
      <c r="U1755" s="4"/>
    </row>
    <row r="1756">
      <c r="A1756" s="4"/>
      <c r="B1756" s="17"/>
      <c r="C1756" s="4"/>
      <c r="D1756" s="4"/>
      <c r="E1756" s="4"/>
      <c r="F1756" s="4"/>
      <c r="G1756" s="17"/>
      <c r="H1756" s="4"/>
      <c r="I1756" s="4"/>
      <c r="J1756" s="4"/>
      <c r="K1756" s="6"/>
      <c r="L1756" s="17"/>
      <c r="M1756" s="4"/>
      <c r="N1756" s="6"/>
      <c r="O1756" s="4"/>
      <c r="P1756" s="4"/>
      <c r="Q1756" s="4"/>
      <c r="R1756" s="4"/>
      <c r="S1756" s="4"/>
      <c r="T1756" s="4"/>
      <c r="U1756" s="4"/>
    </row>
    <row r="1757">
      <c r="A1757" s="4"/>
      <c r="B1757" s="17"/>
      <c r="C1757" s="4"/>
      <c r="D1757" s="4"/>
      <c r="E1757" s="4"/>
      <c r="F1757" s="4"/>
      <c r="G1757" s="17"/>
      <c r="H1757" s="4"/>
      <c r="I1757" s="4"/>
      <c r="J1757" s="4"/>
      <c r="K1757" s="6"/>
      <c r="L1757" s="17"/>
      <c r="M1757" s="4"/>
      <c r="N1757" s="6"/>
      <c r="O1757" s="4"/>
      <c r="P1757" s="4"/>
      <c r="Q1757" s="4"/>
      <c r="R1757" s="4"/>
      <c r="S1757" s="4"/>
      <c r="T1757" s="4"/>
      <c r="U1757" s="4"/>
    </row>
    <row r="1758">
      <c r="A1758" s="4"/>
      <c r="B1758" s="17"/>
      <c r="C1758" s="4"/>
      <c r="D1758" s="4"/>
      <c r="E1758" s="4"/>
      <c r="F1758" s="4"/>
      <c r="G1758" s="17"/>
      <c r="H1758" s="4"/>
      <c r="I1758" s="4"/>
      <c r="J1758" s="4"/>
      <c r="K1758" s="6"/>
      <c r="L1758" s="17"/>
      <c r="M1758" s="4"/>
      <c r="N1758" s="6"/>
      <c r="O1758" s="4"/>
      <c r="P1758" s="4"/>
      <c r="Q1758" s="4"/>
      <c r="R1758" s="4"/>
      <c r="S1758" s="4"/>
      <c r="T1758" s="4"/>
      <c r="U1758" s="4"/>
    </row>
    <row r="1759">
      <c r="A1759" s="4"/>
      <c r="B1759" s="17"/>
      <c r="C1759" s="4"/>
      <c r="D1759" s="4"/>
      <c r="E1759" s="4"/>
      <c r="F1759" s="4"/>
      <c r="G1759" s="17"/>
      <c r="H1759" s="4"/>
      <c r="I1759" s="4"/>
      <c r="J1759" s="4"/>
      <c r="K1759" s="6"/>
      <c r="L1759" s="17"/>
      <c r="M1759" s="4"/>
      <c r="N1759" s="6"/>
      <c r="O1759" s="4"/>
      <c r="P1759" s="4"/>
      <c r="Q1759" s="4"/>
      <c r="R1759" s="4"/>
      <c r="S1759" s="4"/>
      <c r="T1759" s="4"/>
      <c r="U1759" s="4"/>
    </row>
    <row r="1760">
      <c r="A1760" s="4"/>
      <c r="B1760" s="17"/>
      <c r="C1760" s="4"/>
      <c r="D1760" s="4"/>
      <c r="E1760" s="4"/>
      <c r="F1760" s="4"/>
      <c r="G1760" s="17"/>
      <c r="H1760" s="4"/>
      <c r="I1760" s="4"/>
      <c r="J1760" s="4"/>
      <c r="K1760" s="6"/>
      <c r="L1760" s="17"/>
      <c r="M1760" s="4"/>
      <c r="N1760" s="6"/>
      <c r="O1760" s="4"/>
      <c r="P1760" s="4"/>
      <c r="Q1760" s="4"/>
      <c r="R1760" s="4"/>
      <c r="S1760" s="4"/>
      <c r="T1760" s="4"/>
      <c r="U1760" s="4"/>
    </row>
    <row r="1761">
      <c r="A1761" s="4"/>
      <c r="B1761" s="17"/>
      <c r="C1761" s="4"/>
      <c r="D1761" s="4"/>
      <c r="E1761" s="4"/>
      <c r="F1761" s="4"/>
      <c r="G1761" s="17"/>
      <c r="H1761" s="4"/>
      <c r="I1761" s="4"/>
      <c r="J1761" s="4"/>
      <c r="K1761" s="6"/>
      <c r="L1761" s="17"/>
      <c r="M1761" s="4"/>
      <c r="N1761" s="6"/>
      <c r="O1761" s="4"/>
      <c r="P1761" s="4"/>
      <c r="Q1761" s="4"/>
      <c r="R1761" s="4"/>
      <c r="S1761" s="4"/>
      <c r="T1761" s="4"/>
      <c r="U1761" s="4"/>
    </row>
    <row r="1762">
      <c r="A1762" s="4"/>
      <c r="B1762" s="17"/>
      <c r="C1762" s="4"/>
      <c r="D1762" s="4"/>
      <c r="E1762" s="4"/>
      <c r="F1762" s="4"/>
      <c r="G1762" s="17"/>
      <c r="H1762" s="4"/>
      <c r="I1762" s="4"/>
      <c r="J1762" s="4"/>
      <c r="K1762" s="6"/>
      <c r="L1762" s="17"/>
      <c r="M1762" s="4"/>
      <c r="N1762" s="6"/>
      <c r="O1762" s="4"/>
      <c r="P1762" s="4"/>
      <c r="Q1762" s="4"/>
      <c r="R1762" s="4"/>
      <c r="S1762" s="4"/>
      <c r="T1762" s="4"/>
      <c r="U1762" s="4"/>
    </row>
    <row r="1763">
      <c r="A1763" s="4"/>
      <c r="B1763" s="17"/>
      <c r="C1763" s="4"/>
      <c r="D1763" s="4"/>
      <c r="E1763" s="4"/>
      <c r="F1763" s="4"/>
      <c r="G1763" s="17"/>
      <c r="H1763" s="4"/>
      <c r="I1763" s="4"/>
      <c r="J1763" s="4"/>
      <c r="K1763" s="6"/>
      <c r="L1763" s="17"/>
      <c r="M1763" s="4"/>
      <c r="N1763" s="6"/>
      <c r="O1763" s="4"/>
      <c r="P1763" s="4"/>
      <c r="Q1763" s="4"/>
      <c r="R1763" s="4"/>
      <c r="S1763" s="4"/>
      <c r="T1763" s="4"/>
      <c r="U1763" s="4"/>
    </row>
    <row r="1764">
      <c r="A1764" s="4"/>
      <c r="B1764" s="17"/>
      <c r="C1764" s="4"/>
      <c r="D1764" s="4"/>
      <c r="E1764" s="4"/>
      <c r="F1764" s="4"/>
      <c r="G1764" s="17"/>
      <c r="H1764" s="4"/>
      <c r="I1764" s="4"/>
      <c r="J1764" s="4"/>
      <c r="K1764" s="6"/>
      <c r="L1764" s="17"/>
      <c r="M1764" s="4"/>
      <c r="N1764" s="6"/>
      <c r="O1764" s="4"/>
      <c r="P1764" s="4"/>
      <c r="Q1764" s="4"/>
      <c r="R1764" s="4"/>
      <c r="S1764" s="4"/>
      <c r="T1764" s="4"/>
      <c r="U1764" s="4"/>
    </row>
    <row r="1765">
      <c r="A1765" s="4"/>
      <c r="B1765" s="17"/>
      <c r="C1765" s="4"/>
      <c r="D1765" s="4"/>
      <c r="E1765" s="4"/>
      <c r="F1765" s="4"/>
      <c r="G1765" s="17"/>
      <c r="H1765" s="4"/>
      <c r="I1765" s="4"/>
      <c r="J1765" s="4"/>
      <c r="K1765" s="6"/>
      <c r="L1765" s="17"/>
      <c r="M1765" s="4"/>
      <c r="N1765" s="6"/>
      <c r="O1765" s="4"/>
      <c r="P1765" s="4"/>
      <c r="Q1765" s="4"/>
      <c r="R1765" s="4"/>
      <c r="S1765" s="4"/>
      <c r="T1765" s="4"/>
      <c r="U1765" s="4"/>
    </row>
    <row r="1766">
      <c r="A1766" s="4"/>
      <c r="B1766" s="17"/>
      <c r="C1766" s="4"/>
      <c r="D1766" s="4"/>
      <c r="E1766" s="4"/>
      <c r="F1766" s="4"/>
      <c r="G1766" s="17"/>
      <c r="H1766" s="4"/>
      <c r="I1766" s="4"/>
      <c r="J1766" s="4"/>
      <c r="K1766" s="6"/>
      <c r="L1766" s="17"/>
      <c r="M1766" s="4"/>
      <c r="N1766" s="6"/>
      <c r="O1766" s="4"/>
      <c r="P1766" s="4"/>
      <c r="Q1766" s="4"/>
      <c r="R1766" s="4"/>
      <c r="S1766" s="4"/>
      <c r="T1766" s="4"/>
      <c r="U1766" s="4"/>
    </row>
    <row r="1767">
      <c r="A1767" s="4"/>
      <c r="B1767" s="17"/>
      <c r="C1767" s="4"/>
      <c r="D1767" s="4"/>
      <c r="E1767" s="4"/>
      <c r="F1767" s="4"/>
      <c r="G1767" s="17"/>
      <c r="H1767" s="4"/>
      <c r="I1767" s="4"/>
      <c r="J1767" s="4"/>
      <c r="K1767" s="6"/>
      <c r="L1767" s="17"/>
      <c r="M1767" s="4"/>
      <c r="N1767" s="6"/>
      <c r="O1767" s="4"/>
      <c r="P1767" s="4"/>
      <c r="Q1767" s="4"/>
      <c r="R1767" s="4"/>
      <c r="S1767" s="4"/>
      <c r="T1767" s="4"/>
      <c r="U1767" s="4"/>
    </row>
    <row r="1768">
      <c r="A1768" s="4"/>
      <c r="B1768" s="17"/>
      <c r="C1768" s="4"/>
      <c r="D1768" s="4"/>
      <c r="E1768" s="4"/>
      <c r="F1768" s="4"/>
      <c r="G1768" s="17"/>
      <c r="H1768" s="4"/>
      <c r="I1768" s="4"/>
      <c r="J1768" s="4"/>
      <c r="K1768" s="6"/>
      <c r="L1768" s="17"/>
      <c r="M1768" s="4"/>
      <c r="N1768" s="6"/>
      <c r="O1768" s="4"/>
      <c r="P1768" s="4"/>
      <c r="Q1768" s="4"/>
      <c r="R1768" s="4"/>
      <c r="S1768" s="4"/>
      <c r="T1768" s="4"/>
      <c r="U1768" s="4"/>
    </row>
    <row r="1769">
      <c r="A1769" s="4"/>
      <c r="B1769" s="17"/>
      <c r="C1769" s="4"/>
      <c r="D1769" s="4"/>
      <c r="E1769" s="4"/>
      <c r="F1769" s="4"/>
      <c r="G1769" s="17"/>
      <c r="H1769" s="4"/>
      <c r="I1769" s="4"/>
      <c r="J1769" s="4"/>
      <c r="K1769" s="6"/>
      <c r="L1769" s="17"/>
      <c r="M1769" s="4"/>
      <c r="N1769" s="6"/>
      <c r="O1769" s="4"/>
      <c r="P1769" s="4"/>
      <c r="Q1769" s="4"/>
      <c r="R1769" s="4"/>
      <c r="S1769" s="4"/>
      <c r="T1769" s="4"/>
      <c r="U1769" s="4"/>
    </row>
    <row r="1770">
      <c r="A1770" s="4"/>
      <c r="B1770" s="17"/>
      <c r="C1770" s="4"/>
      <c r="D1770" s="4"/>
      <c r="E1770" s="4"/>
      <c r="F1770" s="4"/>
      <c r="G1770" s="17"/>
      <c r="H1770" s="4"/>
      <c r="I1770" s="4"/>
      <c r="J1770" s="4"/>
      <c r="K1770" s="6"/>
      <c r="L1770" s="17"/>
      <c r="M1770" s="4"/>
      <c r="N1770" s="6"/>
      <c r="O1770" s="4"/>
      <c r="P1770" s="4"/>
      <c r="Q1770" s="4"/>
      <c r="R1770" s="4"/>
      <c r="S1770" s="4"/>
      <c r="T1770" s="4"/>
      <c r="U1770" s="4"/>
    </row>
    <row r="1771">
      <c r="A1771" s="4"/>
      <c r="B1771" s="17"/>
      <c r="C1771" s="4"/>
      <c r="D1771" s="4"/>
      <c r="E1771" s="4"/>
      <c r="F1771" s="4"/>
      <c r="G1771" s="17"/>
      <c r="H1771" s="4"/>
      <c r="I1771" s="4"/>
      <c r="J1771" s="4"/>
      <c r="K1771" s="6"/>
      <c r="L1771" s="17"/>
      <c r="M1771" s="4"/>
      <c r="N1771" s="6"/>
      <c r="O1771" s="4"/>
      <c r="P1771" s="4"/>
      <c r="Q1771" s="4"/>
      <c r="R1771" s="4"/>
      <c r="S1771" s="4"/>
      <c r="T1771" s="4"/>
      <c r="U1771" s="4"/>
    </row>
    <row r="1772">
      <c r="A1772" s="4"/>
      <c r="B1772" s="17"/>
      <c r="C1772" s="4"/>
      <c r="D1772" s="4"/>
      <c r="E1772" s="4"/>
      <c r="F1772" s="4"/>
      <c r="G1772" s="17"/>
      <c r="H1772" s="4"/>
      <c r="I1772" s="4"/>
      <c r="J1772" s="4"/>
      <c r="K1772" s="6"/>
      <c r="L1772" s="17"/>
      <c r="M1772" s="4"/>
      <c r="N1772" s="6"/>
      <c r="O1772" s="4"/>
      <c r="P1772" s="4"/>
      <c r="Q1772" s="4"/>
      <c r="R1772" s="4"/>
      <c r="S1772" s="4"/>
      <c r="T1772" s="4"/>
      <c r="U1772" s="4"/>
    </row>
    <row r="1773">
      <c r="A1773" s="4"/>
      <c r="B1773" s="17"/>
      <c r="C1773" s="4"/>
      <c r="D1773" s="4"/>
      <c r="E1773" s="4"/>
      <c r="F1773" s="4"/>
      <c r="G1773" s="17"/>
      <c r="H1773" s="4"/>
      <c r="I1773" s="4"/>
      <c r="J1773" s="4"/>
      <c r="K1773" s="6"/>
      <c r="L1773" s="17"/>
      <c r="M1773" s="4"/>
      <c r="N1773" s="6"/>
      <c r="O1773" s="4"/>
      <c r="P1773" s="4"/>
      <c r="Q1773" s="4"/>
      <c r="R1773" s="4"/>
      <c r="S1773" s="4"/>
      <c r="T1773" s="4"/>
      <c r="U1773" s="4"/>
    </row>
    <row r="1774">
      <c r="A1774" s="4"/>
      <c r="B1774" s="17"/>
      <c r="C1774" s="4"/>
      <c r="D1774" s="4"/>
      <c r="E1774" s="4"/>
      <c r="F1774" s="4"/>
      <c r="G1774" s="17"/>
      <c r="H1774" s="4"/>
      <c r="I1774" s="4"/>
      <c r="J1774" s="4"/>
      <c r="K1774" s="6"/>
      <c r="L1774" s="17"/>
      <c r="M1774" s="4"/>
      <c r="N1774" s="6"/>
      <c r="O1774" s="4"/>
      <c r="P1774" s="4"/>
      <c r="Q1774" s="4"/>
      <c r="R1774" s="4"/>
      <c r="S1774" s="4"/>
      <c r="T1774" s="4"/>
      <c r="U1774" s="4"/>
    </row>
    <row r="1775">
      <c r="A1775" s="4"/>
      <c r="B1775" s="17"/>
      <c r="C1775" s="4"/>
      <c r="D1775" s="4"/>
      <c r="E1775" s="4"/>
      <c r="F1775" s="4"/>
      <c r="G1775" s="17"/>
      <c r="H1775" s="4"/>
      <c r="I1775" s="4"/>
      <c r="J1775" s="4"/>
      <c r="K1775" s="6"/>
      <c r="L1775" s="17"/>
      <c r="M1775" s="4"/>
      <c r="N1775" s="6"/>
      <c r="O1775" s="4"/>
      <c r="P1775" s="4"/>
      <c r="Q1775" s="4"/>
      <c r="R1775" s="4"/>
      <c r="S1775" s="4"/>
      <c r="T1775" s="4"/>
      <c r="U1775" s="4"/>
    </row>
    <row r="1776">
      <c r="A1776" s="4"/>
      <c r="B1776" s="17"/>
      <c r="C1776" s="4"/>
      <c r="D1776" s="4"/>
      <c r="E1776" s="4"/>
      <c r="F1776" s="4"/>
      <c r="G1776" s="17"/>
      <c r="H1776" s="4"/>
      <c r="I1776" s="4"/>
      <c r="J1776" s="4"/>
      <c r="K1776" s="6"/>
      <c r="L1776" s="17"/>
      <c r="M1776" s="4"/>
      <c r="N1776" s="6"/>
      <c r="O1776" s="4"/>
      <c r="P1776" s="4"/>
      <c r="Q1776" s="4"/>
      <c r="R1776" s="4"/>
      <c r="S1776" s="4"/>
      <c r="T1776" s="4"/>
      <c r="U1776" s="4"/>
    </row>
    <row r="1777">
      <c r="A1777" s="4"/>
      <c r="B1777" s="17"/>
      <c r="C1777" s="4"/>
      <c r="D1777" s="4"/>
      <c r="E1777" s="4"/>
      <c r="F1777" s="4"/>
      <c r="G1777" s="17"/>
      <c r="H1777" s="4"/>
      <c r="I1777" s="4"/>
      <c r="J1777" s="4"/>
      <c r="K1777" s="6"/>
      <c r="L1777" s="17"/>
      <c r="M1777" s="4"/>
      <c r="N1777" s="6"/>
      <c r="O1777" s="4"/>
      <c r="P1777" s="4"/>
      <c r="Q1777" s="4"/>
      <c r="R1777" s="4"/>
      <c r="S1777" s="4"/>
      <c r="T1777" s="4"/>
      <c r="U1777" s="4"/>
    </row>
    <row r="1778">
      <c r="A1778" s="4"/>
      <c r="B1778" s="17"/>
      <c r="C1778" s="4"/>
      <c r="D1778" s="4"/>
      <c r="E1778" s="4"/>
      <c r="F1778" s="4"/>
      <c r="G1778" s="17"/>
      <c r="H1778" s="4"/>
      <c r="I1778" s="4"/>
      <c r="J1778" s="4"/>
      <c r="K1778" s="6"/>
      <c r="L1778" s="17"/>
      <c r="M1778" s="4"/>
      <c r="N1778" s="6"/>
      <c r="O1778" s="4"/>
      <c r="P1778" s="4"/>
      <c r="Q1778" s="4"/>
      <c r="R1778" s="4"/>
      <c r="S1778" s="4"/>
      <c r="T1778" s="4"/>
      <c r="U1778" s="4"/>
    </row>
    <row r="1779">
      <c r="A1779" s="4"/>
      <c r="B1779" s="17"/>
      <c r="C1779" s="4"/>
      <c r="D1779" s="4"/>
      <c r="E1779" s="4"/>
      <c r="F1779" s="4"/>
      <c r="G1779" s="17"/>
      <c r="H1779" s="4"/>
      <c r="I1779" s="4"/>
      <c r="J1779" s="4"/>
      <c r="K1779" s="6"/>
      <c r="L1779" s="17"/>
      <c r="M1779" s="4"/>
      <c r="N1779" s="6"/>
      <c r="O1779" s="4"/>
      <c r="P1779" s="4"/>
      <c r="Q1779" s="4"/>
      <c r="R1779" s="4"/>
      <c r="S1779" s="4"/>
      <c r="T1779" s="4"/>
      <c r="U1779" s="4"/>
    </row>
    <row r="1780">
      <c r="A1780" s="4"/>
      <c r="B1780" s="17"/>
      <c r="C1780" s="4"/>
      <c r="D1780" s="4"/>
      <c r="E1780" s="4"/>
      <c r="F1780" s="4"/>
      <c r="G1780" s="17"/>
      <c r="H1780" s="4"/>
      <c r="I1780" s="4"/>
      <c r="J1780" s="4"/>
      <c r="K1780" s="6"/>
      <c r="L1780" s="17"/>
      <c r="M1780" s="4"/>
      <c r="N1780" s="6"/>
      <c r="O1780" s="4"/>
      <c r="P1780" s="4"/>
      <c r="Q1780" s="4"/>
      <c r="R1780" s="4"/>
      <c r="S1780" s="4"/>
      <c r="T1780" s="4"/>
      <c r="U1780" s="4"/>
    </row>
    <row r="1781">
      <c r="A1781" s="4"/>
      <c r="B1781" s="17"/>
      <c r="C1781" s="4"/>
      <c r="D1781" s="4"/>
      <c r="E1781" s="4"/>
      <c r="F1781" s="4"/>
      <c r="G1781" s="17"/>
      <c r="H1781" s="4"/>
      <c r="I1781" s="4"/>
      <c r="J1781" s="4"/>
      <c r="K1781" s="6"/>
      <c r="L1781" s="17"/>
      <c r="M1781" s="4"/>
      <c r="N1781" s="6"/>
      <c r="O1781" s="4"/>
      <c r="P1781" s="4"/>
      <c r="Q1781" s="4"/>
      <c r="R1781" s="4"/>
      <c r="S1781" s="4"/>
      <c r="T1781" s="4"/>
      <c r="U1781" s="4"/>
    </row>
    <row r="1782">
      <c r="A1782" s="4"/>
      <c r="B1782" s="17"/>
      <c r="C1782" s="4"/>
      <c r="D1782" s="4"/>
      <c r="E1782" s="4"/>
      <c r="F1782" s="4"/>
      <c r="G1782" s="17"/>
      <c r="H1782" s="4"/>
      <c r="I1782" s="4"/>
      <c r="J1782" s="4"/>
      <c r="K1782" s="6"/>
      <c r="L1782" s="17"/>
      <c r="M1782" s="4"/>
      <c r="N1782" s="6"/>
      <c r="O1782" s="4"/>
      <c r="P1782" s="4"/>
      <c r="Q1782" s="4"/>
      <c r="R1782" s="4"/>
      <c r="S1782" s="4"/>
      <c r="T1782" s="4"/>
      <c r="U1782" s="4"/>
    </row>
    <row r="1783">
      <c r="A1783" s="4"/>
      <c r="B1783" s="17"/>
      <c r="C1783" s="4"/>
      <c r="D1783" s="4"/>
      <c r="E1783" s="4"/>
      <c r="F1783" s="4"/>
      <c r="G1783" s="17"/>
      <c r="H1783" s="4"/>
      <c r="I1783" s="4"/>
      <c r="J1783" s="4"/>
      <c r="K1783" s="6"/>
      <c r="L1783" s="17"/>
      <c r="M1783" s="4"/>
      <c r="N1783" s="6"/>
      <c r="O1783" s="4"/>
      <c r="P1783" s="4"/>
      <c r="Q1783" s="4"/>
      <c r="R1783" s="4"/>
      <c r="S1783" s="4"/>
      <c r="T1783" s="4"/>
      <c r="U1783" s="4"/>
    </row>
    <row r="1784">
      <c r="A1784" s="4"/>
      <c r="B1784" s="17"/>
      <c r="C1784" s="4"/>
      <c r="D1784" s="4"/>
      <c r="E1784" s="4"/>
      <c r="F1784" s="4"/>
      <c r="G1784" s="17"/>
      <c r="H1784" s="4"/>
      <c r="I1784" s="4"/>
      <c r="J1784" s="4"/>
      <c r="K1784" s="6"/>
      <c r="L1784" s="17"/>
      <c r="M1784" s="4"/>
      <c r="N1784" s="6"/>
      <c r="O1784" s="4"/>
      <c r="P1784" s="4"/>
      <c r="Q1784" s="4"/>
      <c r="R1784" s="4"/>
      <c r="S1784" s="4"/>
      <c r="T1784" s="4"/>
      <c r="U1784" s="4"/>
    </row>
    <row r="1785">
      <c r="A1785" s="4"/>
      <c r="B1785" s="17"/>
      <c r="C1785" s="4"/>
      <c r="D1785" s="4"/>
      <c r="E1785" s="4"/>
      <c r="F1785" s="4"/>
      <c r="G1785" s="17"/>
      <c r="H1785" s="4"/>
      <c r="I1785" s="4"/>
      <c r="J1785" s="4"/>
      <c r="K1785" s="6"/>
      <c r="L1785" s="17"/>
      <c r="M1785" s="4"/>
      <c r="N1785" s="6"/>
      <c r="O1785" s="4"/>
      <c r="P1785" s="4"/>
      <c r="Q1785" s="4"/>
      <c r="R1785" s="4"/>
      <c r="S1785" s="4"/>
      <c r="T1785" s="4"/>
      <c r="U1785" s="4"/>
    </row>
    <row r="1786">
      <c r="A1786" s="4"/>
      <c r="B1786" s="17"/>
      <c r="C1786" s="4"/>
      <c r="D1786" s="4"/>
      <c r="E1786" s="4"/>
      <c r="F1786" s="4"/>
      <c r="G1786" s="17"/>
      <c r="H1786" s="4"/>
      <c r="I1786" s="4"/>
      <c r="J1786" s="4"/>
      <c r="K1786" s="6"/>
      <c r="L1786" s="17"/>
      <c r="M1786" s="4"/>
      <c r="N1786" s="6"/>
      <c r="O1786" s="4"/>
      <c r="P1786" s="4"/>
      <c r="Q1786" s="4"/>
      <c r="R1786" s="4"/>
      <c r="S1786" s="4"/>
      <c r="T1786" s="4"/>
      <c r="U1786" s="4"/>
    </row>
    <row r="1787">
      <c r="A1787" s="4"/>
      <c r="B1787" s="17"/>
      <c r="C1787" s="4"/>
      <c r="D1787" s="4"/>
      <c r="E1787" s="4"/>
      <c r="F1787" s="4"/>
      <c r="G1787" s="17"/>
      <c r="H1787" s="4"/>
      <c r="I1787" s="4"/>
      <c r="J1787" s="4"/>
      <c r="K1787" s="6"/>
      <c r="L1787" s="17"/>
      <c r="M1787" s="4"/>
      <c r="N1787" s="6"/>
      <c r="O1787" s="4"/>
      <c r="P1787" s="4"/>
      <c r="Q1787" s="4"/>
      <c r="R1787" s="4"/>
      <c r="S1787" s="4"/>
      <c r="T1787" s="4"/>
      <c r="U1787" s="4"/>
    </row>
    <row r="1788">
      <c r="A1788" s="4"/>
      <c r="B1788" s="17"/>
      <c r="C1788" s="4"/>
      <c r="D1788" s="4"/>
      <c r="E1788" s="4"/>
      <c r="F1788" s="4"/>
      <c r="G1788" s="17"/>
      <c r="H1788" s="4"/>
      <c r="I1788" s="4"/>
      <c r="J1788" s="4"/>
      <c r="K1788" s="6"/>
      <c r="L1788" s="17"/>
      <c r="M1788" s="4"/>
      <c r="N1788" s="6"/>
      <c r="O1788" s="4"/>
      <c r="P1788" s="4"/>
      <c r="Q1788" s="4"/>
      <c r="R1788" s="4"/>
      <c r="S1788" s="4"/>
      <c r="T1788" s="4"/>
      <c r="U1788" s="4"/>
    </row>
    <row r="1789">
      <c r="A1789" s="4"/>
      <c r="B1789" s="17"/>
      <c r="C1789" s="4"/>
      <c r="D1789" s="4"/>
      <c r="E1789" s="4"/>
      <c r="F1789" s="4"/>
      <c r="G1789" s="17"/>
      <c r="H1789" s="4"/>
      <c r="I1789" s="4"/>
      <c r="J1789" s="4"/>
      <c r="K1789" s="6"/>
      <c r="L1789" s="17"/>
      <c r="M1789" s="4"/>
      <c r="N1789" s="6"/>
      <c r="O1789" s="4"/>
      <c r="P1789" s="4"/>
      <c r="Q1789" s="4"/>
      <c r="R1789" s="4"/>
      <c r="S1789" s="4"/>
      <c r="T1789" s="4"/>
      <c r="U1789" s="4"/>
    </row>
    <row r="1790">
      <c r="A1790" s="4"/>
      <c r="B1790" s="17"/>
      <c r="C1790" s="4"/>
      <c r="D1790" s="4"/>
      <c r="E1790" s="4"/>
      <c r="F1790" s="4"/>
      <c r="G1790" s="17"/>
      <c r="H1790" s="4"/>
      <c r="I1790" s="4"/>
      <c r="J1790" s="4"/>
      <c r="K1790" s="6"/>
      <c r="L1790" s="17"/>
      <c r="M1790" s="4"/>
      <c r="N1790" s="6"/>
      <c r="O1790" s="4"/>
      <c r="P1790" s="4"/>
      <c r="Q1790" s="4"/>
      <c r="R1790" s="4"/>
      <c r="S1790" s="4"/>
      <c r="T1790" s="4"/>
      <c r="U1790" s="4"/>
    </row>
    <row r="1791">
      <c r="A1791" s="4"/>
      <c r="B1791" s="17"/>
      <c r="C1791" s="4"/>
      <c r="D1791" s="4"/>
      <c r="E1791" s="4"/>
      <c r="F1791" s="4"/>
      <c r="G1791" s="17"/>
      <c r="H1791" s="4"/>
      <c r="I1791" s="4"/>
      <c r="J1791" s="4"/>
      <c r="K1791" s="6"/>
      <c r="L1791" s="17"/>
      <c r="M1791" s="4"/>
      <c r="N1791" s="6"/>
      <c r="O1791" s="4"/>
      <c r="P1791" s="4"/>
      <c r="Q1791" s="4"/>
      <c r="R1791" s="4"/>
      <c r="S1791" s="4"/>
      <c r="T1791" s="4"/>
      <c r="U1791" s="4"/>
    </row>
    <row r="1792">
      <c r="A1792" s="4"/>
      <c r="B1792" s="17"/>
      <c r="C1792" s="4"/>
      <c r="D1792" s="4"/>
      <c r="E1792" s="4"/>
      <c r="F1792" s="4"/>
      <c r="G1792" s="17"/>
      <c r="H1792" s="4"/>
      <c r="I1792" s="4"/>
      <c r="J1792" s="4"/>
      <c r="K1792" s="6"/>
      <c r="L1792" s="17"/>
      <c r="M1792" s="4"/>
      <c r="N1792" s="6"/>
      <c r="O1792" s="4"/>
      <c r="P1792" s="4"/>
      <c r="Q1792" s="4"/>
      <c r="R1792" s="4"/>
      <c r="S1792" s="4"/>
      <c r="T1792" s="4"/>
      <c r="U1792" s="4"/>
    </row>
    <row r="1793">
      <c r="A1793" s="4"/>
      <c r="B1793" s="17"/>
      <c r="C1793" s="4"/>
      <c r="D1793" s="4"/>
      <c r="E1793" s="4"/>
      <c r="F1793" s="4"/>
      <c r="G1793" s="17"/>
      <c r="H1793" s="4"/>
      <c r="I1793" s="4"/>
      <c r="J1793" s="4"/>
      <c r="K1793" s="6"/>
      <c r="L1793" s="17"/>
      <c r="M1793" s="4"/>
      <c r="N1793" s="6"/>
      <c r="O1793" s="4"/>
      <c r="P1793" s="4"/>
      <c r="Q1793" s="4"/>
      <c r="R1793" s="4"/>
      <c r="S1793" s="4"/>
      <c r="T1793" s="4"/>
      <c r="U1793" s="4"/>
    </row>
    <row r="1794">
      <c r="A1794" s="4"/>
      <c r="B1794" s="17"/>
      <c r="C1794" s="4"/>
      <c r="D1794" s="4"/>
      <c r="E1794" s="4"/>
      <c r="F1794" s="4"/>
      <c r="G1794" s="17"/>
      <c r="H1794" s="4"/>
      <c r="I1794" s="4"/>
      <c r="J1794" s="4"/>
      <c r="K1794" s="6"/>
      <c r="L1794" s="17"/>
      <c r="M1794" s="4"/>
      <c r="N1794" s="6"/>
      <c r="O1794" s="4"/>
      <c r="P1794" s="4"/>
      <c r="Q1794" s="4"/>
      <c r="R1794" s="4"/>
      <c r="S1794" s="4"/>
      <c r="T1794" s="4"/>
      <c r="U1794" s="4"/>
    </row>
    <row r="1795">
      <c r="A1795" s="4"/>
      <c r="B1795" s="17"/>
      <c r="C1795" s="4"/>
      <c r="D1795" s="4"/>
      <c r="E1795" s="4"/>
      <c r="F1795" s="4"/>
      <c r="G1795" s="17"/>
      <c r="H1795" s="4"/>
      <c r="I1795" s="4"/>
      <c r="J1795" s="4"/>
      <c r="K1795" s="6"/>
      <c r="L1795" s="17"/>
      <c r="M1795" s="4"/>
      <c r="N1795" s="6"/>
      <c r="O1795" s="4"/>
      <c r="P1795" s="4"/>
      <c r="Q1795" s="4"/>
      <c r="R1795" s="4"/>
      <c r="S1795" s="4"/>
      <c r="T1795" s="4"/>
      <c r="U1795" s="4"/>
    </row>
    <row r="1796">
      <c r="A1796" s="4"/>
      <c r="B1796" s="17"/>
      <c r="C1796" s="4"/>
      <c r="D1796" s="4"/>
      <c r="E1796" s="4"/>
      <c r="F1796" s="4"/>
      <c r="G1796" s="17"/>
      <c r="H1796" s="4"/>
      <c r="I1796" s="4"/>
      <c r="J1796" s="4"/>
      <c r="K1796" s="6"/>
      <c r="L1796" s="17"/>
      <c r="M1796" s="4"/>
      <c r="N1796" s="6"/>
      <c r="O1796" s="4"/>
      <c r="P1796" s="4"/>
      <c r="Q1796" s="4"/>
      <c r="R1796" s="4"/>
      <c r="S1796" s="4"/>
      <c r="T1796" s="4"/>
      <c r="U1796" s="4"/>
    </row>
    <row r="1797">
      <c r="A1797" s="4"/>
      <c r="B1797" s="17"/>
      <c r="C1797" s="4"/>
      <c r="D1797" s="4"/>
      <c r="E1797" s="4"/>
      <c r="F1797" s="4"/>
      <c r="G1797" s="17"/>
      <c r="H1797" s="4"/>
      <c r="I1797" s="4"/>
      <c r="J1797" s="4"/>
      <c r="K1797" s="6"/>
      <c r="L1797" s="17"/>
      <c r="M1797" s="4"/>
      <c r="N1797" s="6"/>
      <c r="O1797" s="4"/>
      <c r="P1797" s="4"/>
      <c r="Q1797" s="4"/>
      <c r="R1797" s="4"/>
      <c r="S1797" s="4"/>
      <c r="T1797" s="4"/>
      <c r="U1797" s="4"/>
    </row>
    <row r="1798">
      <c r="A1798" s="4"/>
      <c r="B1798" s="17"/>
      <c r="C1798" s="4"/>
      <c r="D1798" s="4"/>
      <c r="E1798" s="4"/>
      <c r="F1798" s="4"/>
      <c r="G1798" s="17"/>
      <c r="H1798" s="4"/>
      <c r="I1798" s="4"/>
      <c r="J1798" s="4"/>
      <c r="K1798" s="6"/>
      <c r="L1798" s="17"/>
      <c r="M1798" s="4"/>
      <c r="N1798" s="6"/>
      <c r="O1798" s="4"/>
      <c r="P1798" s="4"/>
      <c r="Q1798" s="4"/>
      <c r="R1798" s="4"/>
      <c r="S1798" s="4"/>
      <c r="T1798" s="4"/>
      <c r="U1798" s="4"/>
    </row>
    <row r="1799">
      <c r="A1799" s="4"/>
      <c r="B1799" s="17"/>
      <c r="C1799" s="4"/>
      <c r="D1799" s="4"/>
      <c r="E1799" s="4"/>
      <c r="F1799" s="4"/>
      <c r="G1799" s="17"/>
      <c r="H1799" s="4"/>
      <c r="I1799" s="4"/>
      <c r="J1799" s="4"/>
      <c r="K1799" s="6"/>
      <c r="L1799" s="17"/>
      <c r="M1799" s="4"/>
      <c r="N1799" s="6"/>
      <c r="O1799" s="4"/>
      <c r="P1799" s="4"/>
      <c r="Q1799" s="4"/>
      <c r="R1799" s="4"/>
      <c r="S1799" s="4"/>
      <c r="T1799" s="4"/>
      <c r="U1799" s="4"/>
    </row>
    <row r="1800">
      <c r="A1800" s="4"/>
      <c r="B1800" s="17"/>
      <c r="C1800" s="4"/>
      <c r="D1800" s="4"/>
      <c r="E1800" s="4"/>
      <c r="F1800" s="4"/>
      <c r="G1800" s="17"/>
      <c r="H1800" s="4"/>
      <c r="I1800" s="4"/>
      <c r="J1800" s="4"/>
      <c r="K1800" s="6"/>
      <c r="L1800" s="17"/>
      <c r="M1800" s="4"/>
      <c r="N1800" s="6"/>
      <c r="O1800" s="4"/>
      <c r="P1800" s="4"/>
      <c r="Q1800" s="4"/>
      <c r="R1800" s="4"/>
      <c r="S1800" s="4"/>
      <c r="T1800" s="4"/>
      <c r="U1800" s="4"/>
    </row>
    <row r="1801">
      <c r="A1801" s="4"/>
      <c r="B1801" s="17"/>
      <c r="C1801" s="4"/>
      <c r="D1801" s="4"/>
      <c r="E1801" s="4"/>
      <c r="F1801" s="4"/>
      <c r="G1801" s="17"/>
      <c r="H1801" s="4"/>
      <c r="I1801" s="4"/>
      <c r="J1801" s="4"/>
      <c r="K1801" s="6"/>
      <c r="L1801" s="17"/>
      <c r="M1801" s="4"/>
      <c r="N1801" s="6"/>
      <c r="O1801" s="4"/>
      <c r="P1801" s="4"/>
      <c r="Q1801" s="4"/>
      <c r="R1801" s="4"/>
      <c r="S1801" s="4"/>
      <c r="T1801" s="4"/>
      <c r="U1801" s="4"/>
    </row>
    <row r="1802">
      <c r="A1802" s="4"/>
      <c r="B1802" s="17"/>
      <c r="C1802" s="4"/>
      <c r="D1802" s="4"/>
      <c r="E1802" s="4"/>
      <c r="F1802" s="4"/>
      <c r="G1802" s="17"/>
      <c r="H1802" s="4"/>
      <c r="I1802" s="4"/>
      <c r="J1802" s="4"/>
      <c r="K1802" s="6"/>
      <c r="L1802" s="17"/>
      <c r="M1802" s="4"/>
      <c r="N1802" s="6"/>
      <c r="O1802" s="4"/>
      <c r="P1802" s="4"/>
      <c r="Q1802" s="4"/>
      <c r="R1802" s="4"/>
      <c r="S1802" s="4"/>
      <c r="T1802" s="4"/>
      <c r="U1802" s="4"/>
    </row>
    <row r="1803">
      <c r="A1803" s="4"/>
      <c r="B1803" s="17"/>
      <c r="C1803" s="4"/>
      <c r="D1803" s="4"/>
      <c r="E1803" s="4"/>
      <c r="F1803" s="4"/>
      <c r="G1803" s="17"/>
      <c r="H1803" s="4"/>
      <c r="I1803" s="4"/>
      <c r="J1803" s="4"/>
      <c r="K1803" s="6"/>
      <c r="L1803" s="17"/>
      <c r="M1803" s="4"/>
      <c r="N1803" s="6"/>
      <c r="O1803" s="4"/>
      <c r="P1803" s="4"/>
      <c r="Q1803" s="4"/>
      <c r="R1803" s="4"/>
      <c r="S1803" s="4"/>
      <c r="T1803" s="4"/>
      <c r="U1803" s="4"/>
    </row>
    <row r="1804">
      <c r="A1804" s="4"/>
      <c r="B1804" s="17"/>
      <c r="C1804" s="4"/>
      <c r="D1804" s="4"/>
      <c r="E1804" s="4"/>
      <c r="F1804" s="4"/>
      <c r="G1804" s="17"/>
      <c r="H1804" s="4"/>
      <c r="I1804" s="4"/>
      <c r="J1804" s="4"/>
      <c r="K1804" s="6"/>
      <c r="L1804" s="17"/>
      <c r="M1804" s="4"/>
      <c r="N1804" s="6"/>
      <c r="O1804" s="4"/>
      <c r="P1804" s="4"/>
      <c r="Q1804" s="4"/>
      <c r="R1804" s="4"/>
      <c r="S1804" s="4"/>
      <c r="T1804" s="4"/>
      <c r="U1804" s="4"/>
    </row>
    <row r="1805">
      <c r="A1805" s="4"/>
      <c r="B1805" s="17"/>
      <c r="C1805" s="4"/>
      <c r="D1805" s="4"/>
      <c r="E1805" s="4"/>
      <c r="F1805" s="4"/>
      <c r="G1805" s="17"/>
      <c r="H1805" s="4"/>
      <c r="I1805" s="4"/>
      <c r="J1805" s="4"/>
      <c r="K1805" s="6"/>
      <c r="L1805" s="17"/>
      <c r="M1805" s="4"/>
      <c r="N1805" s="6"/>
      <c r="O1805" s="4"/>
      <c r="P1805" s="4"/>
      <c r="Q1805" s="4"/>
      <c r="R1805" s="4"/>
      <c r="S1805" s="4"/>
      <c r="T1805" s="4"/>
      <c r="U1805" s="4"/>
    </row>
    <row r="1806">
      <c r="A1806" s="4"/>
      <c r="B1806" s="17"/>
      <c r="C1806" s="4"/>
      <c r="D1806" s="4"/>
      <c r="E1806" s="4"/>
      <c r="F1806" s="4"/>
      <c r="G1806" s="17"/>
      <c r="H1806" s="4"/>
      <c r="I1806" s="4"/>
      <c r="J1806" s="4"/>
      <c r="K1806" s="6"/>
      <c r="L1806" s="17"/>
      <c r="M1806" s="4"/>
      <c r="N1806" s="6"/>
      <c r="O1806" s="4"/>
      <c r="P1806" s="4"/>
      <c r="Q1806" s="4"/>
      <c r="R1806" s="4"/>
      <c r="S1806" s="4"/>
      <c r="T1806" s="4"/>
      <c r="U1806" s="4"/>
    </row>
    <row r="1807">
      <c r="A1807" s="4"/>
      <c r="B1807" s="17"/>
      <c r="C1807" s="4"/>
      <c r="D1807" s="4"/>
      <c r="E1807" s="4"/>
      <c r="F1807" s="4"/>
      <c r="G1807" s="17"/>
      <c r="H1807" s="4"/>
      <c r="I1807" s="4"/>
      <c r="J1807" s="4"/>
      <c r="K1807" s="6"/>
      <c r="L1807" s="17"/>
      <c r="M1807" s="4"/>
      <c r="N1807" s="6"/>
      <c r="O1807" s="4"/>
      <c r="P1807" s="4"/>
      <c r="Q1807" s="4"/>
      <c r="R1807" s="4"/>
      <c r="S1807" s="4"/>
      <c r="T1807" s="4"/>
      <c r="U1807" s="4"/>
    </row>
    <row r="1808">
      <c r="A1808" s="4"/>
      <c r="B1808" s="17"/>
      <c r="C1808" s="4"/>
      <c r="D1808" s="4"/>
      <c r="E1808" s="4"/>
      <c r="F1808" s="4"/>
      <c r="G1808" s="17"/>
      <c r="H1808" s="4"/>
      <c r="I1808" s="4"/>
      <c r="J1808" s="4"/>
      <c r="K1808" s="6"/>
      <c r="L1808" s="17"/>
      <c r="M1808" s="4"/>
      <c r="N1808" s="6"/>
      <c r="O1808" s="4"/>
      <c r="P1808" s="4"/>
      <c r="Q1808" s="4"/>
      <c r="R1808" s="4"/>
      <c r="S1808" s="4"/>
      <c r="T1808" s="4"/>
      <c r="U1808" s="4"/>
    </row>
    <row r="1809">
      <c r="A1809" s="4"/>
      <c r="B1809" s="17"/>
      <c r="C1809" s="4"/>
      <c r="D1809" s="4"/>
      <c r="E1809" s="4"/>
      <c r="F1809" s="4"/>
      <c r="G1809" s="17"/>
      <c r="H1809" s="4"/>
      <c r="I1809" s="4"/>
      <c r="J1809" s="4"/>
      <c r="K1809" s="6"/>
      <c r="L1809" s="17"/>
      <c r="M1809" s="4"/>
      <c r="N1809" s="6"/>
      <c r="O1809" s="4"/>
      <c r="P1809" s="4"/>
      <c r="Q1809" s="4"/>
      <c r="R1809" s="4"/>
      <c r="S1809" s="4"/>
      <c r="T1809" s="4"/>
      <c r="U1809" s="4"/>
    </row>
    <row r="1810">
      <c r="A1810" s="4"/>
      <c r="B1810" s="17"/>
      <c r="C1810" s="4"/>
      <c r="D1810" s="4"/>
      <c r="E1810" s="4"/>
      <c r="F1810" s="4"/>
      <c r="G1810" s="17"/>
      <c r="H1810" s="4"/>
      <c r="I1810" s="4"/>
      <c r="J1810" s="4"/>
      <c r="K1810" s="6"/>
      <c r="L1810" s="17"/>
      <c r="M1810" s="4"/>
      <c r="N1810" s="6"/>
      <c r="O1810" s="4"/>
      <c r="P1810" s="4"/>
      <c r="Q1810" s="4"/>
      <c r="R1810" s="4"/>
      <c r="S1810" s="4"/>
      <c r="T1810" s="4"/>
      <c r="U1810" s="4"/>
    </row>
    <row r="1811">
      <c r="A1811" s="4"/>
      <c r="B1811" s="17"/>
      <c r="C1811" s="4"/>
      <c r="D1811" s="4"/>
      <c r="E1811" s="4"/>
      <c r="F1811" s="4"/>
      <c r="G1811" s="17"/>
      <c r="H1811" s="4"/>
      <c r="I1811" s="4"/>
      <c r="J1811" s="4"/>
      <c r="K1811" s="6"/>
      <c r="L1811" s="17"/>
      <c r="M1811" s="4"/>
      <c r="N1811" s="6"/>
      <c r="O1811" s="4"/>
      <c r="P1811" s="4"/>
      <c r="Q1811" s="4"/>
      <c r="R1811" s="4"/>
      <c r="S1811" s="4"/>
      <c r="T1811" s="4"/>
      <c r="U1811" s="4"/>
    </row>
    <row r="1812">
      <c r="A1812" s="4"/>
      <c r="B1812" s="17"/>
      <c r="C1812" s="4"/>
      <c r="D1812" s="4"/>
      <c r="E1812" s="4"/>
      <c r="F1812" s="4"/>
      <c r="G1812" s="17"/>
      <c r="H1812" s="4"/>
      <c r="I1812" s="4"/>
      <c r="J1812" s="4"/>
      <c r="K1812" s="6"/>
      <c r="L1812" s="17"/>
      <c r="M1812" s="4"/>
      <c r="N1812" s="6"/>
      <c r="O1812" s="4"/>
      <c r="P1812" s="4"/>
      <c r="Q1812" s="4"/>
      <c r="R1812" s="4"/>
      <c r="S1812" s="4"/>
      <c r="T1812" s="4"/>
      <c r="U1812" s="4"/>
    </row>
    <row r="1813">
      <c r="A1813" s="4"/>
      <c r="B1813" s="17"/>
      <c r="C1813" s="4"/>
      <c r="D1813" s="4"/>
      <c r="E1813" s="4"/>
      <c r="F1813" s="4"/>
      <c r="G1813" s="17"/>
      <c r="H1813" s="4"/>
      <c r="I1813" s="4"/>
      <c r="J1813" s="4"/>
      <c r="K1813" s="6"/>
      <c r="L1813" s="17"/>
      <c r="M1813" s="4"/>
      <c r="N1813" s="6"/>
      <c r="O1813" s="4"/>
      <c r="P1813" s="4"/>
      <c r="Q1813" s="4"/>
      <c r="R1813" s="4"/>
      <c r="S1813" s="4"/>
      <c r="T1813" s="4"/>
      <c r="U1813" s="4"/>
    </row>
    <row r="1814">
      <c r="A1814" s="4"/>
      <c r="B1814" s="17"/>
      <c r="C1814" s="4"/>
      <c r="D1814" s="4"/>
      <c r="E1814" s="4"/>
      <c r="F1814" s="4"/>
      <c r="G1814" s="17"/>
      <c r="H1814" s="4"/>
      <c r="I1814" s="4"/>
      <c r="J1814" s="4"/>
      <c r="K1814" s="6"/>
      <c r="L1814" s="17"/>
      <c r="M1814" s="4"/>
      <c r="N1814" s="6"/>
      <c r="O1814" s="4"/>
      <c r="P1814" s="4"/>
      <c r="Q1814" s="4"/>
      <c r="R1814" s="4"/>
      <c r="S1814" s="4"/>
      <c r="T1814" s="4"/>
      <c r="U1814" s="4"/>
    </row>
    <row r="1815">
      <c r="A1815" s="4"/>
      <c r="B1815" s="17"/>
      <c r="C1815" s="4"/>
      <c r="D1815" s="4"/>
      <c r="E1815" s="4"/>
      <c r="F1815" s="4"/>
      <c r="G1815" s="17"/>
      <c r="H1815" s="4"/>
      <c r="I1815" s="4"/>
      <c r="J1815" s="4"/>
      <c r="K1815" s="6"/>
      <c r="L1815" s="17"/>
      <c r="M1815" s="4"/>
      <c r="N1815" s="6"/>
      <c r="O1815" s="4"/>
      <c r="P1815" s="4"/>
      <c r="Q1815" s="4"/>
      <c r="R1815" s="4"/>
      <c r="S1815" s="4"/>
      <c r="T1815" s="4"/>
      <c r="U1815" s="4"/>
    </row>
    <row r="1816">
      <c r="A1816" s="4"/>
      <c r="B1816" s="17"/>
      <c r="C1816" s="4"/>
      <c r="D1816" s="4"/>
      <c r="E1816" s="4"/>
      <c r="F1816" s="4"/>
      <c r="G1816" s="17"/>
      <c r="H1816" s="4"/>
      <c r="I1816" s="4"/>
      <c r="J1816" s="4"/>
      <c r="K1816" s="6"/>
      <c r="L1816" s="17"/>
      <c r="M1816" s="4"/>
      <c r="N1816" s="6"/>
      <c r="O1816" s="4"/>
      <c r="P1816" s="4"/>
      <c r="Q1816" s="4"/>
      <c r="R1816" s="4"/>
      <c r="S1816" s="4"/>
      <c r="T1816" s="4"/>
      <c r="U1816" s="4"/>
    </row>
    <row r="1817">
      <c r="A1817" s="4"/>
      <c r="B1817" s="17"/>
      <c r="C1817" s="4"/>
      <c r="D1817" s="4"/>
      <c r="E1817" s="4"/>
      <c r="F1817" s="4"/>
      <c r="G1817" s="17"/>
      <c r="H1817" s="4"/>
      <c r="I1817" s="4"/>
      <c r="J1817" s="4"/>
      <c r="K1817" s="6"/>
      <c r="L1817" s="17"/>
      <c r="M1817" s="4"/>
      <c r="N1817" s="6"/>
      <c r="O1817" s="4"/>
      <c r="P1817" s="4"/>
      <c r="Q1817" s="4"/>
      <c r="R1817" s="4"/>
      <c r="S1817" s="4"/>
      <c r="T1817" s="4"/>
      <c r="U1817" s="4"/>
    </row>
    <row r="1818">
      <c r="A1818" s="4"/>
      <c r="B1818" s="17"/>
      <c r="C1818" s="4"/>
      <c r="D1818" s="4"/>
      <c r="E1818" s="4"/>
      <c r="F1818" s="4"/>
      <c r="G1818" s="17"/>
      <c r="H1818" s="4"/>
      <c r="I1818" s="4"/>
      <c r="J1818" s="4"/>
      <c r="K1818" s="6"/>
      <c r="L1818" s="17"/>
      <c r="M1818" s="4"/>
      <c r="N1818" s="6"/>
      <c r="O1818" s="4"/>
      <c r="P1818" s="4"/>
      <c r="Q1818" s="4"/>
      <c r="R1818" s="4"/>
      <c r="S1818" s="4"/>
      <c r="T1818" s="4"/>
      <c r="U1818" s="4"/>
    </row>
    <row r="1819">
      <c r="A1819" s="4"/>
      <c r="B1819" s="17"/>
      <c r="C1819" s="4"/>
      <c r="D1819" s="4"/>
      <c r="E1819" s="4"/>
      <c r="F1819" s="4"/>
      <c r="G1819" s="17"/>
      <c r="H1819" s="4"/>
      <c r="I1819" s="4"/>
      <c r="J1819" s="4"/>
      <c r="K1819" s="6"/>
      <c r="L1819" s="17"/>
      <c r="M1819" s="4"/>
      <c r="N1819" s="6"/>
      <c r="O1819" s="4"/>
      <c r="P1819" s="4"/>
      <c r="Q1819" s="4"/>
      <c r="R1819" s="4"/>
      <c r="S1819" s="4"/>
      <c r="T1819" s="4"/>
      <c r="U1819" s="4"/>
    </row>
    <row r="1820">
      <c r="A1820" s="4"/>
      <c r="B1820" s="17"/>
      <c r="C1820" s="4"/>
      <c r="D1820" s="4"/>
      <c r="E1820" s="4"/>
      <c r="F1820" s="4"/>
      <c r="G1820" s="17"/>
      <c r="H1820" s="4"/>
      <c r="I1820" s="4"/>
      <c r="J1820" s="4"/>
      <c r="K1820" s="6"/>
      <c r="L1820" s="17"/>
      <c r="M1820" s="4"/>
      <c r="N1820" s="6"/>
      <c r="O1820" s="4"/>
      <c r="P1820" s="4"/>
      <c r="Q1820" s="4"/>
      <c r="R1820" s="4"/>
      <c r="S1820" s="4"/>
      <c r="T1820" s="4"/>
      <c r="U1820" s="4"/>
    </row>
    <row r="1821">
      <c r="A1821" s="4"/>
      <c r="B1821" s="17"/>
      <c r="C1821" s="4"/>
      <c r="D1821" s="4"/>
      <c r="E1821" s="4"/>
      <c r="F1821" s="4"/>
      <c r="G1821" s="17"/>
      <c r="H1821" s="4"/>
      <c r="I1821" s="4"/>
      <c r="J1821" s="4"/>
      <c r="K1821" s="6"/>
      <c r="L1821" s="17"/>
      <c r="M1821" s="4"/>
      <c r="N1821" s="6"/>
      <c r="O1821" s="4"/>
      <c r="P1821" s="4"/>
      <c r="Q1821" s="4"/>
      <c r="R1821" s="4"/>
      <c r="S1821" s="4"/>
      <c r="T1821" s="4"/>
      <c r="U1821" s="4"/>
    </row>
    <row r="1822">
      <c r="A1822" s="4"/>
      <c r="B1822" s="17"/>
      <c r="C1822" s="4"/>
      <c r="D1822" s="4"/>
      <c r="E1822" s="4"/>
      <c r="F1822" s="4"/>
      <c r="G1822" s="17"/>
      <c r="H1822" s="4"/>
      <c r="I1822" s="4"/>
      <c r="J1822" s="4"/>
      <c r="K1822" s="6"/>
      <c r="L1822" s="17"/>
      <c r="M1822" s="4"/>
      <c r="N1822" s="6"/>
      <c r="O1822" s="4"/>
      <c r="P1822" s="4"/>
      <c r="Q1822" s="4"/>
      <c r="R1822" s="4"/>
      <c r="S1822" s="4"/>
      <c r="T1822" s="4"/>
      <c r="U1822" s="4"/>
    </row>
    <row r="1823">
      <c r="A1823" s="4"/>
      <c r="B1823" s="17"/>
      <c r="C1823" s="4"/>
      <c r="D1823" s="4"/>
      <c r="E1823" s="4"/>
      <c r="F1823" s="4"/>
      <c r="G1823" s="17"/>
      <c r="H1823" s="4"/>
      <c r="I1823" s="4"/>
      <c r="J1823" s="4"/>
      <c r="K1823" s="6"/>
      <c r="L1823" s="17"/>
      <c r="M1823" s="4"/>
      <c r="N1823" s="6"/>
      <c r="O1823" s="4"/>
      <c r="P1823" s="4"/>
      <c r="Q1823" s="4"/>
      <c r="R1823" s="4"/>
      <c r="S1823" s="4"/>
      <c r="T1823" s="4"/>
      <c r="U1823" s="4"/>
    </row>
    <row r="1824">
      <c r="A1824" s="4"/>
      <c r="B1824" s="17"/>
      <c r="C1824" s="4"/>
      <c r="D1824" s="4"/>
      <c r="E1824" s="4"/>
      <c r="F1824" s="4"/>
      <c r="G1824" s="17"/>
      <c r="H1824" s="4"/>
      <c r="I1824" s="4"/>
      <c r="J1824" s="4"/>
      <c r="K1824" s="6"/>
      <c r="L1824" s="17"/>
      <c r="M1824" s="4"/>
      <c r="N1824" s="6"/>
      <c r="O1824" s="4"/>
      <c r="P1824" s="4"/>
      <c r="Q1824" s="4"/>
      <c r="R1824" s="4"/>
      <c r="S1824" s="4"/>
      <c r="T1824" s="4"/>
      <c r="U1824" s="4"/>
    </row>
    <row r="1825">
      <c r="A1825" s="4"/>
      <c r="B1825" s="17"/>
      <c r="C1825" s="4"/>
      <c r="D1825" s="4"/>
      <c r="E1825" s="4"/>
      <c r="F1825" s="4"/>
      <c r="G1825" s="17"/>
      <c r="H1825" s="4"/>
      <c r="I1825" s="4"/>
      <c r="J1825" s="4"/>
      <c r="K1825" s="6"/>
      <c r="L1825" s="17"/>
      <c r="M1825" s="4"/>
      <c r="N1825" s="6"/>
      <c r="O1825" s="4"/>
      <c r="P1825" s="4"/>
      <c r="Q1825" s="4"/>
      <c r="R1825" s="4"/>
      <c r="S1825" s="4"/>
      <c r="T1825" s="4"/>
      <c r="U1825" s="4"/>
    </row>
    <row r="1826">
      <c r="A1826" s="4"/>
      <c r="B1826" s="17"/>
      <c r="C1826" s="4"/>
      <c r="D1826" s="4"/>
      <c r="E1826" s="4"/>
      <c r="F1826" s="4"/>
      <c r="G1826" s="17"/>
      <c r="H1826" s="4"/>
      <c r="I1826" s="4"/>
      <c r="J1826" s="4"/>
      <c r="K1826" s="6"/>
      <c r="L1826" s="17"/>
      <c r="M1826" s="4"/>
      <c r="N1826" s="6"/>
      <c r="O1826" s="4"/>
      <c r="P1826" s="4"/>
      <c r="Q1826" s="4"/>
      <c r="R1826" s="4"/>
      <c r="S1826" s="4"/>
      <c r="T1826" s="4"/>
      <c r="U1826" s="4"/>
    </row>
    <row r="1827">
      <c r="A1827" s="4"/>
      <c r="B1827" s="17"/>
      <c r="C1827" s="4"/>
      <c r="D1827" s="4"/>
      <c r="E1827" s="4"/>
      <c r="F1827" s="4"/>
      <c r="G1827" s="17"/>
      <c r="H1827" s="4"/>
      <c r="I1827" s="4"/>
      <c r="J1827" s="4"/>
      <c r="K1827" s="6"/>
      <c r="L1827" s="17"/>
      <c r="M1827" s="4"/>
      <c r="N1827" s="6"/>
      <c r="O1827" s="4"/>
      <c r="P1827" s="4"/>
      <c r="Q1827" s="4"/>
      <c r="R1827" s="4"/>
      <c r="S1827" s="4"/>
      <c r="T1827" s="4"/>
      <c r="U1827" s="4"/>
    </row>
    <row r="1828">
      <c r="A1828" s="4"/>
      <c r="B1828" s="17"/>
      <c r="C1828" s="4"/>
      <c r="D1828" s="4"/>
      <c r="E1828" s="4"/>
      <c r="F1828" s="4"/>
      <c r="G1828" s="17"/>
      <c r="H1828" s="4"/>
      <c r="I1828" s="4"/>
      <c r="J1828" s="4"/>
      <c r="K1828" s="6"/>
      <c r="L1828" s="17"/>
      <c r="M1828" s="4"/>
      <c r="N1828" s="6"/>
      <c r="O1828" s="4"/>
      <c r="P1828" s="4"/>
      <c r="Q1828" s="4"/>
      <c r="R1828" s="4"/>
      <c r="S1828" s="4"/>
      <c r="T1828" s="4"/>
      <c r="U1828" s="4"/>
    </row>
    <row r="1829">
      <c r="A1829" s="4"/>
      <c r="B1829" s="17"/>
      <c r="C1829" s="4"/>
      <c r="D1829" s="4"/>
      <c r="E1829" s="4"/>
      <c r="F1829" s="4"/>
      <c r="G1829" s="17"/>
      <c r="H1829" s="4"/>
      <c r="I1829" s="4"/>
      <c r="J1829" s="4"/>
      <c r="K1829" s="6"/>
      <c r="L1829" s="17"/>
      <c r="M1829" s="4"/>
      <c r="N1829" s="6"/>
      <c r="O1829" s="4"/>
      <c r="P1829" s="4"/>
      <c r="Q1829" s="4"/>
      <c r="R1829" s="4"/>
      <c r="S1829" s="4"/>
      <c r="T1829" s="4"/>
      <c r="U1829" s="4"/>
    </row>
    <row r="1830">
      <c r="A1830" s="4"/>
      <c r="B1830" s="17"/>
      <c r="C1830" s="4"/>
      <c r="D1830" s="4"/>
      <c r="E1830" s="4"/>
      <c r="F1830" s="4"/>
      <c r="G1830" s="17"/>
      <c r="H1830" s="4"/>
      <c r="I1830" s="4"/>
      <c r="J1830" s="4"/>
      <c r="K1830" s="6"/>
      <c r="L1830" s="17"/>
      <c r="M1830" s="4"/>
      <c r="N1830" s="6"/>
      <c r="O1830" s="4"/>
      <c r="P1830" s="4"/>
      <c r="Q1830" s="4"/>
      <c r="R1830" s="4"/>
      <c r="S1830" s="4"/>
      <c r="T1830" s="4"/>
      <c r="U1830" s="4"/>
    </row>
    <row r="1831">
      <c r="A1831" s="4"/>
      <c r="B1831" s="17"/>
      <c r="C1831" s="4"/>
      <c r="D1831" s="4"/>
      <c r="E1831" s="4"/>
      <c r="F1831" s="4"/>
      <c r="G1831" s="17"/>
      <c r="H1831" s="4"/>
      <c r="I1831" s="4"/>
      <c r="J1831" s="4"/>
      <c r="K1831" s="6"/>
      <c r="L1831" s="17"/>
      <c r="M1831" s="4"/>
      <c r="N1831" s="6"/>
      <c r="O1831" s="4"/>
      <c r="P1831" s="4"/>
      <c r="Q1831" s="4"/>
      <c r="R1831" s="4"/>
      <c r="S1831" s="4"/>
      <c r="T1831" s="4"/>
      <c r="U1831" s="4"/>
    </row>
    <row r="1832">
      <c r="A1832" s="4"/>
      <c r="B1832" s="17"/>
      <c r="C1832" s="4"/>
      <c r="D1832" s="4"/>
      <c r="E1832" s="4"/>
      <c r="F1832" s="4"/>
      <c r="G1832" s="17"/>
      <c r="H1832" s="4"/>
      <c r="I1832" s="4"/>
      <c r="J1832" s="4"/>
      <c r="K1832" s="6"/>
      <c r="L1832" s="17"/>
      <c r="M1832" s="4"/>
      <c r="N1832" s="6"/>
      <c r="O1832" s="4"/>
      <c r="P1832" s="4"/>
      <c r="Q1832" s="4"/>
      <c r="R1832" s="4"/>
      <c r="S1832" s="4"/>
      <c r="T1832" s="4"/>
      <c r="U1832" s="4"/>
    </row>
    <row r="1833">
      <c r="A1833" s="4"/>
      <c r="B1833" s="17"/>
      <c r="C1833" s="4"/>
      <c r="D1833" s="4"/>
      <c r="E1833" s="4"/>
      <c r="F1833" s="4"/>
      <c r="G1833" s="17"/>
      <c r="H1833" s="4"/>
      <c r="I1833" s="4"/>
      <c r="J1833" s="4"/>
      <c r="K1833" s="6"/>
      <c r="L1833" s="17"/>
      <c r="M1833" s="4"/>
      <c r="N1833" s="6"/>
      <c r="O1833" s="4"/>
      <c r="P1833" s="4"/>
      <c r="Q1833" s="4"/>
      <c r="R1833" s="4"/>
      <c r="S1833" s="4"/>
      <c r="T1833" s="4"/>
      <c r="U1833" s="4"/>
    </row>
    <row r="1834">
      <c r="A1834" s="4"/>
      <c r="B1834" s="17"/>
      <c r="C1834" s="4"/>
      <c r="D1834" s="4"/>
      <c r="E1834" s="4"/>
      <c r="F1834" s="4"/>
      <c r="G1834" s="17"/>
      <c r="H1834" s="4"/>
      <c r="I1834" s="4"/>
      <c r="J1834" s="4"/>
      <c r="K1834" s="6"/>
      <c r="L1834" s="17"/>
      <c r="M1834" s="4"/>
      <c r="N1834" s="6"/>
      <c r="O1834" s="4"/>
      <c r="P1834" s="4"/>
      <c r="Q1834" s="4"/>
      <c r="R1834" s="4"/>
      <c r="S1834" s="4"/>
      <c r="T1834" s="4"/>
      <c r="U1834" s="4"/>
    </row>
    <row r="1835">
      <c r="A1835" s="4"/>
      <c r="B1835" s="17"/>
      <c r="C1835" s="4"/>
      <c r="D1835" s="4"/>
      <c r="E1835" s="4"/>
      <c r="F1835" s="4"/>
      <c r="G1835" s="17"/>
      <c r="H1835" s="4"/>
      <c r="I1835" s="4"/>
      <c r="J1835" s="4"/>
      <c r="K1835" s="6"/>
      <c r="L1835" s="17"/>
      <c r="M1835" s="4"/>
      <c r="N1835" s="6"/>
      <c r="O1835" s="4"/>
      <c r="P1835" s="4"/>
      <c r="Q1835" s="4"/>
      <c r="R1835" s="4"/>
      <c r="S1835" s="4"/>
      <c r="T1835" s="4"/>
      <c r="U1835" s="4"/>
    </row>
    <row r="1836">
      <c r="A1836" s="4"/>
      <c r="B1836" s="17"/>
      <c r="C1836" s="4"/>
      <c r="D1836" s="4"/>
      <c r="E1836" s="4"/>
      <c r="F1836" s="4"/>
      <c r="G1836" s="17"/>
      <c r="H1836" s="4"/>
      <c r="I1836" s="4"/>
      <c r="J1836" s="4"/>
      <c r="K1836" s="6"/>
      <c r="L1836" s="17"/>
      <c r="M1836" s="4"/>
      <c r="N1836" s="6"/>
      <c r="O1836" s="4"/>
      <c r="P1836" s="4"/>
      <c r="Q1836" s="4"/>
      <c r="R1836" s="4"/>
      <c r="S1836" s="4"/>
      <c r="T1836" s="4"/>
      <c r="U1836" s="4"/>
    </row>
    <row r="1837">
      <c r="A1837" s="4"/>
      <c r="B1837" s="17"/>
      <c r="C1837" s="4"/>
      <c r="D1837" s="4"/>
      <c r="E1837" s="4"/>
      <c r="F1837" s="4"/>
      <c r="G1837" s="17"/>
      <c r="H1837" s="4"/>
      <c r="I1837" s="4"/>
      <c r="J1837" s="4"/>
      <c r="K1837" s="6"/>
      <c r="L1837" s="17"/>
      <c r="M1837" s="4"/>
      <c r="N1837" s="6"/>
      <c r="O1837" s="4"/>
      <c r="P1837" s="4"/>
      <c r="Q1837" s="4"/>
      <c r="R1837" s="4"/>
      <c r="S1837" s="4"/>
      <c r="T1837" s="4"/>
      <c r="U1837" s="4"/>
    </row>
    <row r="1838">
      <c r="A1838" s="4"/>
      <c r="B1838" s="17"/>
      <c r="C1838" s="4"/>
      <c r="D1838" s="4"/>
      <c r="E1838" s="4"/>
      <c r="F1838" s="4"/>
      <c r="G1838" s="17"/>
      <c r="H1838" s="4"/>
      <c r="I1838" s="4"/>
      <c r="J1838" s="4"/>
      <c r="K1838" s="6"/>
      <c r="L1838" s="17"/>
      <c r="M1838" s="4"/>
      <c r="N1838" s="6"/>
      <c r="O1838" s="4"/>
      <c r="P1838" s="4"/>
      <c r="Q1838" s="4"/>
      <c r="R1838" s="4"/>
      <c r="S1838" s="4"/>
      <c r="T1838" s="4"/>
      <c r="U1838" s="4"/>
    </row>
    <row r="1839">
      <c r="A1839" s="4"/>
      <c r="B1839" s="17"/>
      <c r="C1839" s="4"/>
      <c r="D1839" s="4"/>
      <c r="E1839" s="4"/>
      <c r="F1839" s="4"/>
      <c r="G1839" s="17"/>
      <c r="H1839" s="4"/>
      <c r="I1839" s="4"/>
      <c r="J1839" s="4"/>
      <c r="K1839" s="6"/>
      <c r="L1839" s="17"/>
      <c r="M1839" s="4"/>
      <c r="N1839" s="6"/>
      <c r="O1839" s="4"/>
      <c r="P1839" s="4"/>
      <c r="Q1839" s="4"/>
      <c r="R1839" s="4"/>
      <c r="S1839" s="4"/>
      <c r="T1839" s="4"/>
      <c r="U1839" s="4"/>
    </row>
    <row r="1840">
      <c r="A1840" s="4"/>
      <c r="B1840" s="17"/>
      <c r="C1840" s="4"/>
      <c r="D1840" s="4"/>
      <c r="E1840" s="4"/>
      <c r="F1840" s="4"/>
      <c r="G1840" s="17"/>
      <c r="H1840" s="4"/>
      <c r="I1840" s="4"/>
      <c r="J1840" s="4"/>
      <c r="K1840" s="6"/>
      <c r="L1840" s="17"/>
      <c r="M1840" s="4"/>
      <c r="N1840" s="6"/>
      <c r="O1840" s="4"/>
      <c r="P1840" s="4"/>
      <c r="Q1840" s="4"/>
      <c r="R1840" s="4"/>
      <c r="S1840" s="4"/>
      <c r="T1840" s="4"/>
      <c r="U1840" s="4"/>
    </row>
    <row r="1841">
      <c r="A1841" s="4"/>
      <c r="B1841" s="17"/>
      <c r="C1841" s="4"/>
      <c r="D1841" s="4"/>
      <c r="E1841" s="4"/>
      <c r="F1841" s="4"/>
      <c r="G1841" s="17"/>
      <c r="H1841" s="4"/>
      <c r="I1841" s="4"/>
      <c r="J1841" s="4"/>
      <c r="K1841" s="6"/>
      <c r="L1841" s="17"/>
      <c r="M1841" s="4"/>
      <c r="N1841" s="6"/>
      <c r="O1841" s="4"/>
      <c r="P1841" s="4"/>
      <c r="Q1841" s="4"/>
      <c r="R1841" s="4"/>
      <c r="S1841" s="4"/>
      <c r="T1841" s="4"/>
      <c r="U1841" s="4"/>
    </row>
    <row r="1842">
      <c r="A1842" s="4"/>
      <c r="B1842" s="17"/>
      <c r="C1842" s="4"/>
      <c r="D1842" s="4"/>
      <c r="E1842" s="4"/>
      <c r="F1842" s="4"/>
      <c r="G1842" s="17"/>
      <c r="H1842" s="4"/>
      <c r="I1842" s="4"/>
      <c r="J1842" s="4"/>
      <c r="K1842" s="6"/>
      <c r="L1842" s="17"/>
      <c r="M1842" s="4"/>
      <c r="N1842" s="6"/>
      <c r="O1842" s="4"/>
      <c r="P1842" s="4"/>
      <c r="Q1842" s="4"/>
      <c r="R1842" s="4"/>
      <c r="S1842" s="4"/>
      <c r="T1842" s="4"/>
      <c r="U1842" s="4"/>
    </row>
    <row r="1843">
      <c r="A1843" s="4"/>
      <c r="B1843" s="17"/>
      <c r="C1843" s="4"/>
      <c r="D1843" s="4"/>
      <c r="E1843" s="4"/>
      <c r="F1843" s="4"/>
      <c r="G1843" s="17"/>
      <c r="H1843" s="4"/>
      <c r="I1843" s="4"/>
      <c r="J1843" s="4"/>
      <c r="K1843" s="6"/>
      <c r="L1843" s="17"/>
      <c r="M1843" s="4"/>
      <c r="N1843" s="6"/>
      <c r="O1843" s="4"/>
      <c r="P1843" s="4"/>
      <c r="Q1843" s="4"/>
      <c r="R1843" s="4"/>
      <c r="S1843" s="4"/>
      <c r="T1843" s="4"/>
      <c r="U1843" s="4"/>
    </row>
    <row r="1844">
      <c r="A1844" s="4"/>
      <c r="B1844" s="17"/>
      <c r="C1844" s="4"/>
      <c r="D1844" s="4"/>
      <c r="E1844" s="4"/>
      <c r="F1844" s="4"/>
      <c r="G1844" s="17"/>
      <c r="H1844" s="4"/>
      <c r="I1844" s="4"/>
      <c r="J1844" s="4"/>
      <c r="K1844" s="6"/>
      <c r="L1844" s="17"/>
      <c r="M1844" s="4"/>
      <c r="N1844" s="6"/>
      <c r="O1844" s="4"/>
      <c r="P1844" s="4"/>
      <c r="Q1844" s="4"/>
      <c r="R1844" s="4"/>
      <c r="S1844" s="4"/>
      <c r="T1844" s="4"/>
      <c r="U1844" s="4"/>
    </row>
    <row r="1845">
      <c r="A1845" s="4"/>
      <c r="B1845" s="17"/>
      <c r="C1845" s="4"/>
      <c r="D1845" s="4"/>
      <c r="E1845" s="4"/>
      <c r="F1845" s="4"/>
      <c r="G1845" s="17"/>
      <c r="H1845" s="4"/>
      <c r="I1845" s="4"/>
      <c r="J1845" s="4"/>
      <c r="K1845" s="6"/>
      <c r="L1845" s="17"/>
      <c r="M1845" s="4"/>
      <c r="N1845" s="6"/>
      <c r="O1845" s="4"/>
      <c r="P1845" s="4"/>
      <c r="Q1845" s="4"/>
      <c r="R1845" s="4"/>
      <c r="S1845" s="4"/>
      <c r="T1845" s="4"/>
      <c r="U1845" s="4"/>
    </row>
    <row r="1846">
      <c r="A1846" s="4"/>
      <c r="B1846" s="17"/>
      <c r="C1846" s="4"/>
      <c r="D1846" s="4"/>
      <c r="E1846" s="4"/>
      <c r="F1846" s="4"/>
      <c r="G1846" s="17"/>
      <c r="H1846" s="4"/>
      <c r="I1846" s="4"/>
      <c r="J1846" s="4"/>
      <c r="K1846" s="6"/>
      <c r="L1846" s="17"/>
      <c r="M1846" s="4"/>
      <c r="N1846" s="6"/>
      <c r="O1846" s="4"/>
      <c r="P1846" s="4"/>
      <c r="Q1846" s="4"/>
      <c r="R1846" s="4"/>
      <c r="S1846" s="4"/>
      <c r="T1846" s="4"/>
      <c r="U1846" s="4"/>
    </row>
    <row r="1847">
      <c r="A1847" s="4"/>
      <c r="B1847" s="17"/>
      <c r="C1847" s="4"/>
      <c r="D1847" s="4"/>
      <c r="E1847" s="4"/>
      <c r="F1847" s="4"/>
      <c r="G1847" s="17"/>
      <c r="H1847" s="4"/>
      <c r="I1847" s="4"/>
      <c r="J1847" s="4"/>
      <c r="K1847" s="6"/>
      <c r="L1847" s="17"/>
      <c r="M1847" s="4"/>
      <c r="N1847" s="6"/>
      <c r="O1847" s="4"/>
      <c r="P1847" s="4"/>
      <c r="Q1847" s="4"/>
      <c r="R1847" s="4"/>
      <c r="S1847" s="4"/>
      <c r="T1847" s="4"/>
      <c r="U1847" s="4"/>
    </row>
    <row r="1848">
      <c r="A1848" s="4"/>
      <c r="B1848" s="17"/>
      <c r="C1848" s="4"/>
      <c r="D1848" s="4"/>
      <c r="E1848" s="4"/>
      <c r="F1848" s="4"/>
      <c r="G1848" s="17"/>
      <c r="H1848" s="4"/>
      <c r="I1848" s="4"/>
      <c r="J1848" s="4"/>
      <c r="K1848" s="6"/>
      <c r="L1848" s="17"/>
      <c r="M1848" s="4"/>
      <c r="N1848" s="6"/>
      <c r="O1848" s="4"/>
      <c r="P1848" s="4"/>
      <c r="Q1848" s="4"/>
      <c r="R1848" s="4"/>
      <c r="S1848" s="4"/>
      <c r="T1848" s="4"/>
      <c r="U1848" s="4"/>
    </row>
    <row r="1849">
      <c r="A1849" s="4"/>
      <c r="B1849" s="17"/>
      <c r="C1849" s="4"/>
      <c r="D1849" s="4"/>
      <c r="E1849" s="4"/>
      <c r="F1849" s="4"/>
      <c r="G1849" s="17"/>
      <c r="H1849" s="4"/>
      <c r="I1849" s="4"/>
      <c r="J1849" s="4"/>
      <c r="K1849" s="6"/>
      <c r="L1849" s="17"/>
      <c r="M1849" s="4"/>
      <c r="N1849" s="6"/>
      <c r="O1849" s="4"/>
      <c r="P1849" s="4"/>
      <c r="Q1849" s="4"/>
      <c r="R1849" s="4"/>
      <c r="S1849" s="4"/>
      <c r="T1849" s="4"/>
      <c r="U1849" s="4"/>
    </row>
    <row r="1850">
      <c r="A1850" s="4"/>
      <c r="B1850" s="17"/>
      <c r="C1850" s="4"/>
      <c r="D1850" s="4"/>
      <c r="E1850" s="4"/>
      <c r="F1850" s="4"/>
      <c r="G1850" s="17"/>
      <c r="H1850" s="4"/>
      <c r="I1850" s="4"/>
      <c r="J1850" s="4"/>
      <c r="K1850" s="6"/>
      <c r="L1850" s="17"/>
      <c r="M1850" s="4"/>
      <c r="N1850" s="6"/>
      <c r="O1850" s="4"/>
      <c r="P1850" s="4"/>
      <c r="Q1850" s="4"/>
      <c r="R1850" s="4"/>
      <c r="S1850" s="4"/>
      <c r="T1850" s="4"/>
      <c r="U1850" s="4"/>
    </row>
    <row r="1851">
      <c r="A1851" s="4"/>
      <c r="B1851" s="17"/>
      <c r="C1851" s="4"/>
      <c r="D1851" s="4"/>
      <c r="E1851" s="4"/>
      <c r="F1851" s="4"/>
      <c r="G1851" s="17"/>
      <c r="H1851" s="4"/>
      <c r="I1851" s="4"/>
      <c r="J1851" s="4"/>
      <c r="K1851" s="6"/>
      <c r="L1851" s="17"/>
      <c r="M1851" s="4"/>
      <c r="N1851" s="6"/>
      <c r="O1851" s="4"/>
      <c r="P1851" s="4"/>
      <c r="Q1851" s="4"/>
      <c r="R1851" s="4"/>
      <c r="S1851" s="4"/>
      <c r="T1851" s="4"/>
      <c r="U1851" s="4"/>
    </row>
    <row r="1852">
      <c r="A1852" s="4"/>
      <c r="B1852" s="17"/>
      <c r="C1852" s="4"/>
      <c r="D1852" s="4"/>
      <c r="E1852" s="4"/>
      <c r="F1852" s="4"/>
      <c r="G1852" s="17"/>
      <c r="H1852" s="4"/>
      <c r="I1852" s="4"/>
      <c r="J1852" s="4"/>
      <c r="K1852" s="6"/>
      <c r="L1852" s="17"/>
      <c r="M1852" s="4"/>
      <c r="N1852" s="6"/>
      <c r="O1852" s="4"/>
      <c r="P1852" s="4"/>
      <c r="Q1852" s="4"/>
      <c r="R1852" s="4"/>
      <c r="S1852" s="4"/>
      <c r="T1852" s="4"/>
      <c r="U1852" s="4"/>
    </row>
    <row r="1853">
      <c r="A1853" s="4"/>
      <c r="B1853" s="17"/>
      <c r="C1853" s="4"/>
      <c r="D1853" s="4"/>
      <c r="E1853" s="4"/>
      <c r="F1853" s="4"/>
      <c r="G1853" s="17"/>
      <c r="H1853" s="4"/>
      <c r="I1853" s="4"/>
      <c r="J1853" s="4"/>
      <c r="K1853" s="6"/>
      <c r="L1853" s="17"/>
      <c r="M1853" s="4"/>
      <c r="N1853" s="6"/>
      <c r="O1853" s="4"/>
      <c r="P1853" s="4"/>
      <c r="Q1853" s="4"/>
      <c r="R1853" s="4"/>
      <c r="S1853" s="4"/>
      <c r="T1853" s="4"/>
      <c r="U1853" s="4"/>
    </row>
    <row r="1854">
      <c r="A1854" s="4"/>
      <c r="B1854" s="17"/>
      <c r="C1854" s="4"/>
      <c r="D1854" s="4"/>
      <c r="E1854" s="4"/>
      <c r="F1854" s="4"/>
      <c r="G1854" s="17"/>
      <c r="H1854" s="4"/>
      <c r="I1854" s="4"/>
      <c r="J1854" s="4"/>
      <c r="K1854" s="6"/>
      <c r="L1854" s="17"/>
      <c r="M1854" s="4"/>
      <c r="N1854" s="6"/>
      <c r="O1854" s="4"/>
      <c r="P1854" s="4"/>
      <c r="Q1854" s="4"/>
      <c r="R1854" s="4"/>
      <c r="S1854" s="4"/>
      <c r="T1854" s="4"/>
      <c r="U1854" s="4"/>
    </row>
    <row r="1855">
      <c r="A1855" s="4"/>
      <c r="B1855" s="17"/>
      <c r="C1855" s="4"/>
      <c r="D1855" s="4"/>
      <c r="E1855" s="4"/>
      <c r="F1855" s="4"/>
      <c r="G1855" s="17"/>
      <c r="H1855" s="4"/>
      <c r="I1855" s="4"/>
      <c r="J1855" s="4"/>
      <c r="K1855" s="6"/>
      <c r="L1855" s="17"/>
      <c r="M1855" s="4"/>
      <c r="N1855" s="6"/>
      <c r="O1855" s="4"/>
      <c r="P1855" s="4"/>
      <c r="Q1855" s="4"/>
      <c r="R1855" s="4"/>
      <c r="S1855" s="4"/>
      <c r="T1855" s="4"/>
      <c r="U1855" s="4"/>
    </row>
    <row r="1856">
      <c r="A1856" s="4"/>
      <c r="B1856" s="17"/>
      <c r="C1856" s="4"/>
      <c r="D1856" s="4"/>
      <c r="E1856" s="4"/>
      <c r="F1856" s="4"/>
      <c r="G1856" s="17"/>
      <c r="H1856" s="4"/>
      <c r="I1856" s="4"/>
      <c r="J1856" s="4"/>
      <c r="K1856" s="6"/>
      <c r="L1856" s="17"/>
      <c r="M1856" s="4"/>
      <c r="N1856" s="6"/>
      <c r="O1856" s="4"/>
      <c r="P1856" s="4"/>
      <c r="Q1856" s="4"/>
      <c r="R1856" s="4"/>
      <c r="S1856" s="4"/>
      <c r="T1856" s="4"/>
      <c r="U1856" s="4"/>
    </row>
    <row r="1857">
      <c r="A1857" s="4"/>
      <c r="B1857" s="17"/>
      <c r="C1857" s="4"/>
      <c r="D1857" s="4"/>
      <c r="E1857" s="4"/>
      <c r="F1857" s="4"/>
      <c r="G1857" s="17"/>
      <c r="H1857" s="4"/>
      <c r="I1857" s="4"/>
      <c r="J1857" s="4"/>
      <c r="K1857" s="6"/>
      <c r="L1857" s="17"/>
      <c r="M1857" s="4"/>
      <c r="N1857" s="6"/>
      <c r="O1857" s="4"/>
      <c r="P1857" s="4"/>
      <c r="Q1857" s="4"/>
      <c r="R1857" s="4"/>
      <c r="S1857" s="4"/>
      <c r="T1857" s="4"/>
      <c r="U1857" s="4"/>
    </row>
    <row r="1858">
      <c r="A1858" s="4"/>
      <c r="B1858" s="17"/>
      <c r="C1858" s="4"/>
      <c r="D1858" s="4"/>
      <c r="E1858" s="4"/>
      <c r="F1858" s="4"/>
      <c r="G1858" s="17"/>
      <c r="H1858" s="4"/>
      <c r="I1858" s="4"/>
      <c r="J1858" s="4"/>
      <c r="K1858" s="6"/>
      <c r="L1858" s="17"/>
      <c r="M1858" s="4"/>
      <c r="N1858" s="6"/>
      <c r="O1858" s="4"/>
      <c r="P1858" s="4"/>
      <c r="Q1858" s="4"/>
      <c r="R1858" s="4"/>
      <c r="S1858" s="4"/>
      <c r="T1858" s="4"/>
      <c r="U1858" s="4"/>
    </row>
    <row r="1859">
      <c r="A1859" s="4"/>
      <c r="B1859" s="17"/>
      <c r="C1859" s="4"/>
      <c r="D1859" s="4"/>
      <c r="E1859" s="4"/>
      <c r="F1859" s="4"/>
      <c r="G1859" s="17"/>
      <c r="H1859" s="4"/>
      <c r="I1859" s="4"/>
      <c r="J1859" s="4"/>
      <c r="K1859" s="6"/>
      <c r="L1859" s="17"/>
      <c r="M1859" s="4"/>
      <c r="N1859" s="6"/>
      <c r="O1859" s="4"/>
      <c r="P1859" s="4"/>
      <c r="Q1859" s="4"/>
      <c r="R1859" s="4"/>
      <c r="S1859" s="4"/>
      <c r="T1859" s="4"/>
      <c r="U1859" s="4"/>
    </row>
    <row r="1860">
      <c r="A1860" s="4"/>
      <c r="B1860" s="17"/>
      <c r="C1860" s="4"/>
      <c r="D1860" s="4"/>
      <c r="E1860" s="4"/>
      <c r="F1860" s="4"/>
      <c r="G1860" s="17"/>
      <c r="H1860" s="4"/>
      <c r="I1860" s="4"/>
      <c r="J1860" s="4"/>
      <c r="K1860" s="6"/>
      <c r="L1860" s="17"/>
      <c r="M1860" s="4"/>
      <c r="N1860" s="6"/>
      <c r="O1860" s="4"/>
      <c r="P1860" s="4"/>
      <c r="Q1860" s="4"/>
      <c r="R1860" s="4"/>
      <c r="S1860" s="4"/>
      <c r="T1860" s="4"/>
      <c r="U1860" s="4"/>
    </row>
    <row r="1861">
      <c r="A1861" s="4"/>
      <c r="B1861" s="17"/>
      <c r="C1861" s="4"/>
      <c r="D1861" s="4"/>
      <c r="E1861" s="4"/>
      <c r="F1861" s="4"/>
      <c r="G1861" s="17"/>
      <c r="H1861" s="4"/>
      <c r="I1861" s="4"/>
      <c r="J1861" s="4"/>
      <c r="K1861" s="6"/>
      <c r="L1861" s="17"/>
      <c r="M1861" s="4"/>
      <c r="N1861" s="6"/>
      <c r="O1861" s="4"/>
      <c r="P1861" s="4"/>
      <c r="Q1861" s="4"/>
      <c r="R1861" s="4"/>
      <c r="S1861" s="4"/>
      <c r="T1861" s="4"/>
      <c r="U1861" s="4"/>
    </row>
    <row r="1862">
      <c r="A1862" s="4"/>
      <c r="B1862" s="17"/>
      <c r="C1862" s="4"/>
      <c r="D1862" s="4"/>
      <c r="E1862" s="4"/>
      <c r="F1862" s="4"/>
      <c r="G1862" s="17"/>
      <c r="H1862" s="4"/>
      <c r="I1862" s="4"/>
      <c r="J1862" s="4"/>
      <c r="K1862" s="6"/>
      <c r="L1862" s="17"/>
      <c r="M1862" s="4"/>
      <c r="N1862" s="6"/>
      <c r="O1862" s="4"/>
      <c r="P1862" s="4"/>
      <c r="Q1862" s="4"/>
      <c r="R1862" s="4"/>
      <c r="S1862" s="4"/>
      <c r="T1862" s="4"/>
      <c r="U1862" s="4"/>
    </row>
    <row r="1863">
      <c r="A1863" s="4"/>
      <c r="B1863" s="17"/>
      <c r="C1863" s="4"/>
      <c r="D1863" s="4"/>
      <c r="E1863" s="4"/>
      <c r="F1863" s="4"/>
      <c r="G1863" s="17"/>
      <c r="H1863" s="4"/>
      <c r="I1863" s="4"/>
      <c r="J1863" s="4"/>
      <c r="K1863" s="6"/>
      <c r="L1863" s="17"/>
      <c r="M1863" s="4"/>
      <c r="N1863" s="6"/>
      <c r="O1863" s="4"/>
      <c r="P1863" s="4"/>
      <c r="Q1863" s="4"/>
      <c r="R1863" s="4"/>
      <c r="S1863" s="4"/>
      <c r="T1863" s="4"/>
      <c r="U1863" s="4"/>
    </row>
    <row r="1864">
      <c r="A1864" s="4"/>
      <c r="B1864" s="17"/>
      <c r="C1864" s="4"/>
      <c r="D1864" s="4"/>
      <c r="E1864" s="4"/>
      <c r="F1864" s="4"/>
      <c r="G1864" s="17"/>
      <c r="H1864" s="4"/>
      <c r="I1864" s="4"/>
      <c r="J1864" s="4"/>
      <c r="K1864" s="6"/>
      <c r="L1864" s="17"/>
      <c r="M1864" s="4"/>
      <c r="N1864" s="6"/>
      <c r="O1864" s="4"/>
      <c r="P1864" s="4"/>
      <c r="Q1864" s="4"/>
      <c r="R1864" s="4"/>
      <c r="S1864" s="4"/>
      <c r="T1864" s="4"/>
      <c r="U1864" s="4"/>
    </row>
    <row r="1865">
      <c r="A1865" s="4"/>
      <c r="B1865" s="17"/>
      <c r="C1865" s="4"/>
      <c r="D1865" s="4"/>
      <c r="E1865" s="4"/>
      <c r="F1865" s="4"/>
      <c r="G1865" s="17"/>
      <c r="H1865" s="4"/>
      <c r="I1865" s="4"/>
      <c r="J1865" s="4"/>
      <c r="K1865" s="6"/>
      <c r="L1865" s="17"/>
      <c r="M1865" s="4"/>
      <c r="N1865" s="6"/>
      <c r="O1865" s="4"/>
      <c r="P1865" s="4"/>
      <c r="Q1865" s="4"/>
      <c r="R1865" s="4"/>
      <c r="S1865" s="4"/>
      <c r="T1865" s="4"/>
      <c r="U1865" s="4"/>
    </row>
    <row r="1866">
      <c r="A1866" s="4"/>
      <c r="B1866" s="17"/>
      <c r="C1866" s="4"/>
      <c r="D1866" s="4"/>
      <c r="E1866" s="4"/>
      <c r="F1866" s="4"/>
      <c r="G1866" s="17"/>
      <c r="H1866" s="4"/>
      <c r="I1866" s="4"/>
      <c r="J1866" s="4"/>
      <c r="K1866" s="6"/>
      <c r="L1866" s="17"/>
      <c r="M1866" s="4"/>
      <c r="N1866" s="6"/>
      <c r="O1866" s="4"/>
      <c r="P1866" s="4"/>
      <c r="Q1866" s="4"/>
      <c r="R1866" s="4"/>
      <c r="S1866" s="4"/>
      <c r="T1866" s="4"/>
      <c r="U1866" s="4"/>
    </row>
    <row r="1867">
      <c r="A1867" s="4"/>
      <c r="B1867" s="17"/>
      <c r="C1867" s="4"/>
      <c r="D1867" s="4"/>
      <c r="E1867" s="4"/>
      <c r="F1867" s="4"/>
      <c r="G1867" s="17"/>
      <c r="H1867" s="4"/>
      <c r="I1867" s="4"/>
      <c r="J1867" s="4"/>
      <c r="K1867" s="6"/>
      <c r="L1867" s="17"/>
      <c r="M1867" s="4"/>
      <c r="N1867" s="6"/>
      <c r="O1867" s="4"/>
      <c r="P1867" s="4"/>
      <c r="Q1867" s="4"/>
      <c r="R1867" s="4"/>
      <c r="S1867" s="4"/>
      <c r="T1867" s="4"/>
      <c r="U1867" s="4"/>
    </row>
    <row r="1868">
      <c r="A1868" s="4"/>
      <c r="B1868" s="17"/>
      <c r="C1868" s="4"/>
      <c r="D1868" s="4"/>
      <c r="E1868" s="4"/>
      <c r="F1868" s="4"/>
      <c r="G1868" s="17"/>
      <c r="H1868" s="4"/>
      <c r="I1868" s="4"/>
      <c r="J1868" s="4"/>
      <c r="K1868" s="6"/>
      <c r="L1868" s="17"/>
      <c r="M1868" s="4"/>
      <c r="N1868" s="6"/>
      <c r="O1868" s="4"/>
      <c r="P1868" s="4"/>
      <c r="Q1868" s="4"/>
      <c r="R1868" s="4"/>
      <c r="S1868" s="4"/>
      <c r="T1868" s="4"/>
      <c r="U1868" s="4"/>
    </row>
    <row r="1869">
      <c r="A1869" s="4"/>
      <c r="B1869" s="17"/>
      <c r="C1869" s="4"/>
      <c r="D1869" s="4"/>
      <c r="E1869" s="4"/>
      <c r="F1869" s="4"/>
      <c r="G1869" s="17"/>
      <c r="H1869" s="4"/>
      <c r="I1869" s="4"/>
      <c r="J1869" s="4"/>
      <c r="K1869" s="6"/>
      <c r="L1869" s="17"/>
      <c r="M1869" s="4"/>
      <c r="N1869" s="6"/>
      <c r="O1869" s="4"/>
      <c r="P1869" s="4"/>
      <c r="Q1869" s="4"/>
      <c r="R1869" s="4"/>
      <c r="S1869" s="4"/>
      <c r="T1869" s="4"/>
      <c r="U1869" s="4"/>
    </row>
    <row r="1870">
      <c r="A1870" s="4"/>
      <c r="B1870" s="17"/>
      <c r="C1870" s="4"/>
      <c r="D1870" s="4"/>
      <c r="E1870" s="4"/>
      <c r="F1870" s="4"/>
      <c r="G1870" s="17"/>
      <c r="H1870" s="4"/>
      <c r="I1870" s="4"/>
      <c r="J1870" s="4"/>
      <c r="K1870" s="6"/>
      <c r="L1870" s="17"/>
      <c r="M1870" s="4"/>
      <c r="N1870" s="6"/>
      <c r="O1870" s="4"/>
      <c r="P1870" s="4"/>
      <c r="Q1870" s="4"/>
      <c r="R1870" s="4"/>
      <c r="S1870" s="4"/>
      <c r="T1870" s="4"/>
      <c r="U1870" s="4"/>
    </row>
    <row r="1871">
      <c r="A1871" s="4"/>
      <c r="B1871" s="17"/>
      <c r="C1871" s="4"/>
      <c r="D1871" s="4"/>
      <c r="E1871" s="4"/>
      <c r="F1871" s="4"/>
      <c r="G1871" s="17"/>
      <c r="H1871" s="4"/>
      <c r="I1871" s="4"/>
      <c r="J1871" s="4"/>
      <c r="K1871" s="6"/>
      <c r="L1871" s="17"/>
      <c r="M1871" s="4"/>
      <c r="N1871" s="6"/>
      <c r="O1871" s="4"/>
      <c r="P1871" s="4"/>
      <c r="Q1871" s="4"/>
      <c r="R1871" s="4"/>
      <c r="S1871" s="4"/>
      <c r="T1871" s="4"/>
      <c r="U1871" s="4"/>
    </row>
    <row r="1872">
      <c r="A1872" s="4"/>
      <c r="B1872" s="17"/>
      <c r="C1872" s="4"/>
      <c r="D1872" s="4"/>
      <c r="E1872" s="4"/>
      <c r="F1872" s="4"/>
      <c r="G1872" s="17"/>
      <c r="H1872" s="4"/>
      <c r="I1872" s="4"/>
      <c r="J1872" s="4"/>
      <c r="K1872" s="6"/>
      <c r="L1872" s="17"/>
      <c r="M1872" s="4"/>
      <c r="N1872" s="6"/>
      <c r="O1872" s="4"/>
      <c r="P1872" s="4"/>
      <c r="Q1872" s="4"/>
      <c r="R1872" s="4"/>
      <c r="S1872" s="4"/>
      <c r="T1872" s="4"/>
      <c r="U1872" s="4"/>
    </row>
    <row r="1873">
      <c r="A1873" s="4"/>
      <c r="B1873" s="17"/>
      <c r="C1873" s="4"/>
      <c r="D1873" s="4"/>
      <c r="E1873" s="4"/>
      <c r="F1873" s="4"/>
      <c r="G1873" s="17"/>
      <c r="H1873" s="4"/>
      <c r="I1873" s="4"/>
      <c r="J1873" s="4"/>
      <c r="K1873" s="6"/>
      <c r="L1873" s="17"/>
      <c r="M1873" s="4"/>
      <c r="N1873" s="6"/>
      <c r="O1873" s="4"/>
      <c r="P1873" s="4"/>
      <c r="Q1873" s="4"/>
      <c r="R1873" s="4"/>
      <c r="S1873" s="4"/>
      <c r="T1873" s="4"/>
      <c r="U1873" s="4"/>
    </row>
    <row r="1874">
      <c r="A1874" s="4"/>
      <c r="B1874" s="17"/>
      <c r="C1874" s="4"/>
      <c r="D1874" s="4"/>
      <c r="E1874" s="4"/>
      <c r="F1874" s="4"/>
      <c r="G1874" s="17"/>
      <c r="H1874" s="4"/>
      <c r="I1874" s="4"/>
      <c r="J1874" s="4"/>
      <c r="K1874" s="6"/>
      <c r="L1874" s="17"/>
      <c r="M1874" s="4"/>
      <c r="N1874" s="6"/>
      <c r="O1874" s="4"/>
      <c r="P1874" s="4"/>
      <c r="Q1874" s="4"/>
      <c r="R1874" s="4"/>
      <c r="S1874" s="4"/>
      <c r="T1874" s="4"/>
      <c r="U1874" s="4"/>
    </row>
    <row r="1875">
      <c r="A1875" s="4"/>
      <c r="B1875" s="17"/>
      <c r="C1875" s="4"/>
      <c r="D1875" s="4"/>
      <c r="E1875" s="4"/>
      <c r="F1875" s="4"/>
      <c r="G1875" s="17"/>
      <c r="H1875" s="4"/>
      <c r="I1875" s="4"/>
      <c r="J1875" s="4"/>
      <c r="K1875" s="6"/>
      <c r="L1875" s="17"/>
      <c r="M1875" s="4"/>
      <c r="N1875" s="6"/>
      <c r="O1875" s="4"/>
      <c r="P1875" s="4"/>
      <c r="Q1875" s="4"/>
      <c r="R1875" s="4"/>
      <c r="S1875" s="4"/>
      <c r="T1875" s="4"/>
      <c r="U1875" s="4"/>
    </row>
    <row r="1876">
      <c r="A1876" s="4"/>
      <c r="B1876" s="17"/>
      <c r="C1876" s="4"/>
      <c r="D1876" s="4"/>
      <c r="E1876" s="4"/>
      <c r="F1876" s="4"/>
      <c r="G1876" s="17"/>
      <c r="H1876" s="4"/>
      <c r="I1876" s="4"/>
      <c r="J1876" s="4"/>
      <c r="K1876" s="6"/>
      <c r="L1876" s="17"/>
      <c r="M1876" s="4"/>
      <c r="N1876" s="6"/>
      <c r="O1876" s="4"/>
      <c r="P1876" s="4"/>
      <c r="Q1876" s="4"/>
      <c r="R1876" s="4"/>
      <c r="S1876" s="4"/>
      <c r="T1876" s="4"/>
      <c r="U1876" s="4"/>
    </row>
    <row r="1877">
      <c r="A1877" s="4"/>
      <c r="B1877" s="17"/>
      <c r="C1877" s="4"/>
      <c r="D1877" s="4"/>
      <c r="E1877" s="4"/>
      <c r="F1877" s="4"/>
      <c r="G1877" s="17"/>
      <c r="H1877" s="4"/>
      <c r="I1877" s="4"/>
      <c r="J1877" s="4"/>
      <c r="K1877" s="6"/>
      <c r="L1877" s="17"/>
      <c r="M1877" s="4"/>
      <c r="N1877" s="6"/>
      <c r="O1877" s="4"/>
      <c r="P1877" s="4"/>
      <c r="Q1877" s="4"/>
      <c r="R1877" s="4"/>
      <c r="S1877" s="4"/>
      <c r="T1877" s="4"/>
      <c r="U1877" s="4"/>
    </row>
    <row r="1878">
      <c r="A1878" s="4"/>
      <c r="B1878" s="17"/>
      <c r="C1878" s="4"/>
      <c r="D1878" s="4"/>
      <c r="E1878" s="4"/>
      <c r="F1878" s="4"/>
      <c r="G1878" s="17"/>
      <c r="H1878" s="4"/>
      <c r="I1878" s="4"/>
      <c r="J1878" s="4"/>
      <c r="K1878" s="6"/>
      <c r="L1878" s="17"/>
      <c r="M1878" s="4"/>
      <c r="N1878" s="6"/>
      <c r="O1878" s="4"/>
      <c r="P1878" s="4"/>
      <c r="Q1878" s="4"/>
      <c r="R1878" s="4"/>
      <c r="S1878" s="4"/>
      <c r="T1878" s="4"/>
      <c r="U1878" s="4"/>
    </row>
    <row r="1879">
      <c r="A1879" s="4"/>
      <c r="B1879" s="17"/>
      <c r="C1879" s="4"/>
      <c r="D1879" s="4"/>
      <c r="E1879" s="4"/>
      <c r="F1879" s="4"/>
      <c r="G1879" s="17"/>
      <c r="H1879" s="4"/>
      <c r="I1879" s="4"/>
      <c r="J1879" s="4"/>
      <c r="K1879" s="6"/>
      <c r="L1879" s="17"/>
      <c r="M1879" s="4"/>
      <c r="N1879" s="6"/>
      <c r="O1879" s="4"/>
      <c r="P1879" s="4"/>
      <c r="Q1879" s="4"/>
      <c r="R1879" s="4"/>
      <c r="S1879" s="4"/>
      <c r="T1879" s="4"/>
      <c r="U1879" s="4"/>
    </row>
    <row r="1880">
      <c r="A1880" s="4"/>
      <c r="B1880" s="17"/>
      <c r="C1880" s="4"/>
      <c r="D1880" s="4"/>
      <c r="E1880" s="4"/>
      <c r="F1880" s="4"/>
      <c r="G1880" s="17"/>
      <c r="H1880" s="4"/>
      <c r="I1880" s="4"/>
      <c r="J1880" s="4"/>
      <c r="K1880" s="6"/>
      <c r="L1880" s="17"/>
      <c r="M1880" s="4"/>
      <c r="N1880" s="6"/>
      <c r="O1880" s="4"/>
      <c r="P1880" s="4"/>
      <c r="Q1880" s="4"/>
      <c r="R1880" s="4"/>
      <c r="S1880" s="4"/>
      <c r="T1880" s="4"/>
      <c r="U1880" s="4"/>
    </row>
    <row r="1881">
      <c r="A1881" s="4"/>
      <c r="B1881" s="17"/>
      <c r="C1881" s="4"/>
      <c r="D1881" s="4"/>
      <c r="E1881" s="4"/>
      <c r="F1881" s="4"/>
      <c r="G1881" s="17"/>
      <c r="H1881" s="4"/>
      <c r="I1881" s="4"/>
      <c r="J1881" s="4"/>
      <c r="K1881" s="6"/>
      <c r="L1881" s="17"/>
      <c r="M1881" s="4"/>
      <c r="N1881" s="6"/>
      <c r="O1881" s="4"/>
      <c r="P1881" s="4"/>
      <c r="Q1881" s="4"/>
      <c r="R1881" s="4"/>
      <c r="S1881" s="4"/>
      <c r="T1881" s="4"/>
      <c r="U1881" s="4"/>
    </row>
    <row r="1882">
      <c r="A1882" s="4"/>
      <c r="B1882" s="17"/>
      <c r="C1882" s="4"/>
      <c r="D1882" s="4"/>
      <c r="E1882" s="4"/>
      <c r="F1882" s="4"/>
      <c r="G1882" s="17"/>
      <c r="H1882" s="4"/>
      <c r="I1882" s="4"/>
      <c r="J1882" s="4"/>
      <c r="K1882" s="6"/>
      <c r="L1882" s="17"/>
      <c r="M1882" s="4"/>
      <c r="N1882" s="6"/>
      <c r="O1882" s="4"/>
      <c r="P1882" s="4"/>
      <c r="Q1882" s="4"/>
      <c r="R1882" s="4"/>
      <c r="S1882" s="4"/>
      <c r="T1882" s="4"/>
      <c r="U1882" s="4"/>
    </row>
    <row r="1883">
      <c r="A1883" s="4"/>
      <c r="B1883" s="17"/>
      <c r="C1883" s="4"/>
      <c r="D1883" s="4"/>
      <c r="E1883" s="4"/>
      <c r="F1883" s="4"/>
      <c r="G1883" s="17"/>
      <c r="H1883" s="4"/>
      <c r="I1883" s="4"/>
      <c r="J1883" s="4"/>
      <c r="K1883" s="6"/>
      <c r="L1883" s="17"/>
      <c r="M1883" s="4"/>
      <c r="N1883" s="6"/>
      <c r="O1883" s="4"/>
      <c r="P1883" s="4"/>
      <c r="Q1883" s="4"/>
      <c r="R1883" s="4"/>
      <c r="S1883" s="4"/>
      <c r="T1883" s="4"/>
      <c r="U1883" s="4"/>
    </row>
    <row r="1884">
      <c r="A1884" s="4"/>
      <c r="B1884" s="17"/>
      <c r="C1884" s="4"/>
      <c r="D1884" s="4"/>
      <c r="E1884" s="4"/>
      <c r="F1884" s="4"/>
      <c r="G1884" s="17"/>
      <c r="H1884" s="4"/>
      <c r="I1884" s="4"/>
      <c r="J1884" s="4"/>
      <c r="K1884" s="6"/>
      <c r="L1884" s="17"/>
      <c r="M1884" s="4"/>
      <c r="N1884" s="6"/>
      <c r="O1884" s="4"/>
      <c r="P1884" s="4"/>
      <c r="Q1884" s="4"/>
      <c r="R1884" s="4"/>
      <c r="S1884" s="4"/>
      <c r="T1884" s="4"/>
      <c r="U1884" s="4"/>
    </row>
    <row r="1885">
      <c r="A1885" s="4"/>
      <c r="B1885" s="17"/>
      <c r="C1885" s="4"/>
      <c r="D1885" s="4"/>
      <c r="E1885" s="4"/>
      <c r="F1885" s="4"/>
      <c r="G1885" s="17"/>
      <c r="H1885" s="4"/>
      <c r="I1885" s="4"/>
      <c r="J1885" s="4"/>
      <c r="K1885" s="6"/>
      <c r="L1885" s="17"/>
      <c r="M1885" s="4"/>
      <c r="N1885" s="6"/>
      <c r="O1885" s="4"/>
      <c r="P1885" s="4"/>
      <c r="Q1885" s="4"/>
      <c r="R1885" s="4"/>
      <c r="S1885" s="4"/>
      <c r="T1885" s="4"/>
      <c r="U1885" s="4"/>
    </row>
    <row r="1886">
      <c r="A1886" s="4"/>
      <c r="B1886" s="17"/>
      <c r="C1886" s="4"/>
      <c r="D1886" s="4"/>
      <c r="E1886" s="4"/>
      <c r="F1886" s="4"/>
      <c r="G1886" s="17"/>
      <c r="H1886" s="4"/>
      <c r="I1886" s="4"/>
      <c r="J1886" s="4"/>
      <c r="K1886" s="6"/>
      <c r="L1886" s="17"/>
      <c r="M1886" s="4"/>
      <c r="N1886" s="6"/>
      <c r="O1886" s="4"/>
      <c r="P1886" s="4"/>
      <c r="Q1886" s="4"/>
      <c r="R1886" s="4"/>
      <c r="S1886" s="4"/>
      <c r="T1886" s="4"/>
      <c r="U1886" s="4"/>
    </row>
    <row r="1887">
      <c r="A1887" s="4"/>
      <c r="B1887" s="17"/>
      <c r="C1887" s="4"/>
      <c r="D1887" s="4"/>
      <c r="E1887" s="4"/>
      <c r="F1887" s="4"/>
      <c r="G1887" s="17"/>
      <c r="H1887" s="4"/>
      <c r="I1887" s="4"/>
      <c r="J1887" s="4"/>
      <c r="K1887" s="6"/>
      <c r="L1887" s="17"/>
      <c r="M1887" s="4"/>
      <c r="N1887" s="6"/>
      <c r="O1887" s="4"/>
      <c r="P1887" s="4"/>
      <c r="Q1887" s="4"/>
      <c r="R1887" s="4"/>
      <c r="S1887" s="4"/>
      <c r="T1887" s="4"/>
      <c r="U1887" s="4"/>
    </row>
    <row r="1888">
      <c r="A1888" s="4"/>
      <c r="B1888" s="17"/>
      <c r="C1888" s="4"/>
      <c r="D1888" s="4"/>
      <c r="E1888" s="4"/>
      <c r="F1888" s="4"/>
      <c r="G1888" s="17"/>
      <c r="H1888" s="4"/>
      <c r="I1888" s="4"/>
      <c r="J1888" s="4"/>
      <c r="K1888" s="6"/>
      <c r="L1888" s="17"/>
      <c r="M1888" s="4"/>
      <c r="N1888" s="6"/>
      <c r="O1888" s="4"/>
      <c r="P1888" s="4"/>
      <c r="Q1888" s="4"/>
      <c r="R1888" s="4"/>
      <c r="S1888" s="4"/>
      <c r="T1888" s="4"/>
      <c r="U1888" s="4"/>
    </row>
    <row r="1889">
      <c r="A1889" s="4"/>
      <c r="B1889" s="17"/>
      <c r="C1889" s="4"/>
      <c r="D1889" s="4"/>
      <c r="E1889" s="4"/>
      <c r="F1889" s="4"/>
      <c r="G1889" s="17"/>
      <c r="H1889" s="4"/>
      <c r="I1889" s="4"/>
      <c r="J1889" s="4"/>
      <c r="K1889" s="6"/>
      <c r="L1889" s="17"/>
      <c r="M1889" s="4"/>
      <c r="N1889" s="6"/>
      <c r="O1889" s="4"/>
      <c r="P1889" s="4"/>
      <c r="Q1889" s="4"/>
      <c r="R1889" s="4"/>
      <c r="S1889" s="4"/>
      <c r="T1889" s="4"/>
      <c r="U1889" s="4"/>
    </row>
    <row r="1890">
      <c r="A1890" s="4"/>
      <c r="B1890" s="17"/>
      <c r="C1890" s="4"/>
      <c r="D1890" s="4"/>
      <c r="E1890" s="4"/>
      <c r="F1890" s="4"/>
      <c r="G1890" s="17"/>
      <c r="H1890" s="4"/>
      <c r="I1890" s="4"/>
      <c r="J1890" s="4"/>
      <c r="K1890" s="6"/>
      <c r="L1890" s="17"/>
      <c r="M1890" s="4"/>
      <c r="N1890" s="6"/>
      <c r="O1890" s="4"/>
      <c r="P1890" s="4"/>
      <c r="Q1890" s="4"/>
      <c r="R1890" s="4"/>
      <c r="S1890" s="4"/>
      <c r="T1890" s="4"/>
      <c r="U1890" s="4"/>
    </row>
    <row r="1891">
      <c r="A1891" s="4"/>
      <c r="B1891" s="17"/>
      <c r="C1891" s="4"/>
      <c r="D1891" s="4"/>
      <c r="E1891" s="4"/>
      <c r="F1891" s="4"/>
      <c r="G1891" s="17"/>
      <c r="H1891" s="4"/>
      <c r="I1891" s="4"/>
      <c r="J1891" s="4"/>
      <c r="K1891" s="6"/>
      <c r="L1891" s="17"/>
      <c r="M1891" s="4"/>
      <c r="N1891" s="6"/>
      <c r="O1891" s="4"/>
      <c r="P1891" s="4"/>
      <c r="Q1891" s="4"/>
      <c r="R1891" s="4"/>
      <c r="S1891" s="4"/>
      <c r="T1891" s="4"/>
      <c r="U1891" s="4"/>
    </row>
    <row r="1892">
      <c r="A1892" s="4"/>
      <c r="B1892" s="17"/>
      <c r="C1892" s="4"/>
      <c r="D1892" s="4"/>
      <c r="E1892" s="4"/>
      <c r="F1892" s="4"/>
      <c r="G1892" s="17"/>
      <c r="H1892" s="4"/>
      <c r="I1892" s="4"/>
      <c r="J1892" s="4"/>
      <c r="K1892" s="6"/>
      <c r="L1892" s="17"/>
      <c r="M1892" s="4"/>
      <c r="N1892" s="6"/>
      <c r="O1892" s="4"/>
      <c r="P1892" s="4"/>
      <c r="Q1892" s="4"/>
      <c r="R1892" s="4"/>
      <c r="S1892" s="4"/>
      <c r="T1892" s="4"/>
      <c r="U1892" s="4"/>
    </row>
    <row r="1893">
      <c r="A1893" s="4"/>
      <c r="B1893" s="17"/>
      <c r="C1893" s="4"/>
      <c r="D1893" s="4"/>
      <c r="E1893" s="4"/>
      <c r="F1893" s="4"/>
      <c r="G1893" s="17"/>
      <c r="H1893" s="4"/>
      <c r="I1893" s="4"/>
      <c r="J1893" s="4"/>
      <c r="K1893" s="6"/>
      <c r="L1893" s="17"/>
      <c r="M1893" s="4"/>
      <c r="N1893" s="6"/>
      <c r="O1893" s="4"/>
      <c r="P1893" s="4"/>
      <c r="Q1893" s="4"/>
      <c r="R1893" s="4"/>
      <c r="S1893" s="4"/>
      <c r="T1893" s="4"/>
      <c r="U1893" s="4"/>
    </row>
    <row r="1894">
      <c r="A1894" s="4"/>
      <c r="B1894" s="17"/>
      <c r="C1894" s="4"/>
      <c r="D1894" s="4"/>
      <c r="E1894" s="4"/>
      <c r="F1894" s="4"/>
      <c r="G1894" s="17"/>
      <c r="H1894" s="4"/>
      <c r="I1894" s="4"/>
      <c r="J1894" s="4"/>
      <c r="K1894" s="6"/>
      <c r="L1894" s="17"/>
      <c r="M1894" s="4"/>
      <c r="N1894" s="6"/>
      <c r="O1894" s="4"/>
      <c r="P1894" s="4"/>
      <c r="Q1894" s="4"/>
      <c r="R1894" s="4"/>
      <c r="S1894" s="4"/>
      <c r="T1894" s="4"/>
      <c r="U1894" s="4"/>
    </row>
    <row r="1895">
      <c r="A1895" s="4"/>
      <c r="B1895" s="17"/>
      <c r="C1895" s="4"/>
      <c r="D1895" s="4"/>
      <c r="E1895" s="4"/>
      <c r="F1895" s="4"/>
      <c r="G1895" s="17"/>
      <c r="H1895" s="4"/>
      <c r="I1895" s="4"/>
      <c r="J1895" s="4"/>
      <c r="K1895" s="6"/>
      <c r="L1895" s="17"/>
      <c r="M1895" s="4"/>
      <c r="N1895" s="6"/>
      <c r="O1895" s="4"/>
      <c r="P1895" s="4"/>
      <c r="Q1895" s="4"/>
      <c r="R1895" s="4"/>
      <c r="S1895" s="4"/>
      <c r="T1895" s="4"/>
      <c r="U1895" s="4"/>
    </row>
    <row r="1896">
      <c r="A1896" s="4"/>
      <c r="B1896" s="17"/>
      <c r="C1896" s="4"/>
      <c r="D1896" s="4"/>
      <c r="E1896" s="4"/>
      <c r="F1896" s="4"/>
      <c r="G1896" s="17"/>
      <c r="H1896" s="4"/>
      <c r="I1896" s="4"/>
      <c r="J1896" s="4"/>
      <c r="K1896" s="6"/>
      <c r="L1896" s="17"/>
      <c r="M1896" s="4"/>
      <c r="N1896" s="6"/>
      <c r="O1896" s="4"/>
      <c r="P1896" s="4"/>
      <c r="Q1896" s="4"/>
      <c r="R1896" s="4"/>
      <c r="S1896" s="4"/>
      <c r="T1896" s="4"/>
      <c r="U1896" s="4"/>
    </row>
    <row r="1897">
      <c r="A1897" s="4"/>
      <c r="B1897" s="17"/>
      <c r="C1897" s="4"/>
      <c r="D1897" s="4"/>
      <c r="E1897" s="4"/>
      <c r="F1897" s="4"/>
      <c r="G1897" s="17"/>
      <c r="H1897" s="4"/>
      <c r="I1897" s="4"/>
      <c r="J1897" s="4"/>
      <c r="K1897" s="6"/>
      <c r="L1897" s="17"/>
      <c r="M1897" s="4"/>
      <c r="N1897" s="6"/>
      <c r="O1897" s="4"/>
      <c r="P1897" s="4"/>
      <c r="Q1897" s="4"/>
      <c r="R1897" s="4"/>
      <c r="S1897" s="4"/>
      <c r="T1897" s="4"/>
      <c r="U1897" s="4"/>
    </row>
    <row r="1898">
      <c r="A1898" s="4"/>
      <c r="B1898" s="17"/>
      <c r="C1898" s="4"/>
      <c r="D1898" s="4"/>
      <c r="E1898" s="4"/>
      <c r="F1898" s="4"/>
      <c r="G1898" s="17"/>
      <c r="H1898" s="4"/>
      <c r="I1898" s="4"/>
      <c r="J1898" s="4"/>
      <c r="K1898" s="6"/>
      <c r="L1898" s="17"/>
      <c r="M1898" s="4"/>
      <c r="N1898" s="6"/>
      <c r="O1898" s="4"/>
      <c r="P1898" s="4"/>
      <c r="Q1898" s="4"/>
      <c r="R1898" s="4"/>
      <c r="S1898" s="4"/>
      <c r="T1898" s="4"/>
      <c r="U1898" s="4"/>
    </row>
    <row r="1899">
      <c r="A1899" s="4"/>
      <c r="B1899" s="17"/>
      <c r="C1899" s="4"/>
      <c r="D1899" s="4"/>
      <c r="E1899" s="4"/>
      <c r="F1899" s="4"/>
      <c r="G1899" s="17"/>
      <c r="H1899" s="4"/>
      <c r="I1899" s="4"/>
      <c r="J1899" s="4"/>
      <c r="K1899" s="6"/>
      <c r="L1899" s="17"/>
      <c r="M1899" s="4"/>
      <c r="N1899" s="6"/>
      <c r="O1899" s="4"/>
      <c r="P1899" s="4"/>
      <c r="Q1899" s="4"/>
      <c r="R1899" s="4"/>
      <c r="S1899" s="4"/>
      <c r="T1899" s="4"/>
      <c r="U1899" s="4"/>
    </row>
    <row r="1900">
      <c r="A1900" s="4"/>
      <c r="B1900" s="17"/>
      <c r="C1900" s="4"/>
      <c r="D1900" s="4"/>
      <c r="E1900" s="4"/>
      <c r="F1900" s="4"/>
      <c r="G1900" s="17"/>
      <c r="H1900" s="4"/>
      <c r="I1900" s="4"/>
      <c r="J1900" s="4"/>
      <c r="K1900" s="6"/>
      <c r="L1900" s="17"/>
      <c r="M1900" s="4"/>
      <c r="N1900" s="6"/>
      <c r="O1900" s="4"/>
      <c r="P1900" s="4"/>
      <c r="Q1900" s="4"/>
      <c r="R1900" s="4"/>
      <c r="S1900" s="4"/>
      <c r="T1900" s="4"/>
      <c r="U1900" s="4"/>
    </row>
    <row r="1901">
      <c r="A1901" s="4"/>
      <c r="B1901" s="17"/>
      <c r="C1901" s="4"/>
      <c r="D1901" s="4"/>
      <c r="E1901" s="4"/>
      <c r="F1901" s="4"/>
      <c r="G1901" s="17"/>
      <c r="H1901" s="4"/>
      <c r="I1901" s="4"/>
      <c r="J1901" s="4"/>
      <c r="K1901" s="6"/>
      <c r="L1901" s="17"/>
      <c r="M1901" s="4"/>
      <c r="N1901" s="6"/>
      <c r="O1901" s="4"/>
      <c r="P1901" s="4"/>
      <c r="Q1901" s="4"/>
      <c r="R1901" s="4"/>
      <c r="S1901" s="4"/>
      <c r="T1901" s="4"/>
      <c r="U1901" s="4"/>
    </row>
    <row r="1902">
      <c r="A1902" s="4"/>
      <c r="B1902" s="17"/>
      <c r="C1902" s="4"/>
      <c r="D1902" s="4"/>
      <c r="E1902" s="4"/>
      <c r="F1902" s="4"/>
      <c r="G1902" s="17"/>
      <c r="H1902" s="4"/>
      <c r="I1902" s="4"/>
      <c r="J1902" s="4"/>
      <c r="K1902" s="6"/>
      <c r="L1902" s="17"/>
      <c r="M1902" s="4"/>
      <c r="N1902" s="6"/>
      <c r="O1902" s="4"/>
      <c r="P1902" s="4"/>
      <c r="Q1902" s="4"/>
      <c r="R1902" s="4"/>
      <c r="S1902" s="4"/>
      <c r="T1902" s="4"/>
      <c r="U1902" s="4"/>
    </row>
    <row r="1903">
      <c r="A1903" s="4"/>
      <c r="B1903" s="17"/>
      <c r="C1903" s="4"/>
      <c r="D1903" s="4"/>
      <c r="E1903" s="4"/>
      <c r="F1903" s="4"/>
      <c r="G1903" s="17"/>
      <c r="H1903" s="4"/>
      <c r="I1903" s="4"/>
      <c r="J1903" s="4"/>
      <c r="K1903" s="6"/>
      <c r="L1903" s="17"/>
      <c r="M1903" s="4"/>
      <c r="N1903" s="6"/>
      <c r="O1903" s="4"/>
      <c r="P1903" s="4"/>
      <c r="Q1903" s="4"/>
      <c r="R1903" s="4"/>
      <c r="S1903" s="4"/>
      <c r="T1903" s="4"/>
      <c r="U1903" s="4"/>
    </row>
    <row r="1904">
      <c r="A1904" s="4"/>
      <c r="B1904" s="17"/>
      <c r="C1904" s="4"/>
      <c r="D1904" s="4"/>
      <c r="E1904" s="4"/>
      <c r="F1904" s="4"/>
      <c r="G1904" s="17"/>
      <c r="H1904" s="4"/>
      <c r="I1904" s="4"/>
      <c r="J1904" s="4"/>
      <c r="K1904" s="6"/>
      <c r="L1904" s="17"/>
      <c r="M1904" s="4"/>
      <c r="N1904" s="6"/>
      <c r="O1904" s="4"/>
      <c r="P1904" s="4"/>
      <c r="Q1904" s="4"/>
      <c r="R1904" s="4"/>
      <c r="S1904" s="4"/>
      <c r="T1904" s="4"/>
      <c r="U1904" s="4"/>
    </row>
    <row r="1905">
      <c r="A1905" s="4"/>
      <c r="B1905" s="17"/>
      <c r="C1905" s="4"/>
      <c r="D1905" s="4"/>
      <c r="E1905" s="4"/>
      <c r="F1905" s="4"/>
      <c r="G1905" s="17"/>
      <c r="H1905" s="4"/>
      <c r="I1905" s="4"/>
      <c r="J1905" s="4"/>
      <c r="K1905" s="6"/>
      <c r="L1905" s="17"/>
      <c r="M1905" s="4"/>
      <c r="N1905" s="6"/>
      <c r="O1905" s="4"/>
      <c r="P1905" s="4"/>
      <c r="Q1905" s="4"/>
      <c r="R1905" s="4"/>
      <c r="S1905" s="4"/>
      <c r="T1905" s="4"/>
      <c r="U1905" s="4"/>
    </row>
    <row r="1906">
      <c r="A1906" s="4"/>
      <c r="B1906" s="17"/>
      <c r="C1906" s="4"/>
      <c r="D1906" s="4"/>
      <c r="E1906" s="4"/>
      <c r="F1906" s="4"/>
      <c r="G1906" s="17"/>
      <c r="H1906" s="4"/>
      <c r="I1906" s="4"/>
      <c r="J1906" s="4"/>
      <c r="K1906" s="6"/>
      <c r="L1906" s="17"/>
      <c r="M1906" s="4"/>
      <c r="N1906" s="6"/>
      <c r="O1906" s="4"/>
      <c r="P1906" s="4"/>
      <c r="Q1906" s="4"/>
      <c r="R1906" s="4"/>
      <c r="S1906" s="4"/>
      <c r="T1906" s="4"/>
      <c r="U1906" s="4"/>
    </row>
    <row r="1907">
      <c r="A1907" s="4"/>
      <c r="B1907" s="17"/>
      <c r="C1907" s="4"/>
      <c r="D1907" s="4"/>
      <c r="E1907" s="4"/>
      <c r="F1907" s="4"/>
      <c r="G1907" s="17"/>
      <c r="H1907" s="4"/>
      <c r="I1907" s="4"/>
      <c r="J1907" s="4"/>
      <c r="K1907" s="6"/>
      <c r="L1907" s="17"/>
      <c r="M1907" s="4"/>
      <c r="N1907" s="6"/>
      <c r="O1907" s="4"/>
      <c r="P1907" s="4"/>
      <c r="Q1907" s="4"/>
      <c r="R1907" s="4"/>
      <c r="S1907" s="4"/>
      <c r="T1907" s="4"/>
      <c r="U1907" s="4"/>
    </row>
    <row r="1908">
      <c r="A1908" s="4"/>
      <c r="B1908" s="17"/>
      <c r="C1908" s="4"/>
      <c r="D1908" s="4"/>
      <c r="E1908" s="4"/>
      <c r="F1908" s="4"/>
      <c r="G1908" s="17"/>
      <c r="H1908" s="4"/>
      <c r="I1908" s="4"/>
      <c r="J1908" s="4"/>
      <c r="K1908" s="6"/>
      <c r="L1908" s="17"/>
      <c r="M1908" s="4"/>
      <c r="N1908" s="6"/>
      <c r="O1908" s="4"/>
      <c r="P1908" s="4"/>
      <c r="Q1908" s="4"/>
      <c r="R1908" s="4"/>
      <c r="S1908" s="4"/>
      <c r="T1908" s="4"/>
      <c r="U1908" s="4"/>
    </row>
    <row r="1909">
      <c r="A1909" s="4"/>
      <c r="B1909" s="17"/>
      <c r="C1909" s="4"/>
      <c r="D1909" s="4"/>
      <c r="E1909" s="4"/>
      <c r="F1909" s="4"/>
      <c r="G1909" s="17"/>
      <c r="H1909" s="4"/>
      <c r="I1909" s="4"/>
      <c r="J1909" s="4"/>
      <c r="K1909" s="6"/>
      <c r="L1909" s="17"/>
      <c r="M1909" s="4"/>
      <c r="N1909" s="6"/>
      <c r="O1909" s="4"/>
      <c r="P1909" s="4"/>
      <c r="Q1909" s="4"/>
      <c r="R1909" s="4"/>
      <c r="S1909" s="4"/>
      <c r="T1909" s="4"/>
      <c r="U1909" s="4"/>
    </row>
    <row r="1910">
      <c r="A1910" s="4"/>
      <c r="B1910" s="17"/>
      <c r="C1910" s="4"/>
      <c r="D1910" s="4"/>
      <c r="E1910" s="4"/>
      <c r="F1910" s="4"/>
      <c r="G1910" s="17"/>
      <c r="H1910" s="4"/>
      <c r="I1910" s="4"/>
      <c r="J1910" s="4"/>
      <c r="K1910" s="6"/>
      <c r="L1910" s="17"/>
      <c r="M1910" s="4"/>
      <c r="N1910" s="6"/>
      <c r="O1910" s="4"/>
      <c r="P1910" s="4"/>
      <c r="Q1910" s="4"/>
      <c r="R1910" s="4"/>
      <c r="S1910" s="4"/>
      <c r="T1910" s="4"/>
      <c r="U1910" s="4"/>
    </row>
    <row r="1911">
      <c r="A1911" s="4"/>
      <c r="B1911" s="17"/>
      <c r="C1911" s="4"/>
      <c r="D1911" s="4"/>
      <c r="E1911" s="4"/>
      <c r="F1911" s="4"/>
      <c r="G1911" s="17"/>
      <c r="H1911" s="4"/>
      <c r="I1911" s="4"/>
      <c r="J1911" s="4"/>
      <c r="K1911" s="6"/>
      <c r="L1911" s="17"/>
      <c r="M1911" s="4"/>
      <c r="N1911" s="6"/>
      <c r="O1911" s="4"/>
      <c r="P1911" s="4"/>
      <c r="Q1911" s="4"/>
      <c r="R1911" s="4"/>
      <c r="S1911" s="4"/>
      <c r="T1911" s="4"/>
      <c r="U1911" s="4"/>
    </row>
    <row r="1912">
      <c r="A1912" s="4"/>
      <c r="B1912" s="17"/>
      <c r="C1912" s="4"/>
      <c r="D1912" s="4"/>
      <c r="E1912" s="4"/>
      <c r="F1912" s="4"/>
      <c r="G1912" s="17"/>
      <c r="H1912" s="4"/>
      <c r="I1912" s="4"/>
      <c r="J1912" s="4"/>
      <c r="K1912" s="6"/>
      <c r="L1912" s="17"/>
      <c r="M1912" s="4"/>
      <c r="N1912" s="6"/>
      <c r="O1912" s="4"/>
      <c r="P1912" s="4"/>
      <c r="Q1912" s="4"/>
      <c r="R1912" s="4"/>
      <c r="S1912" s="4"/>
      <c r="T1912" s="4"/>
      <c r="U1912" s="4"/>
    </row>
    <row r="1913">
      <c r="A1913" s="4"/>
      <c r="B1913" s="17"/>
      <c r="C1913" s="4"/>
      <c r="D1913" s="4"/>
      <c r="E1913" s="4"/>
      <c r="F1913" s="4"/>
      <c r="G1913" s="17"/>
      <c r="H1913" s="4"/>
      <c r="I1913" s="4"/>
      <c r="J1913" s="4"/>
      <c r="K1913" s="6"/>
      <c r="L1913" s="17"/>
      <c r="M1913" s="4"/>
      <c r="N1913" s="6"/>
      <c r="O1913" s="4"/>
      <c r="P1913" s="4"/>
      <c r="Q1913" s="4"/>
      <c r="R1913" s="4"/>
      <c r="S1913" s="4"/>
      <c r="T1913" s="4"/>
      <c r="U1913" s="4"/>
    </row>
    <row r="1914">
      <c r="A1914" s="4"/>
      <c r="B1914" s="17"/>
      <c r="C1914" s="4"/>
      <c r="D1914" s="4"/>
      <c r="E1914" s="4"/>
      <c r="F1914" s="4"/>
      <c r="G1914" s="17"/>
      <c r="H1914" s="4"/>
      <c r="I1914" s="4"/>
      <c r="J1914" s="4"/>
      <c r="K1914" s="6"/>
      <c r="L1914" s="17"/>
      <c r="M1914" s="4"/>
      <c r="N1914" s="6"/>
      <c r="O1914" s="4"/>
      <c r="P1914" s="4"/>
      <c r="Q1914" s="4"/>
      <c r="R1914" s="4"/>
      <c r="S1914" s="4"/>
      <c r="T1914" s="4"/>
      <c r="U1914" s="4"/>
    </row>
    <row r="1915">
      <c r="A1915" s="4"/>
      <c r="B1915" s="17"/>
      <c r="C1915" s="4"/>
      <c r="D1915" s="4"/>
      <c r="E1915" s="4"/>
      <c r="F1915" s="4"/>
      <c r="G1915" s="17"/>
      <c r="H1915" s="4"/>
      <c r="I1915" s="4"/>
      <c r="J1915" s="4"/>
      <c r="K1915" s="6"/>
      <c r="L1915" s="17"/>
      <c r="M1915" s="4"/>
      <c r="N1915" s="6"/>
      <c r="O1915" s="4"/>
      <c r="P1915" s="4"/>
      <c r="Q1915" s="4"/>
      <c r="R1915" s="4"/>
      <c r="S1915" s="4"/>
      <c r="T1915" s="4"/>
      <c r="U1915" s="4"/>
    </row>
    <row r="1916">
      <c r="A1916" s="4"/>
      <c r="B1916" s="17"/>
      <c r="C1916" s="4"/>
      <c r="D1916" s="4"/>
      <c r="E1916" s="4"/>
      <c r="F1916" s="4"/>
      <c r="G1916" s="17"/>
      <c r="H1916" s="4"/>
      <c r="I1916" s="4"/>
      <c r="J1916" s="4"/>
      <c r="K1916" s="6"/>
      <c r="L1916" s="17"/>
      <c r="M1916" s="4"/>
      <c r="N1916" s="6"/>
      <c r="O1916" s="4"/>
      <c r="P1916" s="4"/>
      <c r="Q1916" s="4"/>
      <c r="R1916" s="4"/>
      <c r="S1916" s="4"/>
      <c r="T1916" s="4"/>
      <c r="U1916" s="4"/>
    </row>
    <row r="1917">
      <c r="A1917" s="4"/>
      <c r="B1917" s="17"/>
      <c r="C1917" s="4"/>
      <c r="D1917" s="4"/>
      <c r="E1917" s="4"/>
      <c r="F1917" s="4"/>
      <c r="G1917" s="17"/>
      <c r="H1917" s="4"/>
      <c r="I1917" s="4"/>
      <c r="J1917" s="4"/>
      <c r="K1917" s="6"/>
      <c r="L1917" s="17"/>
      <c r="M1917" s="4"/>
      <c r="N1917" s="6"/>
      <c r="O1917" s="4"/>
      <c r="P1917" s="4"/>
      <c r="Q1917" s="4"/>
      <c r="R1917" s="4"/>
      <c r="S1917" s="4"/>
      <c r="T1917" s="4"/>
      <c r="U1917" s="4"/>
    </row>
    <row r="1918">
      <c r="A1918" s="4"/>
      <c r="B1918" s="17"/>
      <c r="C1918" s="4"/>
      <c r="D1918" s="4"/>
      <c r="E1918" s="4"/>
      <c r="F1918" s="4"/>
      <c r="G1918" s="17"/>
      <c r="H1918" s="4"/>
      <c r="I1918" s="4"/>
      <c r="J1918" s="4"/>
      <c r="K1918" s="6"/>
      <c r="L1918" s="17"/>
      <c r="M1918" s="4"/>
      <c r="N1918" s="6"/>
      <c r="O1918" s="4"/>
      <c r="P1918" s="4"/>
      <c r="Q1918" s="4"/>
      <c r="R1918" s="4"/>
      <c r="S1918" s="4"/>
      <c r="T1918" s="4"/>
      <c r="U1918" s="4"/>
    </row>
    <row r="1919">
      <c r="A1919" s="4"/>
      <c r="B1919" s="17"/>
      <c r="C1919" s="4"/>
      <c r="D1919" s="4"/>
      <c r="E1919" s="4"/>
      <c r="F1919" s="4"/>
      <c r="G1919" s="17"/>
      <c r="H1919" s="4"/>
      <c r="I1919" s="4"/>
      <c r="J1919" s="4"/>
      <c r="K1919" s="6"/>
      <c r="L1919" s="17"/>
      <c r="M1919" s="4"/>
      <c r="N1919" s="6"/>
      <c r="O1919" s="4"/>
      <c r="P1919" s="4"/>
      <c r="Q1919" s="4"/>
      <c r="R1919" s="4"/>
      <c r="S1919" s="4"/>
      <c r="T1919" s="4"/>
      <c r="U1919" s="4"/>
    </row>
    <row r="1920">
      <c r="A1920" s="4"/>
      <c r="B1920" s="17"/>
      <c r="C1920" s="4"/>
      <c r="D1920" s="4"/>
      <c r="E1920" s="4"/>
      <c r="F1920" s="4"/>
      <c r="G1920" s="17"/>
      <c r="H1920" s="4"/>
      <c r="I1920" s="4"/>
      <c r="J1920" s="4"/>
      <c r="K1920" s="6"/>
      <c r="L1920" s="17"/>
      <c r="M1920" s="4"/>
      <c r="N1920" s="6"/>
      <c r="O1920" s="4"/>
      <c r="P1920" s="4"/>
      <c r="Q1920" s="4"/>
      <c r="R1920" s="4"/>
      <c r="S1920" s="4"/>
      <c r="T1920" s="4"/>
      <c r="U1920" s="4"/>
    </row>
    <row r="1921">
      <c r="A1921" s="4"/>
      <c r="B1921" s="17"/>
      <c r="C1921" s="4"/>
      <c r="D1921" s="4"/>
      <c r="E1921" s="4"/>
      <c r="F1921" s="4"/>
      <c r="G1921" s="17"/>
      <c r="H1921" s="4"/>
      <c r="I1921" s="4"/>
      <c r="J1921" s="4"/>
      <c r="K1921" s="6"/>
      <c r="L1921" s="17"/>
      <c r="M1921" s="4"/>
      <c r="N1921" s="6"/>
      <c r="O1921" s="4"/>
      <c r="P1921" s="4"/>
      <c r="Q1921" s="4"/>
      <c r="R1921" s="4"/>
      <c r="S1921" s="4"/>
      <c r="T1921" s="4"/>
      <c r="U1921" s="4"/>
    </row>
    <row r="1922">
      <c r="A1922" s="4"/>
      <c r="B1922" s="17"/>
      <c r="C1922" s="4"/>
      <c r="D1922" s="4"/>
      <c r="E1922" s="4"/>
      <c r="F1922" s="4"/>
      <c r="G1922" s="17"/>
      <c r="H1922" s="4"/>
      <c r="I1922" s="4"/>
      <c r="J1922" s="4"/>
      <c r="K1922" s="6"/>
      <c r="L1922" s="17"/>
      <c r="M1922" s="4"/>
      <c r="N1922" s="6"/>
      <c r="O1922" s="4"/>
      <c r="P1922" s="4"/>
      <c r="Q1922" s="4"/>
      <c r="R1922" s="4"/>
      <c r="S1922" s="4"/>
      <c r="T1922" s="4"/>
      <c r="U1922" s="4"/>
    </row>
    <row r="1923">
      <c r="A1923" s="4"/>
      <c r="B1923" s="17"/>
      <c r="C1923" s="4"/>
      <c r="D1923" s="4"/>
      <c r="E1923" s="4"/>
      <c r="F1923" s="4"/>
      <c r="G1923" s="17"/>
      <c r="H1923" s="4"/>
      <c r="I1923" s="4"/>
      <c r="J1923" s="4"/>
      <c r="K1923" s="6"/>
      <c r="L1923" s="17"/>
      <c r="M1923" s="4"/>
      <c r="N1923" s="6"/>
      <c r="O1923" s="4"/>
      <c r="P1923" s="4"/>
      <c r="Q1923" s="4"/>
      <c r="R1923" s="4"/>
      <c r="S1923" s="4"/>
      <c r="T1923" s="4"/>
      <c r="U1923" s="4"/>
    </row>
    <row r="1924">
      <c r="A1924" s="4"/>
      <c r="B1924" s="17"/>
      <c r="C1924" s="4"/>
      <c r="D1924" s="4"/>
      <c r="E1924" s="4"/>
      <c r="F1924" s="4"/>
      <c r="G1924" s="17"/>
      <c r="H1924" s="4"/>
      <c r="I1924" s="4"/>
      <c r="J1924" s="4"/>
      <c r="K1924" s="6"/>
      <c r="L1924" s="17"/>
      <c r="M1924" s="4"/>
      <c r="N1924" s="6"/>
      <c r="O1924" s="4"/>
      <c r="P1924" s="4"/>
      <c r="Q1924" s="4"/>
      <c r="R1924" s="4"/>
      <c r="S1924" s="4"/>
      <c r="T1924" s="4"/>
      <c r="U1924" s="4"/>
    </row>
    <row r="1925">
      <c r="A1925" s="4"/>
      <c r="B1925" s="17"/>
      <c r="C1925" s="4"/>
      <c r="D1925" s="4"/>
      <c r="E1925" s="4"/>
      <c r="F1925" s="4"/>
      <c r="G1925" s="17"/>
      <c r="H1925" s="4"/>
      <c r="I1925" s="4"/>
      <c r="J1925" s="4"/>
      <c r="K1925" s="6"/>
      <c r="L1925" s="17"/>
      <c r="M1925" s="4"/>
      <c r="N1925" s="6"/>
      <c r="O1925" s="4"/>
      <c r="P1925" s="4"/>
      <c r="Q1925" s="4"/>
      <c r="R1925" s="4"/>
      <c r="S1925" s="4"/>
      <c r="T1925" s="4"/>
      <c r="U1925" s="4"/>
    </row>
    <row r="1926">
      <c r="A1926" s="4"/>
      <c r="B1926" s="17"/>
      <c r="C1926" s="4"/>
      <c r="D1926" s="4"/>
      <c r="E1926" s="4"/>
      <c r="F1926" s="4"/>
      <c r="G1926" s="17"/>
      <c r="H1926" s="4"/>
      <c r="I1926" s="4"/>
      <c r="J1926" s="4"/>
      <c r="K1926" s="6"/>
      <c r="L1926" s="17"/>
      <c r="M1926" s="4"/>
      <c r="N1926" s="6"/>
      <c r="O1926" s="4"/>
      <c r="P1926" s="4"/>
      <c r="Q1926" s="4"/>
      <c r="R1926" s="4"/>
      <c r="S1926" s="4"/>
      <c r="T1926" s="4"/>
      <c r="U1926" s="4"/>
    </row>
    <row r="1927">
      <c r="A1927" s="4"/>
      <c r="B1927" s="17"/>
      <c r="C1927" s="4"/>
      <c r="D1927" s="4"/>
      <c r="E1927" s="4"/>
      <c r="F1927" s="4"/>
      <c r="G1927" s="17"/>
      <c r="H1927" s="4"/>
      <c r="I1927" s="4"/>
      <c r="J1927" s="4"/>
      <c r="K1927" s="6"/>
      <c r="L1927" s="17"/>
      <c r="M1927" s="4"/>
      <c r="N1927" s="6"/>
      <c r="O1927" s="4"/>
      <c r="P1927" s="4"/>
      <c r="Q1927" s="4"/>
      <c r="R1927" s="4"/>
      <c r="S1927" s="4"/>
      <c r="T1927" s="4"/>
      <c r="U1927" s="4"/>
    </row>
    <row r="1928">
      <c r="A1928" s="4"/>
      <c r="B1928" s="17"/>
      <c r="C1928" s="4"/>
      <c r="D1928" s="4"/>
      <c r="E1928" s="4"/>
      <c r="F1928" s="4"/>
      <c r="G1928" s="17"/>
      <c r="H1928" s="4"/>
      <c r="I1928" s="4"/>
      <c r="J1928" s="4"/>
      <c r="K1928" s="6"/>
      <c r="L1928" s="17"/>
      <c r="M1928" s="4"/>
      <c r="N1928" s="6"/>
      <c r="O1928" s="4"/>
      <c r="P1928" s="4"/>
      <c r="Q1928" s="4"/>
      <c r="R1928" s="4"/>
      <c r="S1928" s="4"/>
      <c r="T1928" s="4"/>
      <c r="U1928" s="4"/>
    </row>
    <row r="1929">
      <c r="A1929" s="4"/>
      <c r="B1929" s="17"/>
      <c r="C1929" s="4"/>
      <c r="D1929" s="4"/>
      <c r="E1929" s="4"/>
      <c r="F1929" s="4"/>
      <c r="G1929" s="17"/>
      <c r="H1929" s="4"/>
      <c r="I1929" s="4"/>
      <c r="J1929" s="4"/>
      <c r="K1929" s="6"/>
      <c r="L1929" s="17"/>
      <c r="M1929" s="4"/>
      <c r="N1929" s="6"/>
      <c r="O1929" s="4"/>
      <c r="P1929" s="4"/>
      <c r="Q1929" s="4"/>
      <c r="R1929" s="4"/>
      <c r="S1929" s="4"/>
      <c r="T1929" s="4"/>
      <c r="U1929" s="4"/>
    </row>
    <row r="1930">
      <c r="A1930" s="4"/>
      <c r="B1930" s="17"/>
      <c r="C1930" s="4"/>
      <c r="D1930" s="4"/>
      <c r="E1930" s="4"/>
      <c r="F1930" s="4"/>
      <c r="G1930" s="17"/>
      <c r="H1930" s="4"/>
      <c r="I1930" s="4"/>
      <c r="J1930" s="4"/>
      <c r="K1930" s="6"/>
      <c r="L1930" s="17"/>
      <c r="M1930" s="4"/>
      <c r="N1930" s="6"/>
      <c r="O1930" s="4"/>
      <c r="P1930" s="4"/>
      <c r="Q1930" s="4"/>
      <c r="R1930" s="4"/>
      <c r="S1930" s="4"/>
      <c r="T1930" s="4"/>
      <c r="U1930" s="4"/>
    </row>
    <row r="1931">
      <c r="A1931" s="4"/>
      <c r="B1931" s="17"/>
      <c r="C1931" s="4"/>
      <c r="D1931" s="4"/>
      <c r="E1931" s="4"/>
      <c r="F1931" s="4"/>
      <c r="G1931" s="17"/>
      <c r="H1931" s="4"/>
      <c r="I1931" s="4"/>
      <c r="J1931" s="4"/>
      <c r="K1931" s="6"/>
      <c r="L1931" s="17"/>
      <c r="M1931" s="4"/>
      <c r="N1931" s="6"/>
      <c r="O1931" s="4"/>
      <c r="P1931" s="4"/>
      <c r="Q1931" s="4"/>
      <c r="R1931" s="4"/>
      <c r="S1931" s="4"/>
      <c r="T1931" s="4"/>
      <c r="U1931" s="4"/>
    </row>
    <row r="1932">
      <c r="A1932" s="4"/>
      <c r="B1932" s="17"/>
      <c r="C1932" s="4"/>
      <c r="D1932" s="4"/>
      <c r="E1932" s="4"/>
      <c r="F1932" s="4"/>
      <c r="G1932" s="17"/>
      <c r="H1932" s="4"/>
      <c r="I1932" s="4"/>
      <c r="J1932" s="4"/>
      <c r="K1932" s="6"/>
      <c r="L1932" s="17"/>
      <c r="M1932" s="4"/>
      <c r="N1932" s="6"/>
      <c r="O1932" s="4"/>
      <c r="P1932" s="4"/>
      <c r="Q1932" s="4"/>
      <c r="R1932" s="4"/>
      <c r="S1932" s="4"/>
      <c r="T1932" s="4"/>
      <c r="U1932" s="4"/>
    </row>
    <row r="1933">
      <c r="A1933" s="4"/>
      <c r="B1933" s="17"/>
      <c r="C1933" s="4"/>
      <c r="D1933" s="4"/>
      <c r="E1933" s="4"/>
      <c r="F1933" s="4"/>
      <c r="G1933" s="17"/>
      <c r="H1933" s="4"/>
      <c r="I1933" s="4"/>
      <c r="J1933" s="4"/>
      <c r="K1933" s="6"/>
      <c r="L1933" s="17"/>
      <c r="M1933" s="4"/>
      <c r="N1933" s="6"/>
      <c r="O1933" s="4"/>
      <c r="P1933" s="4"/>
      <c r="Q1933" s="4"/>
      <c r="R1933" s="4"/>
      <c r="S1933" s="4"/>
      <c r="T1933" s="4"/>
      <c r="U1933" s="4"/>
    </row>
    <row r="1934">
      <c r="A1934" s="4"/>
      <c r="B1934" s="17"/>
      <c r="C1934" s="4"/>
      <c r="D1934" s="4"/>
      <c r="E1934" s="4"/>
      <c r="F1934" s="4"/>
      <c r="G1934" s="17"/>
      <c r="H1934" s="4"/>
      <c r="I1934" s="4"/>
      <c r="J1934" s="4"/>
      <c r="K1934" s="6"/>
      <c r="L1934" s="17"/>
      <c r="M1934" s="4"/>
      <c r="N1934" s="6"/>
      <c r="O1934" s="4"/>
      <c r="P1934" s="4"/>
      <c r="Q1934" s="4"/>
      <c r="R1934" s="4"/>
      <c r="S1934" s="4"/>
      <c r="T1934" s="4"/>
      <c r="U1934" s="4"/>
    </row>
    <row r="1935">
      <c r="A1935" s="4"/>
      <c r="B1935" s="17"/>
      <c r="C1935" s="4"/>
      <c r="D1935" s="4"/>
      <c r="E1935" s="4"/>
      <c r="F1935" s="4"/>
      <c r="G1935" s="17"/>
      <c r="H1935" s="4"/>
      <c r="I1935" s="4"/>
      <c r="J1935" s="4"/>
      <c r="K1935" s="6"/>
      <c r="L1935" s="17"/>
      <c r="M1935" s="4"/>
      <c r="N1935" s="6"/>
      <c r="O1935" s="4"/>
      <c r="P1935" s="4"/>
      <c r="Q1935" s="4"/>
      <c r="R1935" s="4"/>
      <c r="S1935" s="4"/>
      <c r="T1935" s="4"/>
      <c r="U1935" s="4"/>
    </row>
    <row r="1936">
      <c r="A1936" s="4"/>
      <c r="B1936" s="17"/>
      <c r="C1936" s="4"/>
      <c r="D1936" s="4"/>
      <c r="E1936" s="4"/>
      <c r="F1936" s="4"/>
      <c r="G1936" s="17"/>
      <c r="H1936" s="4"/>
      <c r="I1936" s="4"/>
      <c r="J1936" s="4"/>
      <c r="K1936" s="6"/>
      <c r="L1936" s="17"/>
      <c r="M1936" s="4"/>
      <c r="N1936" s="6"/>
      <c r="O1936" s="4"/>
      <c r="P1936" s="4"/>
      <c r="Q1936" s="4"/>
      <c r="R1936" s="4"/>
      <c r="S1936" s="4"/>
      <c r="T1936" s="4"/>
      <c r="U1936" s="4"/>
    </row>
    <row r="1937">
      <c r="A1937" s="4"/>
      <c r="B1937" s="17"/>
      <c r="C1937" s="4"/>
      <c r="D1937" s="4"/>
      <c r="E1937" s="4"/>
      <c r="F1937" s="4"/>
      <c r="G1937" s="17"/>
      <c r="H1937" s="4"/>
      <c r="I1937" s="4"/>
      <c r="J1937" s="4"/>
      <c r="K1937" s="6"/>
      <c r="L1937" s="17"/>
      <c r="M1937" s="4"/>
      <c r="N1937" s="6"/>
      <c r="O1937" s="4"/>
      <c r="P1937" s="4"/>
      <c r="Q1937" s="4"/>
      <c r="R1937" s="4"/>
      <c r="S1937" s="4"/>
      <c r="T1937" s="4"/>
      <c r="U1937" s="4"/>
    </row>
    <row r="1938">
      <c r="A1938" s="4"/>
      <c r="B1938" s="17"/>
      <c r="C1938" s="4"/>
      <c r="D1938" s="4"/>
      <c r="E1938" s="4"/>
      <c r="F1938" s="4"/>
      <c r="G1938" s="17"/>
      <c r="H1938" s="4"/>
      <c r="I1938" s="4"/>
      <c r="J1938" s="4"/>
      <c r="K1938" s="6"/>
      <c r="L1938" s="17"/>
      <c r="M1938" s="4"/>
      <c r="N1938" s="6"/>
      <c r="O1938" s="4"/>
      <c r="P1938" s="4"/>
      <c r="Q1938" s="4"/>
      <c r="R1938" s="4"/>
      <c r="S1938" s="4"/>
      <c r="T1938" s="4"/>
      <c r="U1938" s="4"/>
    </row>
    <row r="1939">
      <c r="A1939" s="4"/>
      <c r="B1939" s="17"/>
      <c r="C1939" s="4"/>
      <c r="D1939" s="4"/>
      <c r="E1939" s="4"/>
      <c r="F1939" s="4"/>
      <c r="G1939" s="17"/>
      <c r="H1939" s="4"/>
      <c r="I1939" s="4"/>
      <c r="J1939" s="4"/>
      <c r="K1939" s="6"/>
      <c r="L1939" s="17"/>
      <c r="M1939" s="4"/>
      <c r="N1939" s="6"/>
      <c r="O1939" s="4"/>
      <c r="P1939" s="4"/>
      <c r="Q1939" s="4"/>
      <c r="R1939" s="4"/>
      <c r="S1939" s="4"/>
      <c r="T1939" s="4"/>
      <c r="U1939" s="4"/>
    </row>
    <row r="1940">
      <c r="A1940" s="4"/>
      <c r="B1940" s="17"/>
      <c r="C1940" s="4"/>
      <c r="D1940" s="4"/>
      <c r="E1940" s="4"/>
      <c r="F1940" s="4"/>
      <c r="G1940" s="17"/>
      <c r="H1940" s="4"/>
      <c r="I1940" s="4"/>
      <c r="J1940" s="4"/>
      <c r="K1940" s="6"/>
      <c r="L1940" s="17"/>
      <c r="M1940" s="4"/>
      <c r="N1940" s="6"/>
      <c r="O1940" s="4"/>
      <c r="P1940" s="4"/>
      <c r="Q1940" s="4"/>
      <c r="R1940" s="4"/>
      <c r="S1940" s="4"/>
      <c r="T1940" s="4"/>
      <c r="U1940" s="4"/>
    </row>
    <row r="1941">
      <c r="A1941" s="4"/>
      <c r="B1941" s="17"/>
      <c r="C1941" s="4"/>
      <c r="D1941" s="4"/>
      <c r="E1941" s="4"/>
      <c r="F1941" s="4"/>
      <c r="G1941" s="17"/>
      <c r="H1941" s="4"/>
      <c r="I1941" s="4"/>
      <c r="J1941" s="4"/>
      <c r="K1941" s="6"/>
      <c r="L1941" s="17"/>
      <c r="M1941" s="4"/>
      <c r="N1941" s="6"/>
      <c r="O1941" s="4"/>
      <c r="P1941" s="4"/>
      <c r="Q1941" s="4"/>
      <c r="R1941" s="4"/>
      <c r="S1941" s="4"/>
      <c r="T1941" s="4"/>
      <c r="U1941" s="4"/>
    </row>
    <row r="1942">
      <c r="A1942" s="4"/>
      <c r="B1942" s="17"/>
      <c r="C1942" s="4"/>
      <c r="D1942" s="4"/>
      <c r="E1942" s="4"/>
      <c r="F1942" s="4"/>
      <c r="G1942" s="17"/>
      <c r="H1942" s="4"/>
      <c r="I1942" s="4"/>
      <c r="J1942" s="4"/>
      <c r="K1942" s="6"/>
      <c r="L1942" s="17"/>
      <c r="M1942" s="4"/>
      <c r="N1942" s="6"/>
      <c r="O1942" s="4"/>
      <c r="P1942" s="4"/>
      <c r="Q1942" s="4"/>
      <c r="R1942" s="4"/>
      <c r="S1942" s="4"/>
      <c r="T1942" s="4"/>
      <c r="U1942" s="4"/>
    </row>
    <row r="1943">
      <c r="A1943" s="4"/>
      <c r="B1943" s="17"/>
      <c r="C1943" s="4"/>
      <c r="D1943" s="4"/>
      <c r="E1943" s="4"/>
      <c r="F1943" s="4"/>
      <c r="G1943" s="17"/>
      <c r="H1943" s="4"/>
      <c r="I1943" s="4"/>
      <c r="J1943" s="4"/>
      <c r="K1943" s="6"/>
      <c r="L1943" s="17"/>
      <c r="M1943" s="4"/>
      <c r="N1943" s="6"/>
      <c r="O1943" s="4"/>
      <c r="P1943" s="4"/>
      <c r="Q1943" s="4"/>
      <c r="R1943" s="4"/>
      <c r="S1943" s="4"/>
      <c r="T1943" s="4"/>
      <c r="U1943" s="4"/>
    </row>
    <row r="1944">
      <c r="A1944" s="4"/>
      <c r="B1944" s="17"/>
      <c r="C1944" s="4"/>
      <c r="D1944" s="4"/>
      <c r="E1944" s="4"/>
      <c r="F1944" s="4"/>
      <c r="G1944" s="17"/>
      <c r="H1944" s="4"/>
      <c r="I1944" s="4"/>
      <c r="J1944" s="4"/>
      <c r="K1944" s="6"/>
      <c r="L1944" s="17"/>
      <c r="M1944" s="4"/>
      <c r="N1944" s="6"/>
      <c r="O1944" s="4"/>
      <c r="P1944" s="4"/>
      <c r="Q1944" s="4"/>
      <c r="R1944" s="4"/>
      <c r="S1944" s="4"/>
      <c r="T1944" s="4"/>
      <c r="U1944" s="4"/>
    </row>
    <row r="1945">
      <c r="A1945" s="4"/>
      <c r="B1945" s="17"/>
      <c r="C1945" s="4"/>
      <c r="D1945" s="4"/>
      <c r="E1945" s="4"/>
      <c r="F1945" s="4"/>
      <c r="G1945" s="17"/>
      <c r="H1945" s="4"/>
      <c r="I1945" s="4"/>
      <c r="J1945" s="4"/>
      <c r="K1945" s="6"/>
      <c r="L1945" s="17"/>
      <c r="M1945" s="4"/>
      <c r="N1945" s="6"/>
      <c r="O1945" s="4"/>
      <c r="P1945" s="4"/>
      <c r="Q1945" s="4"/>
      <c r="R1945" s="4"/>
      <c r="S1945" s="4"/>
      <c r="T1945" s="4"/>
      <c r="U1945" s="4"/>
    </row>
    <row r="1946">
      <c r="A1946" s="4"/>
      <c r="B1946" s="17"/>
      <c r="C1946" s="4"/>
      <c r="D1946" s="4"/>
      <c r="E1946" s="4"/>
      <c r="F1946" s="4"/>
      <c r="G1946" s="17"/>
      <c r="H1946" s="4"/>
      <c r="I1946" s="4"/>
      <c r="J1946" s="4"/>
      <c r="K1946" s="6"/>
      <c r="L1946" s="17"/>
      <c r="M1946" s="4"/>
      <c r="N1946" s="6"/>
      <c r="O1946" s="4"/>
      <c r="P1946" s="4"/>
      <c r="Q1946" s="4"/>
      <c r="R1946" s="4"/>
      <c r="S1946" s="4"/>
      <c r="T1946" s="4"/>
      <c r="U1946" s="4"/>
    </row>
    <row r="1947">
      <c r="A1947" s="4"/>
      <c r="B1947" s="17"/>
      <c r="C1947" s="4"/>
      <c r="D1947" s="4"/>
      <c r="E1947" s="4"/>
      <c r="F1947" s="4"/>
      <c r="G1947" s="17"/>
      <c r="H1947" s="4"/>
      <c r="I1947" s="4"/>
      <c r="J1947" s="4"/>
      <c r="K1947" s="6"/>
      <c r="L1947" s="17"/>
      <c r="M1947" s="4"/>
      <c r="N1947" s="6"/>
      <c r="O1947" s="4"/>
      <c r="P1947" s="4"/>
      <c r="Q1947" s="4"/>
      <c r="R1947" s="4"/>
      <c r="S1947" s="4"/>
      <c r="T1947" s="4"/>
      <c r="U1947" s="4"/>
    </row>
    <row r="1948">
      <c r="A1948" s="4"/>
      <c r="B1948" s="17"/>
      <c r="C1948" s="4"/>
      <c r="D1948" s="4"/>
      <c r="E1948" s="4"/>
      <c r="F1948" s="4"/>
      <c r="G1948" s="17"/>
      <c r="H1948" s="4"/>
      <c r="I1948" s="4"/>
      <c r="J1948" s="4"/>
      <c r="K1948" s="6"/>
      <c r="L1948" s="17"/>
      <c r="M1948" s="4"/>
      <c r="N1948" s="6"/>
      <c r="O1948" s="4"/>
      <c r="P1948" s="4"/>
      <c r="Q1948" s="4"/>
      <c r="R1948" s="4"/>
      <c r="S1948" s="4"/>
      <c r="T1948" s="4"/>
      <c r="U1948" s="4"/>
    </row>
    <row r="1949">
      <c r="A1949" s="4"/>
      <c r="B1949" s="17"/>
      <c r="C1949" s="4"/>
      <c r="D1949" s="4"/>
      <c r="E1949" s="4"/>
      <c r="F1949" s="4"/>
      <c r="G1949" s="17"/>
      <c r="H1949" s="4"/>
      <c r="I1949" s="4"/>
      <c r="J1949" s="4"/>
      <c r="K1949" s="6"/>
      <c r="L1949" s="17"/>
      <c r="M1949" s="4"/>
      <c r="N1949" s="6"/>
      <c r="O1949" s="4"/>
      <c r="P1949" s="4"/>
      <c r="Q1949" s="4"/>
      <c r="R1949" s="4"/>
      <c r="S1949" s="4"/>
      <c r="T1949" s="4"/>
      <c r="U1949" s="4"/>
    </row>
    <row r="1950">
      <c r="A1950" s="4"/>
      <c r="B1950" s="17"/>
      <c r="C1950" s="4"/>
      <c r="D1950" s="4"/>
      <c r="E1950" s="4"/>
      <c r="F1950" s="4"/>
      <c r="G1950" s="17"/>
      <c r="H1950" s="4"/>
      <c r="I1950" s="4"/>
      <c r="J1950" s="4"/>
      <c r="K1950" s="6"/>
      <c r="L1950" s="17"/>
      <c r="M1950" s="4"/>
      <c r="N1950" s="6"/>
      <c r="O1950" s="4"/>
      <c r="P1950" s="4"/>
      <c r="Q1950" s="4"/>
      <c r="R1950" s="4"/>
      <c r="S1950" s="4"/>
      <c r="T1950" s="4"/>
      <c r="U1950" s="4"/>
    </row>
    <row r="1951">
      <c r="A1951" s="4"/>
      <c r="B1951" s="17"/>
      <c r="C1951" s="4"/>
      <c r="D1951" s="4"/>
      <c r="E1951" s="4"/>
      <c r="F1951" s="4"/>
      <c r="G1951" s="17"/>
      <c r="H1951" s="4"/>
      <c r="I1951" s="4"/>
      <c r="J1951" s="4"/>
      <c r="K1951" s="6"/>
      <c r="L1951" s="17"/>
      <c r="M1951" s="4"/>
      <c r="N1951" s="6"/>
      <c r="O1951" s="4"/>
      <c r="P1951" s="4"/>
      <c r="Q1951" s="4"/>
      <c r="R1951" s="4"/>
      <c r="S1951" s="4"/>
      <c r="T1951" s="4"/>
      <c r="U1951" s="4"/>
    </row>
    <row r="1952">
      <c r="A1952" s="4"/>
      <c r="B1952" s="17"/>
      <c r="C1952" s="4"/>
      <c r="D1952" s="4"/>
      <c r="E1952" s="4"/>
      <c r="F1952" s="4"/>
      <c r="G1952" s="17"/>
      <c r="H1952" s="4"/>
      <c r="I1952" s="4"/>
      <c r="J1952" s="4"/>
      <c r="K1952" s="6"/>
      <c r="L1952" s="17"/>
      <c r="M1952" s="4"/>
      <c r="N1952" s="6"/>
      <c r="O1952" s="4"/>
      <c r="P1952" s="4"/>
      <c r="Q1952" s="4"/>
      <c r="R1952" s="4"/>
      <c r="S1952" s="4"/>
      <c r="T1952" s="4"/>
      <c r="U1952" s="4"/>
    </row>
    <row r="1953">
      <c r="A1953" s="4"/>
      <c r="B1953" s="17"/>
      <c r="C1953" s="4"/>
      <c r="D1953" s="4"/>
      <c r="E1953" s="4"/>
      <c r="F1953" s="4"/>
      <c r="G1953" s="17"/>
      <c r="H1953" s="4"/>
      <c r="I1953" s="4"/>
      <c r="J1953" s="4"/>
      <c r="K1953" s="6"/>
      <c r="L1953" s="17"/>
      <c r="M1953" s="4"/>
      <c r="N1953" s="6"/>
      <c r="O1953" s="4"/>
      <c r="P1953" s="4"/>
      <c r="Q1953" s="4"/>
      <c r="R1953" s="4"/>
      <c r="S1953" s="4"/>
      <c r="T1953" s="4"/>
      <c r="U1953" s="4"/>
    </row>
    <row r="1954">
      <c r="A1954" s="4"/>
      <c r="B1954" s="17"/>
      <c r="C1954" s="4"/>
      <c r="D1954" s="4"/>
      <c r="E1954" s="4"/>
      <c r="F1954" s="4"/>
      <c r="G1954" s="17"/>
      <c r="H1954" s="4"/>
      <c r="I1954" s="4"/>
      <c r="J1954" s="4"/>
      <c r="K1954" s="6"/>
      <c r="L1954" s="17"/>
      <c r="M1954" s="4"/>
      <c r="N1954" s="6"/>
      <c r="O1954" s="4"/>
      <c r="P1954" s="4"/>
      <c r="Q1954" s="4"/>
      <c r="R1954" s="4"/>
      <c r="S1954" s="4"/>
      <c r="T1954" s="4"/>
      <c r="U1954" s="4"/>
    </row>
    <row r="1955">
      <c r="A1955" s="4"/>
      <c r="B1955" s="17"/>
      <c r="C1955" s="4"/>
      <c r="D1955" s="4"/>
      <c r="E1955" s="4"/>
      <c r="F1955" s="4"/>
      <c r="G1955" s="17"/>
      <c r="H1955" s="4"/>
      <c r="I1955" s="4"/>
      <c r="J1955" s="4"/>
      <c r="K1955" s="6"/>
      <c r="L1955" s="17"/>
      <c r="M1955" s="4"/>
      <c r="N1955" s="6"/>
      <c r="O1955" s="4"/>
      <c r="P1955" s="4"/>
      <c r="Q1955" s="4"/>
      <c r="R1955" s="4"/>
      <c r="S1955" s="4"/>
      <c r="T1955" s="4"/>
      <c r="U1955" s="4"/>
    </row>
    <row r="1956">
      <c r="A1956" s="4"/>
      <c r="B1956" s="17"/>
      <c r="C1956" s="4"/>
      <c r="D1956" s="4"/>
      <c r="E1956" s="4"/>
      <c r="F1956" s="4"/>
      <c r="G1956" s="17"/>
      <c r="H1956" s="4"/>
      <c r="I1956" s="4"/>
      <c r="J1956" s="4"/>
      <c r="K1956" s="6"/>
      <c r="L1956" s="17"/>
      <c r="M1956" s="4"/>
      <c r="N1956" s="6"/>
      <c r="O1956" s="4"/>
      <c r="P1956" s="4"/>
      <c r="Q1956" s="4"/>
      <c r="R1956" s="4"/>
      <c r="S1956" s="4"/>
      <c r="T1956" s="4"/>
      <c r="U1956" s="4"/>
    </row>
    <row r="1957">
      <c r="A1957" s="4"/>
      <c r="B1957" s="17"/>
      <c r="C1957" s="4"/>
      <c r="D1957" s="4"/>
      <c r="E1957" s="4"/>
      <c r="F1957" s="4"/>
      <c r="G1957" s="17"/>
      <c r="H1957" s="4"/>
      <c r="I1957" s="4"/>
      <c r="J1957" s="4"/>
      <c r="K1957" s="6"/>
      <c r="L1957" s="17"/>
      <c r="M1957" s="4"/>
      <c r="N1957" s="6"/>
      <c r="O1957" s="4"/>
      <c r="P1957" s="4"/>
      <c r="Q1957" s="4"/>
      <c r="R1957" s="4"/>
      <c r="S1957" s="4"/>
      <c r="T1957" s="4"/>
      <c r="U1957" s="4"/>
    </row>
    <row r="1958">
      <c r="A1958" s="4"/>
      <c r="B1958" s="17"/>
      <c r="C1958" s="4"/>
      <c r="D1958" s="4"/>
      <c r="E1958" s="4"/>
      <c r="F1958" s="4"/>
      <c r="G1958" s="17"/>
      <c r="H1958" s="4"/>
      <c r="I1958" s="4"/>
      <c r="J1958" s="4"/>
      <c r="K1958" s="6"/>
      <c r="L1958" s="17"/>
      <c r="M1958" s="4"/>
      <c r="N1958" s="6"/>
      <c r="O1958" s="4"/>
      <c r="P1958" s="4"/>
      <c r="Q1958" s="4"/>
      <c r="R1958" s="4"/>
      <c r="S1958" s="4"/>
      <c r="T1958" s="4"/>
      <c r="U1958" s="4"/>
    </row>
    <row r="1959">
      <c r="A1959" s="4"/>
      <c r="B1959" s="17"/>
      <c r="C1959" s="4"/>
      <c r="D1959" s="4"/>
      <c r="E1959" s="4"/>
      <c r="F1959" s="4"/>
      <c r="G1959" s="17"/>
      <c r="H1959" s="4"/>
      <c r="I1959" s="4"/>
      <c r="J1959" s="4"/>
      <c r="K1959" s="6"/>
      <c r="L1959" s="17"/>
      <c r="M1959" s="4"/>
      <c r="N1959" s="6"/>
      <c r="O1959" s="4"/>
      <c r="P1959" s="4"/>
      <c r="Q1959" s="4"/>
      <c r="R1959" s="4"/>
      <c r="S1959" s="4"/>
      <c r="T1959" s="4"/>
      <c r="U1959" s="4"/>
    </row>
    <row r="1960">
      <c r="A1960" s="4"/>
      <c r="B1960" s="17"/>
      <c r="C1960" s="4"/>
      <c r="D1960" s="4"/>
      <c r="E1960" s="4"/>
      <c r="F1960" s="4"/>
      <c r="G1960" s="17"/>
      <c r="H1960" s="4"/>
      <c r="I1960" s="4"/>
      <c r="J1960" s="4"/>
      <c r="K1960" s="6"/>
      <c r="L1960" s="17"/>
      <c r="M1960" s="4"/>
      <c r="N1960" s="6"/>
      <c r="O1960" s="4"/>
      <c r="P1960" s="4"/>
      <c r="Q1960" s="4"/>
      <c r="R1960" s="4"/>
      <c r="S1960" s="4"/>
      <c r="T1960" s="4"/>
      <c r="U1960" s="4"/>
    </row>
    <row r="1961">
      <c r="A1961" s="4"/>
      <c r="B1961" s="17"/>
      <c r="C1961" s="4"/>
      <c r="D1961" s="4"/>
      <c r="E1961" s="4"/>
      <c r="F1961" s="4"/>
      <c r="G1961" s="17"/>
      <c r="H1961" s="4"/>
      <c r="I1961" s="4"/>
      <c r="J1961" s="4"/>
      <c r="K1961" s="6"/>
      <c r="L1961" s="17"/>
      <c r="M1961" s="4"/>
      <c r="N1961" s="6"/>
      <c r="O1961" s="4"/>
      <c r="P1961" s="4"/>
      <c r="Q1961" s="4"/>
      <c r="R1961" s="4"/>
      <c r="S1961" s="4"/>
      <c r="T1961" s="4"/>
      <c r="U1961" s="4"/>
    </row>
    <row r="1962">
      <c r="A1962" s="4"/>
      <c r="B1962" s="17"/>
      <c r="C1962" s="4"/>
      <c r="D1962" s="4"/>
      <c r="E1962" s="4"/>
      <c r="F1962" s="4"/>
      <c r="G1962" s="17"/>
      <c r="H1962" s="4"/>
      <c r="I1962" s="4"/>
      <c r="J1962" s="4"/>
      <c r="K1962" s="6"/>
      <c r="L1962" s="17"/>
      <c r="M1962" s="4"/>
      <c r="N1962" s="6"/>
      <c r="O1962" s="4"/>
      <c r="P1962" s="4"/>
      <c r="Q1962" s="4"/>
      <c r="R1962" s="4"/>
      <c r="S1962" s="4"/>
      <c r="T1962" s="4"/>
      <c r="U1962" s="4"/>
    </row>
    <row r="1963">
      <c r="A1963" s="4"/>
      <c r="B1963" s="17"/>
      <c r="C1963" s="4"/>
      <c r="D1963" s="4"/>
      <c r="E1963" s="4"/>
      <c r="F1963" s="4"/>
      <c r="G1963" s="17"/>
      <c r="H1963" s="4"/>
      <c r="I1963" s="4"/>
      <c r="J1963" s="4"/>
      <c r="K1963" s="6"/>
      <c r="L1963" s="17"/>
      <c r="M1963" s="4"/>
      <c r="N1963" s="6"/>
      <c r="O1963" s="4"/>
      <c r="P1963" s="4"/>
      <c r="Q1963" s="4"/>
      <c r="R1963" s="4"/>
      <c r="S1963" s="4"/>
      <c r="T1963" s="4"/>
      <c r="U1963" s="4"/>
    </row>
    <row r="1964">
      <c r="A1964" s="4"/>
      <c r="B1964" s="17"/>
      <c r="C1964" s="4"/>
      <c r="D1964" s="4"/>
      <c r="E1964" s="4"/>
      <c r="F1964" s="4"/>
      <c r="G1964" s="17"/>
      <c r="H1964" s="4"/>
      <c r="I1964" s="4"/>
      <c r="J1964" s="4"/>
      <c r="K1964" s="6"/>
      <c r="L1964" s="17"/>
      <c r="M1964" s="4"/>
      <c r="N1964" s="6"/>
      <c r="O1964" s="4"/>
      <c r="P1964" s="4"/>
      <c r="Q1964" s="4"/>
      <c r="R1964" s="4"/>
      <c r="S1964" s="4"/>
      <c r="T1964" s="4"/>
      <c r="U1964" s="4"/>
    </row>
    <row r="1965">
      <c r="A1965" s="4"/>
      <c r="B1965" s="17"/>
      <c r="C1965" s="4"/>
      <c r="D1965" s="4"/>
      <c r="E1965" s="4"/>
      <c r="F1965" s="4"/>
      <c r="G1965" s="17"/>
      <c r="H1965" s="4"/>
      <c r="I1965" s="4"/>
      <c r="J1965" s="4"/>
      <c r="K1965" s="6"/>
      <c r="L1965" s="17"/>
      <c r="M1965" s="4"/>
      <c r="N1965" s="6"/>
      <c r="O1965" s="4"/>
      <c r="P1965" s="4"/>
      <c r="Q1965" s="4"/>
      <c r="R1965" s="4"/>
      <c r="S1965" s="4"/>
      <c r="T1965" s="4"/>
      <c r="U1965" s="4"/>
    </row>
    <row r="1966">
      <c r="A1966" s="4"/>
      <c r="B1966" s="17"/>
      <c r="C1966" s="4"/>
      <c r="D1966" s="4"/>
      <c r="E1966" s="4"/>
      <c r="F1966" s="4"/>
      <c r="G1966" s="17"/>
      <c r="H1966" s="4"/>
      <c r="I1966" s="4"/>
      <c r="J1966" s="4"/>
      <c r="K1966" s="6"/>
      <c r="L1966" s="17"/>
      <c r="M1966" s="4"/>
      <c r="N1966" s="6"/>
      <c r="O1966" s="4"/>
      <c r="P1966" s="4"/>
      <c r="Q1966" s="4"/>
      <c r="R1966" s="4"/>
      <c r="S1966" s="4"/>
      <c r="T1966" s="4"/>
      <c r="U1966" s="4"/>
    </row>
    <row r="1967">
      <c r="A1967" s="4"/>
      <c r="B1967" s="17"/>
      <c r="C1967" s="4"/>
      <c r="D1967" s="4"/>
      <c r="E1967" s="4"/>
      <c r="F1967" s="4"/>
      <c r="G1967" s="17"/>
      <c r="H1967" s="4"/>
      <c r="I1967" s="4"/>
      <c r="J1967" s="4"/>
      <c r="K1967" s="6"/>
      <c r="L1967" s="17"/>
      <c r="M1967" s="4"/>
      <c r="N1967" s="6"/>
      <c r="O1967" s="4"/>
      <c r="P1967" s="4"/>
      <c r="Q1967" s="4"/>
      <c r="R1967" s="4"/>
      <c r="S1967" s="4"/>
      <c r="T1967" s="4"/>
      <c r="U1967" s="4"/>
    </row>
    <row r="1968">
      <c r="A1968" s="4"/>
      <c r="B1968" s="17"/>
      <c r="C1968" s="4"/>
      <c r="D1968" s="4"/>
      <c r="E1968" s="4"/>
      <c r="F1968" s="4"/>
      <c r="G1968" s="17"/>
      <c r="H1968" s="4"/>
      <c r="I1968" s="4"/>
      <c r="J1968" s="4"/>
      <c r="K1968" s="6"/>
      <c r="L1968" s="17"/>
      <c r="M1968" s="4"/>
      <c r="N1968" s="6"/>
      <c r="O1968" s="4"/>
      <c r="P1968" s="4"/>
      <c r="Q1968" s="4"/>
      <c r="R1968" s="4"/>
      <c r="S1968" s="4"/>
      <c r="T1968" s="4"/>
      <c r="U1968" s="4"/>
    </row>
    <row r="1969">
      <c r="A1969" s="4"/>
      <c r="B1969" s="17"/>
      <c r="C1969" s="4"/>
      <c r="D1969" s="4"/>
      <c r="E1969" s="4"/>
      <c r="F1969" s="4"/>
      <c r="G1969" s="17"/>
      <c r="H1969" s="4"/>
      <c r="I1969" s="4"/>
      <c r="J1969" s="4"/>
      <c r="K1969" s="6"/>
      <c r="L1969" s="17"/>
      <c r="M1969" s="4"/>
      <c r="N1969" s="6"/>
      <c r="O1969" s="4"/>
      <c r="P1969" s="4"/>
      <c r="Q1969" s="4"/>
      <c r="R1969" s="4"/>
      <c r="S1969" s="4"/>
      <c r="T1969" s="4"/>
      <c r="U1969" s="4"/>
    </row>
    <row r="1970">
      <c r="A1970" s="4"/>
      <c r="B1970" s="17"/>
      <c r="C1970" s="4"/>
      <c r="D1970" s="4"/>
      <c r="E1970" s="4"/>
      <c r="F1970" s="4"/>
      <c r="G1970" s="17"/>
      <c r="H1970" s="4"/>
      <c r="I1970" s="4"/>
      <c r="J1970" s="4"/>
      <c r="K1970" s="6"/>
      <c r="L1970" s="17"/>
      <c r="M1970" s="4"/>
      <c r="N1970" s="6"/>
      <c r="O1970" s="4"/>
      <c r="P1970" s="4"/>
      <c r="Q1970" s="4"/>
      <c r="R1970" s="4"/>
      <c r="S1970" s="4"/>
      <c r="T1970" s="4"/>
      <c r="U1970" s="4"/>
    </row>
    <row r="1971">
      <c r="A1971" s="4"/>
      <c r="B1971" s="17"/>
      <c r="C1971" s="4"/>
      <c r="D1971" s="4"/>
      <c r="E1971" s="4"/>
      <c r="F1971" s="4"/>
      <c r="G1971" s="17"/>
      <c r="H1971" s="4"/>
      <c r="I1971" s="4"/>
      <c r="J1971" s="4"/>
      <c r="K1971" s="6"/>
      <c r="L1971" s="17"/>
      <c r="M1971" s="4"/>
      <c r="N1971" s="6"/>
      <c r="O1971" s="4"/>
      <c r="P1971" s="4"/>
      <c r="Q1971" s="4"/>
      <c r="R1971" s="4"/>
      <c r="S1971" s="4"/>
      <c r="T1971" s="4"/>
      <c r="U1971" s="4"/>
    </row>
    <row r="1972">
      <c r="A1972" s="4"/>
      <c r="B1972" s="17"/>
      <c r="C1972" s="4"/>
      <c r="D1972" s="4"/>
      <c r="E1972" s="4"/>
      <c r="F1972" s="4"/>
      <c r="G1972" s="17"/>
      <c r="H1972" s="4"/>
      <c r="I1972" s="4"/>
      <c r="J1972" s="4"/>
      <c r="K1972" s="6"/>
      <c r="L1972" s="17"/>
      <c r="M1972" s="4"/>
      <c r="N1972" s="6"/>
      <c r="O1972" s="4"/>
      <c r="P1972" s="4"/>
      <c r="Q1972" s="4"/>
      <c r="R1972" s="4"/>
      <c r="S1972" s="4"/>
      <c r="T1972" s="4"/>
      <c r="U1972" s="4"/>
    </row>
    <row r="1973">
      <c r="A1973" s="4"/>
      <c r="B1973" s="17"/>
      <c r="C1973" s="4"/>
      <c r="D1973" s="4"/>
      <c r="E1973" s="4"/>
      <c r="F1973" s="4"/>
      <c r="G1973" s="17"/>
      <c r="H1973" s="4"/>
      <c r="I1973" s="4"/>
      <c r="J1973" s="4"/>
      <c r="K1973" s="6"/>
      <c r="L1973" s="17"/>
      <c r="M1973" s="4"/>
      <c r="N1973" s="6"/>
      <c r="O1973" s="4"/>
      <c r="P1973" s="4"/>
      <c r="Q1973" s="4"/>
      <c r="R1973" s="4"/>
      <c r="S1973" s="4"/>
      <c r="T1973" s="4"/>
      <c r="U1973" s="4"/>
    </row>
    <row r="1974">
      <c r="A1974" s="4"/>
      <c r="B1974" s="17"/>
      <c r="C1974" s="4"/>
      <c r="D1974" s="4"/>
      <c r="E1974" s="4"/>
      <c r="F1974" s="4"/>
      <c r="G1974" s="17"/>
      <c r="H1974" s="4"/>
      <c r="I1974" s="4"/>
      <c r="J1974" s="4"/>
      <c r="K1974" s="6"/>
      <c r="L1974" s="17"/>
      <c r="M1974" s="4"/>
      <c r="N1974" s="6"/>
      <c r="O1974" s="4"/>
      <c r="P1974" s="4"/>
      <c r="Q1974" s="4"/>
      <c r="R1974" s="4"/>
      <c r="S1974" s="4"/>
      <c r="T1974" s="4"/>
      <c r="U1974" s="4"/>
    </row>
    <row r="1975">
      <c r="A1975" s="4"/>
      <c r="B1975" s="17"/>
      <c r="C1975" s="4"/>
      <c r="D1975" s="4"/>
      <c r="E1975" s="4"/>
      <c r="F1975" s="4"/>
      <c r="G1975" s="17"/>
      <c r="H1975" s="4"/>
      <c r="I1975" s="4"/>
      <c r="J1975" s="4"/>
      <c r="K1975" s="6"/>
      <c r="L1975" s="17"/>
      <c r="M1975" s="4"/>
      <c r="N1975" s="6"/>
      <c r="O1975" s="4"/>
      <c r="P1975" s="4"/>
      <c r="Q1975" s="4"/>
      <c r="R1975" s="4"/>
      <c r="S1975" s="4"/>
      <c r="T1975" s="4"/>
      <c r="U1975" s="4"/>
    </row>
    <row r="1976">
      <c r="A1976" s="4"/>
      <c r="B1976" s="17"/>
      <c r="C1976" s="4"/>
      <c r="D1976" s="4"/>
      <c r="E1976" s="4"/>
      <c r="F1976" s="4"/>
      <c r="G1976" s="17"/>
      <c r="H1976" s="4"/>
      <c r="I1976" s="4"/>
      <c r="J1976" s="4"/>
      <c r="K1976" s="6"/>
      <c r="L1976" s="17"/>
      <c r="M1976" s="4"/>
      <c r="N1976" s="6"/>
      <c r="O1976" s="4"/>
      <c r="P1976" s="4"/>
      <c r="Q1976" s="4"/>
      <c r="R1976" s="4"/>
      <c r="S1976" s="4"/>
      <c r="T1976" s="4"/>
      <c r="U1976" s="4"/>
    </row>
    <row r="1977">
      <c r="A1977" s="4"/>
      <c r="B1977" s="17"/>
      <c r="C1977" s="4"/>
      <c r="D1977" s="4"/>
      <c r="E1977" s="4"/>
      <c r="F1977" s="4"/>
      <c r="G1977" s="17"/>
      <c r="H1977" s="4"/>
      <c r="I1977" s="4"/>
      <c r="J1977" s="4"/>
      <c r="K1977" s="6"/>
      <c r="L1977" s="17"/>
      <c r="M1977" s="4"/>
      <c r="N1977" s="6"/>
      <c r="O1977" s="4"/>
      <c r="P1977" s="4"/>
      <c r="Q1977" s="4"/>
      <c r="R1977" s="4"/>
      <c r="S1977" s="4"/>
      <c r="T1977" s="4"/>
      <c r="U1977" s="4"/>
    </row>
    <row r="1978">
      <c r="A1978" s="4"/>
      <c r="B1978" s="17"/>
      <c r="C1978" s="4"/>
      <c r="D1978" s="4"/>
      <c r="E1978" s="4"/>
      <c r="F1978" s="4"/>
      <c r="G1978" s="17"/>
      <c r="H1978" s="4"/>
      <c r="I1978" s="4"/>
      <c r="J1978" s="4"/>
      <c r="K1978" s="6"/>
      <c r="L1978" s="17"/>
      <c r="M1978" s="4"/>
      <c r="N1978" s="6"/>
      <c r="O1978" s="4"/>
      <c r="P1978" s="4"/>
      <c r="Q1978" s="4"/>
      <c r="R1978" s="4"/>
      <c r="S1978" s="4"/>
      <c r="T1978" s="4"/>
      <c r="U1978" s="4"/>
    </row>
    <row r="1979">
      <c r="A1979" s="4"/>
      <c r="B1979" s="17"/>
      <c r="C1979" s="4"/>
      <c r="D1979" s="4"/>
      <c r="E1979" s="4"/>
      <c r="F1979" s="4"/>
      <c r="G1979" s="17"/>
      <c r="H1979" s="4"/>
      <c r="I1979" s="4"/>
      <c r="J1979" s="4"/>
      <c r="K1979" s="6"/>
      <c r="L1979" s="17"/>
      <c r="M1979" s="4"/>
      <c r="N1979" s="6"/>
      <c r="O1979" s="4"/>
      <c r="P1979" s="4"/>
      <c r="Q1979" s="4"/>
      <c r="R1979" s="4"/>
      <c r="S1979" s="4"/>
      <c r="T1979" s="4"/>
      <c r="U1979" s="4"/>
    </row>
    <row r="1980">
      <c r="A1980" s="4"/>
      <c r="B1980" s="17"/>
      <c r="C1980" s="4"/>
      <c r="D1980" s="4"/>
      <c r="E1980" s="4"/>
      <c r="F1980" s="4"/>
      <c r="G1980" s="17"/>
      <c r="H1980" s="4"/>
      <c r="I1980" s="4"/>
      <c r="J1980" s="4"/>
      <c r="K1980" s="6"/>
      <c r="L1980" s="17"/>
      <c r="M1980" s="4"/>
      <c r="N1980" s="6"/>
      <c r="O1980" s="4"/>
      <c r="P1980" s="4"/>
      <c r="Q1980" s="4"/>
      <c r="R1980" s="4"/>
      <c r="S1980" s="4"/>
      <c r="T1980" s="4"/>
      <c r="U1980" s="4"/>
    </row>
    <row r="1981">
      <c r="A1981" s="4"/>
      <c r="B1981" s="17"/>
      <c r="C1981" s="4"/>
      <c r="D1981" s="4"/>
      <c r="E1981" s="4"/>
      <c r="F1981" s="4"/>
      <c r="G1981" s="17"/>
      <c r="H1981" s="4"/>
      <c r="I1981" s="4"/>
      <c r="J1981" s="4"/>
      <c r="K1981" s="6"/>
      <c r="L1981" s="17"/>
      <c r="M1981" s="4"/>
      <c r="N1981" s="6"/>
      <c r="O1981" s="4"/>
      <c r="P1981" s="4"/>
      <c r="Q1981" s="4"/>
      <c r="R1981" s="4"/>
      <c r="S1981" s="4"/>
      <c r="T1981" s="4"/>
      <c r="U1981" s="4"/>
    </row>
    <row r="1982">
      <c r="A1982" s="4"/>
      <c r="B1982" s="17"/>
      <c r="C1982" s="4"/>
      <c r="D1982" s="4"/>
      <c r="E1982" s="4"/>
      <c r="F1982" s="4"/>
      <c r="G1982" s="17"/>
      <c r="H1982" s="4"/>
      <c r="I1982" s="4"/>
      <c r="J1982" s="4"/>
      <c r="K1982" s="6"/>
      <c r="L1982" s="17"/>
      <c r="M1982" s="4"/>
      <c r="N1982" s="6"/>
      <c r="O1982" s="4"/>
      <c r="P1982" s="4"/>
      <c r="Q1982" s="4"/>
      <c r="R1982" s="4"/>
      <c r="S1982" s="4"/>
      <c r="T1982" s="4"/>
      <c r="U1982" s="4"/>
    </row>
    <row r="1983">
      <c r="A1983" s="4"/>
      <c r="B1983" s="17"/>
      <c r="C1983" s="4"/>
      <c r="D1983" s="4"/>
      <c r="E1983" s="4"/>
      <c r="F1983" s="4"/>
      <c r="G1983" s="17"/>
      <c r="H1983" s="4"/>
      <c r="I1983" s="4"/>
      <c r="J1983" s="4"/>
      <c r="K1983" s="6"/>
      <c r="L1983" s="17"/>
      <c r="M1983" s="4"/>
      <c r="N1983" s="6"/>
      <c r="O1983" s="4"/>
      <c r="P1983" s="4"/>
      <c r="Q1983" s="4"/>
      <c r="R1983" s="4"/>
      <c r="S1983" s="4"/>
      <c r="T1983" s="4"/>
      <c r="U1983" s="4"/>
    </row>
    <row r="1984">
      <c r="A1984" s="4"/>
      <c r="B1984" s="17"/>
      <c r="C1984" s="4"/>
      <c r="D1984" s="4"/>
      <c r="E1984" s="4"/>
      <c r="F1984" s="4"/>
      <c r="G1984" s="17"/>
      <c r="H1984" s="4"/>
      <c r="I1984" s="4"/>
      <c r="J1984" s="4"/>
      <c r="K1984" s="6"/>
      <c r="L1984" s="17"/>
      <c r="M1984" s="4"/>
      <c r="N1984" s="6"/>
      <c r="O1984" s="4"/>
      <c r="P1984" s="4"/>
      <c r="Q1984" s="4"/>
      <c r="R1984" s="4"/>
      <c r="S1984" s="4"/>
      <c r="T1984" s="4"/>
      <c r="U1984" s="4"/>
    </row>
    <row r="1985">
      <c r="A1985" s="4"/>
      <c r="B1985" s="17"/>
      <c r="C1985" s="4"/>
      <c r="D1985" s="4"/>
      <c r="E1985" s="4"/>
      <c r="F1985" s="4"/>
      <c r="G1985" s="17"/>
      <c r="H1985" s="4"/>
      <c r="I1985" s="4"/>
      <c r="J1985" s="4"/>
      <c r="K1985" s="6"/>
      <c r="L1985" s="17"/>
      <c r="M1985" s="4"/>
      <c r="N1985" s="6"/>
      <c r="O1985" s="4"/>
      <c r="P1985" s="4"/>
      <c r="Q1985" s="4"/>
      <c r="R1985" s="4"/>
      <c r="S1985" s="4"/>
      <c r="T1985" s="4"/>
      <c r="U1985" s="4"/>
    </row>
    <row r="1986">
      <c r="A1986" s="4"/>
      <c r="B1986" s="17"/>
      <c r="C1986" s="4"/>
      <c r="D1986" s="4"/>
      <c r="E1986" s="4"/>
      <c r="F1986" s="4"/>
      <c r="G1986" s="17"/>
      <c r="H1986" s="4"/>
      <c r="I1986" s="4"/>
      <c r="J1986" s="4"/>
      <c r="K1986" s="6"/>
      <c r="L1986" s="17"/>
      <c r="M1986" s="4"/>
      <c r="N1986" s="6"/>
      <c r="O1986" s="4"/>
      <c r="P1986" s="4"/>
      <c r="Q1986" s="4"/>
      <c r="R1986" s="4"/>
      <c r="S1986" s="4"/>
      <c r="T1986" s="4"/>
      <c r="U1986" s="4"/>
    </row>
    <row r="1987">
      <c r="A1987" s="4"/>
      <c r="B1987" s="17"/>
      <c r="C1987" s="4"/>
      <c r="D1987" s="4"/>
      <c r="E1987" s="4"/>
      <c r="F1987" s="4"/>
      <c r="G1987" s="17"/>
      <c r="H1987" s="4"/>
      <c r="I1987" s="4"/>
      <c r="J1987" s="4"/>
      <c r="K1987" s="6"/>
      <c r="L1987" s="17"/>
      <c r="M1987" s="4"/>
      <c r="N1987" s="6"/>
      <c r="O1987" s="4"/>
      <c r="P1987" s="4"/>
      <c r="Q1987" s="4"/>
      <c r="R1987" s="4"/>
      <c r="S1987" s="4"/>
      <c r="T1987" s="4"/>
      <c r="U1987" s="4"/>
    </row>
    <row r="1988">
      <c r="A1988" s="4"/>
      <c r="B1988" s="17"/>
      <c r="C1988" s="4"/>
      <c r="D1988" s="4"/>
      <c r="E1988" s="4"/>
      <c r="F1988" s="4"/>
      <c r="G1988" s="17"/>
      <c r="H1988" s="4"/>
      <c r="I1988" s="4"/>
      <c r="J1988" s="4"/>
      <c r="K1988" s="6"/>
      <c r="L1988" s="17"/>
      <c r="M1988" s="4"/>
      <c r="N1988" s="6"/>
      <c r="O1988" s="4"/>
      <c r="P1988" s="4"/>
      <c r="Q1988" s="4"/>
      <c r="R1988" s="4"/>
      <c r="S1988" s="4"/>
      <c r="T1988" s="4"/>
      <c r="U1988" s="4"/>
    </row>
    <row r="1989">
      <c r="A1989" s="4"/>
      <c r="B1989" s="17"/>
      <c r="C1989" s="4"/>
      <c r="D1989" s="4"/>
      <c r="E1989" s="4"/>
      <c r="F1989" s="4"/>
      <c r="G1989" s="17"/>
      <c r="H1989" s="4"/>
      <c r="I1989" s="4"/>
      <c r="J1989" s="4"/>
      <c r="K1989" s="6"/>
      <c r="L1989" s="17"/>
      <c r="M1989" s="4"/>
      <c r="N1989" s="6"/>
      <c r="O1989" s="4"/>
      <c r="P1989" s="4"/>
      <c r="Q1989" s="4"/>
      <c r="R1989" s="4"/>
      <c r="S1989" s="4"/>
      <c r="T1989" s="4"/>
      <c r="U1989" s="4"/>
    </row>
    <row r="1990">
      <c r="A1990" s="4"/>
      <c r="B1990" s="17"/>
      <c r="C1990" s="4"/>
      <c r="D1990" s="4"/>
      <c r="E1990" s="4"/>
      <c r="F1990" s="4"/>
      <c r="G1990" s="17"/>
      <c r="H1990" s="4"/>
      <c r="I1990" s="4"/>
      <c r="J1990" s="4"/>
      <c r="K1990" s="6"/>
      <c r="L1990" s="17"/>
      <c r="M1990" s="4"/>
      <c r="N1990" s="6"/>
      <c r="O1990" s="4"/>
      <c r="P1990" s="4"/>
      <c r="Q1990" s="4"/>
      <c r="R1990" s="4"/>
      <c r="S1990" s="4"/>
      <c r="T1990" s="4"/>
      <c r="U1990" s="4"/>
    </row>
    <row r="1991">
      <c r="A1991" s="4"/>
      <c r="B1991" s="17"/>
      <c r="C1991" s="4"/>
      <c r="D1991" s="4"/>
      <c r="E1991" s="4"/>
      <c r="F1991" s="4"/>
      <c r="G1991" s="17"/>
      <c r="H1991" s="4"/>
      <c r="I1991" s="4"/>
      <c r="J1991" s="4"/>
      <c r="K1991" s="6"/>
      <c r="L1991" s="17"/>
      <c r="M1991" s="4"/>
      <c r="N1991" s="6"/>
      <c r="O1991" s="4"/>
      <c r="P1991" s="4"/>
      <c r="Q1991" s="4"/>
      <c r="R1991" s="4"/>
      <c r="S1991" s="4"/>
      <c r="T1991" s="4"/>
      <c r="U1991" s="4"/>
    </row>
    <row r="1992">
      <c r="A1992" s="4"/>
      <c r="B1992" s="17"/>
      <c r="C1992" s="4"/>
      <c r="D1992" s="4"/>
      <c r="E1992" s="4"/>
      <c r="F1992" s="4"/>
      <c r="G1992" s="17"/>
      <c r="H1992" s="4"/>
      <c r="I1992" s="4"/>
      <c r="J1992" s="4"/>
      <c r="K1992" s="6"/>
      <c r="L1992" s="17"/>
      <c r="M1992" s="4"/>
      <c r="N1992" s="6"/>
      <c r="O1992" s="4"/>
      <c r="P1992" s="4"/>
      <c r="Q1992" s="4"/>
      <c r="R1992" s="4"/>
      <c r="S1992" s="4"/>
      <c r="T1992" s="4"/>
      <c r="U1992" s="4"/>
    </row>
    <row r="1993">
      <c r="A1993" s="4"/>
      <c r="B1993" s="17"/>
      <c r="C1993" s="4"/>
      <c r="D1993" s="4"/>
      <c r="E1993" s="4"/>
      <c r="F1993" s="4"/>
      <c r="G1993" s="17"/>
      <c r="H1993" s="4"/>
      <c r="I1993" s="4"/>
      <c r="J1993" s="4"/>
      <c r="K1993" s="6"/>
      <c r="L1993" s="17"/>
      <c r="M1993" s="4"/>
      <c r="N1993" s="6"/>
      <c r="O1993" s="4"/>
      <c r="P1993" s="4"/>
      <c r="Q1993" s="4"/>
      <c r="R1993" s="4"/>
      <c r="S1993" s="4"/>
      <c r="T1993" s="4"/>
      <c r="U1993" s="4"/>
    </row>
    <row r="1994">
      <c r="A1994" s="4"/>
      <c r="B1994" s="17"/>
      <c r="C1994" s="4"/>
      <c r="D1994" s="4"/>
      <c r="E1994" s="4"/>
      <c r="F1994" s="4"/>
      <c r="G1994" s="17"/>
      <c r="H1994" s="4"/>
      <c r="I1994" s="4"/>
      <c r="J1994" s="4"/>
      <c r="K1994" s="6"/>
      <c r="L1994" s="17"/>
      <c r="M1994" s="4"/>
      <c r="N1994" s="6"/>
      <c r="O1994" s="4"/>
      <c r="P1994" s="4"/>
      <c r="Q1994" s="4"/>
      <c r="R1994" s="4"/>
      <c r="S1994" s="4"/>
      <c r="T1994" s="4"/>
      <c r="U1994" s="4"/>
    </row>
    <row r="1995">
      <c r="A1995" s="4"/>
      <c r="B1995" s="17"/>
      <c r="C1995" s="4"/>
      <c r="D1995" s="4"/>
      <c r="E1995" s="4"/>
      <c r="F1995" s="4"/>
      <c r="G1995" s="17"/>
      <c r="H1995" s="4"/>
      <c r="I1995" s="4"/>
      <c r="J1995" s="4"/>
      <c r="K1995" s="6"/>
      <c r="L1995" s="17"/>
      <c r="M1995" s="4"/>
      <c r="N1995" s="6"/>
      <c r="O1995" s="4"/>
      <c r="P1995" s="4"/>
      <c r="Q1995" s="4"/>
      <c r="R1995" s="4"/>
      <c r="S1995" s="4"/>
      <c r="T1995" s="4"/>
      <c r="U1995" s="4"/>
    </row>
    <row r="1996">
      <c r="A1996" s="4"/>
      <c r="B1996" s="17"/>
      <c r="C1996" s="4"/>
      <c r="D1996" s="4"/>
      <c r="E1996" s="4"/>
      <c r="F1996" s="4"/>
      <c r="G1996" s="17"/>
      <c r="H1996" s="4"/>
      <c r="I1996" s="4"/>
      <c r="J1996" s="4"/>
      <c r="K1996" s="6"/>
      <c r="L1996" s="17"/>
      <c r="M1996" s="4"/>
      <c r="N1996" s="6"/>
      <c r="O1996" s="4"/>
      <c r="P1996" s="4"/>
      <c r="Q1996" s="4"/>
      <c r="R1996" s="4"/>
      <c r="S1996" s="4"/>
      <c r="T1996" s="4"/>
      <c r="U1996" s="4"/>
    </row>
    <row r="1997">
      <c r="A1997" s="4"/>
      <c r="B1997" s="17"/>
      <c r="C1997" s="4"/>
      <c r="D1997" s="4"/>
      <c r="E1997" s="4"/>
      <c r="F1997" s="4"/>
      <c r="G1997" s="17"/>
      <c r="H1997" s="4"/>
      <c r="I1997" s="4"/>
      <c r="J1997" s="4"/>
      <c r="K1997" s="6"/>
      <c r="L1997" s="17"/>
      <c r="M1997" s="4"/>
      <c r="N1997" s="6"/>
      <c r="O1997" s="4"/>
      <c r="P1997" s="4"/>
      <c r="Q1997" s="4"/>
      <c r="R1997" s="4"/>
      <c r="S1997" s="4"/>
      <c r="T1997" s="4"/>
      <c r="U1997" s="4"/>
    </row>
    <row r="1998">
      <c r="A1998" s="4"/>
      <c r="B1998" s="17"/>
      <c r="C1998" s="4"/>
      <c r="D1998" s="4"/>
      <c r="E1998" s="4"/>
      <c r="F1998" s="4"/>
      <c r="G1998" s="17"/>
      <c r="H1998" s="4"/>
      <c r="I1998" s="4"/>
      <c r="J1998" s="4"/>
      <c r="K1998" s="6"/>
      <c r="L1998" s="17"/>
      <c r="M1998" s="4"/>
      <c r="N1998" s="6"/>
      <c r="O1998" s="4"/>
      <c r="P1998" s="4"/>
      <c r="Q1998" s="4"/>
      <c r="R1998" s="4"/>
      <c r="S1998" s="4"/>
      <c r="T1998" s="4"/>
      <c r="U1998" s="4"/>
    </row>
    <row r="1999">
      <c r="A1999" s="4"/>
      <c r="B1999" s="17"/>
      <c r="C1999" s="4"/>
      <c r="D1999" s="4"/>
      <c r="E1999" s="4"/>
      <c r="F1999" s="4"/>
      <c r="G1999" s="17"/>
      <c r="H1999" s="4"/>
      <c r="I1999" s="4"/>
      <c r="J1999" s="4"/>
      <c r="K1999" s="6"/>
      <c r="L1999" s="17"/>
      <c r="M1999" s="4"/>
      <c r="N1999" s="6"/>
      <c r="O1999" s="4"/>
      <c r="P1999" s="4"/>
      <c r="Q1999" s="4"/>
      <c r="R1999" s="4"/>
      <c r="S1999" s="4"/>
      <c r="T1999" s="4"/>
      <c r="U1999" s="4"/>
    </row>
    <row r="2000">
      <c r="A2000" s="4"/>
      <c r="B2000" s="17"/>
      <c r="C2000" s="4"/>
      <c r="D2000" s="4"/>
      <c r="E2000" s="4"/>
      <c r="F2000" s="4"/>
      <c r="G2000" s="17"/>
      <c r="H2000" s="4"/>
      <c r="I2000" s="4"/>
      <c r="J2000" s="4"/>
      <c r="K2000" s="6"/>
      <c r="L2000" s="17"/>
      <c r="M2000" s="4"/>
      <c r="N2000" s="6"/>
      <c r="O2000" s="4"/>
      <c r="P2000" s="4"/>
      <c r="Q2000" s="4"/>
      <c r="R2000" s="4"/>
      <c r="S2000" s="4"/>
      <c r="T2000" s="4"/>
      <c r="U2000" s="4"/>
    </row>
    <row r="2001">
      <c r="A2001" s="4"/>
      <c r="B2001" s="17"/>
      <c r="C2001" s="4"/>
      <c r="D2001" s="4"/>
      <c r="E2001" s="4"/>
      <c r="F2001" s="4"/>
      <c r="G2001" s="17"/>
      <c r="H2001" s="4"/>
      <c r="I2001" s="4"/>
      <c r="J2001" s="4"/>
      <c r="K2001" s="6"/>
      <c r="L2001" s="17"/>
      <c r="M2001" s="4"/>
      <c r="N2001" s="6"/>
      <c r="O2001" s="4"/>
      <c r="P2001" s="4"/>
      <c r="Q2001" s="4"/>
      <c r="R2001" s="4"/>
      <c r="S2001" s="4"/>
      <c r="T2001" s="4"/>
      <c r="U2001" s="4"/>
    </row>
    <row r="2002">
      <c r="A2002" s="4"/>
      <c r="B2002" s="17"/>
      <c r="C2002" s="4"/>
      <c r="D2002" s="4"/>
      <c r="E2002" s="4"/>
      <c r="F2002" s="4"/>
      <c r="G2002" s="17"/>
      <c r="H2002" s="4"/>
      <c r="I2002" s="4"/>
      <c r="J2002" s="4"/>
      <c r="K2002" s="6"/>
      <c r="L2002" s="17"/>
      <c r="M2002" s="4"/>
      <c r="N2002" s="6"/>
      <c r="O2002" s="4"/>
      <c r="P2002" s="4"/>
      <c r="Q2002" s="4"/>
      <c r="R2002" s="4"/>
      <c r="S2002" s="4"/>
      <c r="T2002" s="4"/>
      <c r="U2002" s="4"/>
    </row>
    <row r="2003">
      <c r="A2003" s="4"/>
      <c r="B2003" s="17"/>
      <c r="C2003" s="4"/>
      <c r="D2003" s="4"/>
      <c r="E2003" s="4"/>
      <c r="F2003" s="4"/>
      <c r="G2003" s="17"/>
      <c r="H2003" s="4"/>
      <c r="I2003" s="4"/>
      <c r="J2003" s="4"/>
      <c r="K2003" s="6"/>
      <c r="L2003" s="17"/>
      <c r="M2003" s="4"/>
      <c r="N2003" s="6"/>
      <c r="O2003" s="4"/>
      <c r="P2003" s="4"/>
      <c r="Q2003" s="4"/>
      <c r="R2003" s="4"/>
      <c r="S2003" s="4"/>
      <c r="T2003" s="4"/>
      <c r="U2003" s="4"/>
    </row>
    <row r="2004">
      <c r="A2004" s="4"/>
      <c r="B2004" s="17"/>
      <c r="C2004" s="4"/>
      <c r="D2004" s="4"/>
      <c r="E2004" s="4"/>
      <c r="F2004" s="4"/>
      <c r="G2004" s="17"/>
      <c r="H2004" s="4"/>
      <c r="I2004" s="4"/>
      <c r="J2004" s="4"/>
      <c r="K2004" s="6"/>
      <c r="L2004" s="17"/>
      <c r="M2004" s="4"/>
      <c r="N2004" s="6"/>
      <c r="O2004" s="4"/>
      <c r="P2004" s="4"/>
      <c r="Q2004" s="4"/>
      <c r="R2004" s="4"/>
      <c r="S2004" s="4"/>
      <c r="T2004" s="4"/>
      <c r="U2004" s="4"/>
    </row>
    <row r="2005">
      <c r="A2005" s="4"/>
      <c r="B2005" s="17"/>
      <c r="C2005" s="4"/>
      <c r="D2005" s="4"/>
      <c r="E2005" s="4"/>
      <c r="F2005" s="4"/>
      <c r="G2005" s="17"/>
      <c r="H2005" s="4"/>
      <c r="I2005" s="4"/>
      <c r="J2005" s="4"/>
      <c r="K2005" s="6"/>
      <c r="L2005" s="17"/>
      <c r="M2005" s="4"/>
      <c r="N2005" s="6"/>
      <c r="O2005" s="4"/>
      <c r="P2005" s="4"/>
      <c r="Q2005" s="4"/>
      <c r="R2005" s="4"/>
      <c r="S2005" s="4"/>
      <c r="T2005" s="4"/>
      <c r="U2005" s="4"/>
    </row>
    <row r="2006">
      <c r="A2006" s="4"/>
      <c r="B2006" s="17"/>
      <c r="C2006" s="4"/>
      <c r="D2006" s="4"/>
      <c r="E2006" s="4"/>
      <c r="F2006" s="4"/>
      <c r="G2006" s="17"/>
      <c r="H2006" s="4"/>
      <c r="I2006" s="4"/>
      <c r="J2006" s="4"/>
      <c r="K2006" s="6"/>
      <c r="L2006" s="17"/>
      <c r="M2006" s="4"/>
      <c r="N2006" s="6"/>
      <c r="O2006" s="4"/>
      <c r="P2006" s="4"/>
      <c r="Q2006" s="4"/>
      <c r="R2006" s="4"/>
      <c r="S2006" s="4"/>
      <c r="T2006" s="4"/>
      <c r="U2006" s="4"/>
    </row>
    <row r="2007">
      <c r="A2007" s="4"/>
      <c r="B2007" s="17"/>
      <c r="C2007" s="4"/>
      <c r="D2007" s="4"/>
      <c r="E2007" s="4"/>
      <c r="F2007" s="4"/>
      <c r="G2007" s="17"/>
      <c r="H2007" s="4"/>
      <c r="I2007" s="4"/>
      <c r="J2007" s="4"/>
      <c r="K2007" s="6"/>
      <c r="L2007" s="17"/>
      <c r="M2007" s="4"/>
      <c r="N2007" s="6"/>
      <c r="O2007" s="4"/>
      <c r="P2007" s="4"/>
      <c r="Q2007" s="4"/>
      <c r="R2007" s="4"/>
      <c r="S2007" s="4"/>
      <c r="T2007" s="4"/>
      <c r="U2007" s="4"/>
    </row>
    <row r="2008">
      <c r="A2008" s="4"/>
      <c r="B2008" s="17"/>
      <c r="C2008" s="4"/>
      <c r="D2008" s="4"/>
      <c r="E2008" s="4"/>
      <c r="F2008" s="4"/>
      <c r="G2008" s="17"/>
      <c r="H2008" s="4"/>
      <c r="I2008" s="4"/>
      <c r="J2008" s="4"/>
      <c r="K2008" s="6"/>
      <c r="L2008" s="17"/>
      <c r="M2008" s="4"/>
      <c r="N2008" s="6"/>
      <c r="O2008" s="4"/>
      <c r="P2008" s="4"/>
      <c r="Q2008" s="4"/>
      <c r="R2008" s="4"/>
      <c r="S2008" s="4"/>
      <c r="T2008" s="4"/>
      <c r="U2008" s="4"/>
    </row>
    <row r="2009">
      <c r="A2009" s="4"/>
      <c r="B2009" s="17"/>
      <c r="C2009" s="4"/>
      <c r="D2009" s="4"/>
      <c r="E2009" s="4"/>
      <c r="F2009" s="4"/>
      <c r="G2009" s="17"/>
      <c r="H2009" s="4"/>
      <c r="I2009" s="4"/>
      <c r="J2009" s="4"/>
      <c r="K2009" s="6"/>
      <c r="L2009" s="17"/>
      <c r="M2009" s="4"/>
      <c r="N2009" s="6"/>
      <c r="O2009" s="4"/>
      <c r="P2009" s="4"/>
      <c r="Q2009" s="4"/>
      <c r="R2009" s="4"/>
      <c r="S2009" s="4"/>
      <c r="T2009" s="4"/>
      <c r="U2009" s="4"/>
    </row>
    <row r="2010">
      <c r="A2010" s="4"/>
      <c r="B2010" s="17"/>
      <c r="C2010" s="4"/>
      <c r="D2010" s="4"/>
      <c r="E2010" s="4"/>
      <c r="F2010" s="4"/>
      <c r="G2010" s="17"/>
      <c r="H2010" s="4"/>
      <c r="I2010" s="4"/>
      <c r="J2010" s="4"/>
      <c r="K2010" s="6"/>
      <c r="L2010" s="17"/>
      <c r="M2010" s="4"/>
      <c r="N2010" s="6"/>
      <c r="O2010" s="4"/>
      <c r="P2010" s="4"/>
      <c r="Q2010" s="4"/>
      <c r="R2010" s="4"/>
      <c r="S2010" s="4"/>
      <c r="T2010" s="4"/>
      <c r="U2010" s="4"/>
    </row>
    <row r="2011">
      <c r="A2011" s="4"/>
      <c r="B2011" s="17"/>
      <c r="C2011" s="4"/>
      <c r="D2011" s="4"/>
      <c r="E2011" s="4"/>
      <c r="F2011" s="4"/>
      <c r="G2011" s="17"/>
      <c r="H2011" s="4"/>
      <c r="I2011" s="4"/>
      <c r="J2011" s="4"/>
      <c r="K2011" s="6"/>
      <c r="L2011" s="17"/>
      <c r="M2011" s="4"/>
      <c r="N2011" s="6"/>
      <c r="O2011" s="4"/>
      <c r="P2011" s="4"/>
      <c r="Q2011" s="4"/>
      <c r="R2011" s="4"/>
      <c r="S2011" s="4"/>
      <c r="T2011" s="4"/>
      <c r="U2011" s="4"/>
    </row>
    <row r="2012">
      <c r="A2012" s="4"/>
      <c r="B2012" s="17"/>
      <c r="C2012" s="4"/>
      <c r="D2012" s="4"/>
      <c r="E2012" s="4"/>
      <c r="F2012" s="4"/>
      <c r="G2012" s="17"/>
      <c r="H2012" s="4"/>
      <c r="I2012" s="4"/>
      <c r="J2012" s="4"/>
      <c r="K2012" s="6"/>
      <c r="L2012" s="17"/>
      <c r="M2012" s="4"/>
      <c r="N2012" s="6"/>
      <c r="O2012" s="4"/>
      <c r="P2012" s="4"/>
      <c r="Q2012" s="4"/>
      <c r="R2012" s="4"/>
      <c r="S2012" s="4"/>
      <c r="T2012" s="4"/>
      <c r="U2012" s="4"/>
    </row>
    <row r="2013">
      <c r="A2013" s="4"/>
      <c r="B2013" s="17"/>
      <c r="C2013" s="4"/>
      <c r="D2013" s="4"/>
      <c r="E2013" s="4"/>
      <c r="F2013" s="4"/>
      <c r="G2013" s="17"/>
      <c r="H2013" s="4"/>
      <c r="I2013" s="4"/>
      <c r="J2013" s="4"/>
      <c r="K2013" s="6"/>
      <c r="L2013" s="17"/>
      <c r="M2013" s="4"/>
      <c r="N2013" s="6"/>
      <c r="O2013" s="4"/>
      <c r="P2013" s="4"/>
      <c r="Q2013" s="4"/>
      <c r="R2013" s="4"/>
      <c r="S2013" s="4"/>
      <c r="T2013" s="4"/>
      <c r="U2013" s="4"/>
    </row>
    <row r="2014">
      <c r="A2014" s="4"/>
      <c r="B2014" s="17"/>
      <c r="C2014" s="4"/>
      <c r="D2014" s="4"/>
      <c r="E2014" s="4"/>
      <c r="F2014" s="4"/>
      <c r="G2014" s="17"/>
      <c r="H2014" s="4"/>
      <c r="I2014" s="4"/>
      <c r="J2014" s="4"/>
      <c r="K2014" s="6"/>
      <c r="L2014" s="17"/>
      <c r="M2014" s="4"/>
      <c r="N2014" s="6"/>
      <c r="O2014" s="4"/>
      <c r="P2014" s="4"/>
      <c r="Q2014" s="4"/>
      <c r="R2014" s="4"/>
      <c r="S2014" s="4"/>
      <c r="T2014" s="4"/>
      <c r="U2014" s="4"/>
    </row>
    <row r="2015">
      <c r="A2015" s="4"/>
      <c r="B2015" s="17"/>
      <c r="C2015" s="4"/>
      <c r="D2015" s="4"/>
      <c r="E2015" s="4"/>
      <c r="F2015" s="4"/>
      <c r="G2015" s="17"/>
      <c r="H2015" s="4"/>
      <c r="I2015" s="4"/>
      <c r="J2015" s="4"/>
      <c r="K2015" s="6"/>
      <c r="L2015" s="17"/>
      <c r="M2015" s="4"/>
      <c r="N2015" s="6"/>
      <c r="O2015" s="4"/>
      <c r="P2015" s="4"/>
      <c r="Q2015" s="4"/>
      <c r="R2015" s="4"/>
      <c r="S2015" s="4"/>
      <c r="T2015" s="4"/>
      <c r="U2015" s="4"/>
    </row>
    <row r="2016">
      <c r="A2016" s="4"/>
      <c r="B2016" s="17"/>
      <c r="C2016" s="4"/>
      <c r="D2016" s="4"/>
      <c r="E2016" s="4"/>
      <c r="F2016" s="4"/>
      <c r="G2016" s="17"/>
      <c r="H2016" s="4"/>
      <c r="I2016" s="4"/>
      <c r="J2016" s="4"/>
      <c r="K2016" s="6"/>
      <c r="L2016" s="17"/>
      <c r="M2016" s="4"/>
      <c r="N2016" s="6"/>
      <c r="O2016" s="4"/>
      <c r="P2016" s="4"/>
      <c r="Q2016" s="4"/>
      <c r="R2016" s="4"/>
      <c r="S2016" s="4"/>
      <c r="T2016" s="4"/>
      <c r="U2016" s="4"/>
    </row>
    <row r="2017">
      <c r="A2017" s="4"/>
      <c r="B2017" s="17"/>
      <c r="C2017" s="4"/>
      <c r="D2017" s="4"/>
      <c r="E2017" s="4"/>
      <c r="F2017" s="4"/>
      <c r="G2017" s="17"/>
      <c r="H2017" s="4"/>
      <c r="I2017" s="4"/>
      <c r="J2017" s="4"/>
      <c r="K2017" s="6"/>
      <c r="L2017" s="17"/>
      <c r="M2017" s="4"/>
      <c r="N2017" s="6"/>
      <c r="O2017" s="4"/>
      <c r="P2017" s="4"/>
      <c r="Q2017" s="4"/>
      <c r="R2017" s="4"/>
      <c r="S2017" s="4"/>
      <c r="T2017" s="4"/>
      <c r="U2017" s="4"/>
    </row>
    <row r="2018">
      <c r="A2018" s="4"/>
      <c r="B2018" s="17"/>
      <c r="C2018" s="4"/>
      <c r="D2018" s="4"/>
      <c r="E2018" s="4"/>
      <c r="F2018" s="4"/>
      <c r="G2018" s="17"/>
      <c r="H2018" s="4"/>
      <c r="I2018" s="4"/>
      <c r="J2018" s="4"/>
      <c r="K2018" s="6"/>
      <c r="L2018" s="17"/>
      <c r="M2018" s="4"/>
      <c r="N2018" s="6"/>
      <c r="O2018" s="4"/>
      <c r="P2018" s="4"/>
      <c r="Q2018" s="4"/>
      <c r="R2018" s="4"/>
      <c r="S2018" s="4"/>
      <c r="T2018" s="4"/>
      <c r="U2018" s="4"/>
    </row>
    <row r="2019">
      <c r="A2019" s="4"/>
      <c r="B2019" s="17"/>
      <c r="C2019" s="4"/>
      <c r="D2019" s="4"/>
      <c r="E2019" s="4"/>
      <c r="F2019" s="4"/>
      <c r="G2019" s="17"/>
      <c r="H2019" s="4"/>
      <c r="I2019" s="4"/>
      <c r="J2019" s="4"/>
      <c r="K2019" s="6"/>
      <c r="L2019" s="17"/>
      <c r="M2019" s="4"/>
      <c r="N2019" s="6"/>
      <c r="O2019" s="4"/>
      <c r="P2019" s="4"/>
      <c r="Q2019" s="4"/>
      <c r="R2019" s="4"/>
      <c r="S2019" s="4"/>
      <c r="T2019" s="4"/>
      <c r="U2019" s="4"/>
    </row>
    <row r="2020">
      <c r="A2020" s="4"/>
      <c r="B2020" s="17"/>
      <c r="C2020" s="4"/>
      <c r="D2020" s="4"/>
      <c r="E2020" s="4"/>
      <c r="F2020" s="4"/>
      <c r="G2020" s="17"/>
      <c r="H2020" s="4"/>
      <c r="I2020" s="4"/>
      <c r="J2020" s="4"/>
      <c r="K2020" s="6"/>
      <c r="L2020" s="17"/>
      <c r="M2020" s="4"/>
      <c r="N2020" s="6"/>
      <c r="O2020" s="4"/>
      <c r="P2020" s="4"/>
      <c r="Q2020" s="4"/>
      <c r="R2020" s="4"/>
      <c r="S2020" s="4"/>
      <c r="T2020" s="4"/>
      <c r="U2020" s="4"/>
    </row>
    <row r="2021">
      <c r="A2021" s="4"/>
      <c r="B2021" s="17"/>
      <c r="C2021" s="4"/>
      <c r="D2021" s="4"/>
      <c r="E2021" s="4"/>
      <c r="F2021" s="4"/>
      <c r="G2021" s="17"/>
      <c r="H2021" s="4"/>
      <c r="I2021" s="4"/>
      <c r="J2021" s="4"/>
      <c r="K2021" s="6"/>
      <c r="L2021" s="17"/>
      <c r="M2021" s="4"/>
      <c r="N2021" s="6"/>
      <c r="O2021" s="4"/>
      <c r="P2021" s="4"/>
      <c r="Q2021" s="4"/>
      <c r="R2021" s="4"/>
      <c r="S2021" s="4"/>
      <c r="T2021" s="4"/>
      <c r="U2021" s="4"/>
    </row>
    <row r="2022">
      <c r="A2022" s="4"/>
      <c r="B2022" s="17"/>
      <c r="C2022" s="4"/>
      <c r="D2022" s="4"/>
      <c r="E2022" s="4"/>
      <c r="F2022" s="4"/>
      <c r="G2022" s="17"/>
      <c r="H2022" s="4"/>
      <c r="I2022" s="4"/>
      <c r="J2022" s="4"/>
      <c r="K2022" s="6"/>
      <c r="L2022" s="17"/>
      <c r="M2022" s="4"/>
      <c r="N2022" s="6"/>
      <c r="O2022" s="4"/>
      <c r="P2022" s="4"/>
      <c r="Q2022" s="4"/>
      <c r="R2022" s="4"/>
      <c r="S2022" s="4"/>
      <c r="T2022" s="4"/>
      <c r="U2022" s="4"/>
    </row>
    <row r="2023">
      <c r="A2023" s="4"/>
      <c r="B2023" s="17"/>
      <c r="C2023" s="4"/>
      <c r="D2023" s="4"/>
      <c r="E2023" s="4"/>
      <c r="F2023" s="4"/>
      <c r="G2023" s="17"/>
      <c r="H2023" s="4"/>
      <c r="I2023" s="4"/>
      <c r="J2023" s="4"/>
      <c r="K2023" s="6"/>
      <c r="L2023" s="17"/>
      <c r="M2023" s="4"/>
      <c r="N2023" s="6"/>
      <c r="O2023" s="4"/>
      <c r="P2023" s="4"/>
      <c r="Q2023" s="4"/>
      <c r="R2023" s="4"/>
      <c r="S2023" s="4"/>
      <c r="T2023" s="4"/>
      <c r="U2023" s="4"/>
    </row>
    <row r="2024">
      <c r="A2024" s="4"/>
      <c r="B2024" s="17"/>
      <c r="C2024" s="4"/>
      <c r="D2024" s="4"/>
      <c r="E2024" s="4"/>
      <c r="F2024" s="4"/>
      <c r="G2024" s="17"/>
      <c r="H2024" s="4"/>
      <c r="I2024" s="4"/>
      <c r="J2024" s="4"/>
      <c r="K2024" s="6"/>
      <c r="L2024" s="17"/>
      <c r="M2024" s="4"/>
      <c r="N2024" s="6"/>
      <c r="O2024" s="4"/>
      <c r="P2024" s="4"/>
      <c r="Q2024" s="4"/>
      <c r="R2024" s="4"/>
      <c r="S2024" s="4"/>
      <c r="T2024" s="4"/>
      <c r="U2024" s="4"/>
    </row>
    <row r="2025">
      <c r="A2025" s="4"/>
      <c r="B2025" s="17"/>
      <c r="C2025" s="4"/>
      <c r="D2025" s="4"/>
      <c r="E2025" s="4"/>
      <c r="F2025" s="4"/>
      <c r="G2025" s="17"/>
      <c r="H2025" s="4"/>
      <c r="I2025" s="4"/>
      <c r="J2025" s="4"/>
      <c r="K2025" s="6"/>
      <c r="L2025" s="17"/>
      <c r="M2025" s="4"/>
      <c r="N2025" s="6"/>
      <c r="O2025" s="4"/>
      <c r="P2025" s="4"/>
      <c r="Q2025" s="4"/>
      <c r="R2025" s="4"/>
      <c r="S2025" s="4"/>
      <c r="T2025" s="4"/>
      <c r="U2025" s="4"/>
    </row>
    <row r="2026">
      <c r="A2026" s="4"/>
      <c r="B2026" s="17"/>
      <c r="C2026" s="4"/>
      <c r="D2026" s="4"/>
      <c r="E2026" s="4"/>
      <c r="F2026" s="4"/>
      <c r="G2026" s="17"/>
      <c r="H2026" s="4"/>
      <c r="I2026" s="4"/>
      <c r="J2026" s="4"/>
      <c r="K2026" s="6"/>
      <c r="L2026" s="17"/>
      <c r="M2026" s="4"/>
      <c r="N2026" s="6"/>
      <c r="O2026" s="4"/>
      <c r="P2026" s="4"/>
      <c r="Q2026" s="4"/>
      <c r="R2026" s="4"/>
      <c r="S2026" s="4"/>
      <c r="T2026" s="4"/>
      <c r="U2026" s="4"/>
    </row>
    <row r="2027">
      <c r="A2027" s="4"/>
      <c r="B2027" s="17"/>
      <c r="C2027" s="4"/>
      <c r="D2027" s="4"/>
      <c r="E2027" s="4"/>
      <c r="F2027" s="4"/>
      <c r="G2027" s="17"/>
      <c r="H2027" s="4"/>
      <c r="I2027" s="4"/>
      <c r="J2027" s="4"/>
      <c r="K2027" s="6"/>
      <c r="L2027" s="17"/>
      <c r="M2027" s="4"/>
      <c r="N2027" s="6"/>
      <c r="O2027" s="4"/>
      <c r="P2027" s="4"/>
      <c r="Q2027" s="4"/>
      <c r="R2027" s="4"/>
      <c r="S2027" s="4"/>
      <c r="T2027" s="4"/>
      <c r="U2027" s="4"/>
    </row>
    <row r="2028">
      <c r="A2028" s="4"/>
      <c r="B2028" s="17"/>
      <c r="C2028" s="4"/>
      <c r="D2028" s="4"/>
      <c r="E2028" s="4"/>
      <c r="F2028" s="4"/>
      <c r="G2028" s="17"/>
      <c r="H2028" s="4"/>
      <c r="I2028" s="4"/>
      <c r="J2028" s="4"/>
      <c r="K2028" s="6"/>
      <c r="L2028" s="17"/>
      <c r="M2028" s="4"/>
      <c r="N2028" s="6"/>
      <c r="O2028" s="4"/>
      <c r="P2028" s="4"/>
      <c r="Q2028" s="4"/>
      <c r="R2028" s="4"/>
      <c r="S2028" s="4"/>
      <c r="T2028" s="4"/>
      <c r="U2028" s="4"/>
    </row>
    <row r="2029">
      <c r="A2029" s="4"/>
      <c r="B2029" s="17"/>
      <c r="C2029" s="4"/>
      <c r="D2029" s="4"/>
      <c r="E2029" s="4"/>
      <c r="F2029" s="4"/>
      <c r="G2029" s="17"/>
      <c r="H2029" s="4"/>
      <c r="I2029" s="4"/>
      <c r="J2029" s="4"/>
      <c r="K2029" s="6"/>
      <c r="L2029" s="17"/>
      <c r="M2029" s="4"/>
      <c r="N2029" s="6"/>
      <c r="O2029" s="4"/>
      <c r="P2029" s="4"/>
      <c r="Q2029" s="4"/>
      <c r="R2029" s="4"/>
      <c r="S2029" s="4"/>
      <c r="T2029" s="4"/>
      <c r="U2029" s="4"/>
    </row>
    <row r="2030">
      <c r="A2030" s="4"/>
      <c r="B2030" s="17"/>
      <c r="C2030" s="4"/>
      <c r="D2030" s="4"/>
      <c r="E2030" s="4"/>
      <c r="F2030" s="4"/>
      <c r="G2030" s="17"/>
      <c r="H2030" s="4"/>
      <c r="I2030" s="4"/>
      <c r="J2030" s="4"/>
      <c r="K2030" s="6"/>
      <c r="L2030" s="17"/>
      <c r="M2030" s="4"/>
      <c r="N2030" s="6"/>
      <c r="O2030" s="4"/>
      <c r="P2030" s="4"/>
      <c r="Q2030" s="4"/>
      <c r="R2030" s="4"/>
      <c r="S2030" s="4"/>
      <c r="T2030" s="4"/>
      <c r="U2030" s="4"/>
    </row>
    <row r="2031">
      <c r="A2031" s="4"/>
      <c r="B2031" s="17"/>
      <c r="C2031" s="4"/>
      <c r="D2031" s="4"/>
      <c r="E2031" s="4"/>
      <c r="F2031" s="4"/>
      <c r="G2031" s="17"/>
      <c r="H2031" s="4"/>
      <c r="I2031" s="4"/>
      <c r="J2031" s="4"/>
      <c r="K2031" s="6"/>
      <c r="L2031" s="17"/>
      <c r="M2031" s="4"/>
      <c r="N2031" s="6"/>
      <c r="O2031" s="4"/>
      <c r="P2031" s="4"/>
      <c r="Q2031" s="4"/>
      <c r="R2031" s="4"/>
      <c r="S2031" s="4"/>
      <c r="T2031" s="4"/>
      <c r="U2031" s="4"/>
    </row>
    <row r="2032">
      <c r="A2032" s="4"/>
      <c r="B2032" s="17"/>
      <c r="C2032" s="4"/>
      <c r="D2032" s="4"/>
      <c r="E2032" s="4"/>
      <c r="F2032" s="4"/>
      <c r="G2032" s="17"/>
      <c r="H2032" s="4"/>
      <c r="I2032" s="4"/>
      <c r="J2032" s="4"/>
      <c r="K2032" s="6"/>
      <c r="L2032" s="17"/>
      <c r="M2032" s="4"/>
      <c r="N2032" s="6"/>
      <c r="O2032" s="4"/>
      <c r="P2032" s="4"/>
      <c r="Q2032" s="4"/>
      <c r="R2032" s="4"/>
      <c r="S2032" s="4"/>
      <c r="T2032" s="4"/>
      <c r="U2032" s="4"/>
    </row>
    <row r="2033">
      <c r="A2033" s="4"/>
      <c r="B2033" s="17"/>
      <c r="C2033" s="4"/>
      <c r="D2033" s="4"/>
      <c r="E2033" s="4"/>
      <c r="F2033" s="4"/>
      <c r="G2033" s="17"/>
      <c r="H2033" s="4"/>
      <c r="I2033" s="4"/>
      <c r="J2033" s="4"/>
      <c r="K2033" s="6"/>
      <c r="L2033" s="17"/>
      <c r="M2033" s="4"/>
      <c r="N2033" s="6"/>
      <c r="O2033" s="4"/>
      <c r="P2033" s="4"/>
      <c r="Q2033" s="4"/>
      <c r="R2033" s="4"/>
      <c r="S2033" s="4"/>
      <c r="T2033" s="4"/>
      <c r="U2033" s="4"/>
    </row>
    <row r="2034">
      <c r="A2034" s="4"/>
      <c r="B2034" s="17"/>
      <c r="C2034" s="4"/>
      <c r="D2034" s="4"/>
      <c r="E2034" s="4"/>
      <c r="F2034" s="4"/>
      <c r="G2034" s="17"/>
      <c r="H2034" s="4"/>
      <c r="I2034" s="4"/>
      <c r="J2034" s="4"/>
      <c r="K2034" s="6"/>
      <c r="L2034" s="17"/>
      <c r="M2034" s="4"/>
      <c r="N2034" s="6"/>
      <c r="O2034" s="4"/>
      <c r="P2034" s="4"/>
      <c r="Q2034" s="4"/>
      <c r="R2034" s="4"/>
      <c r="S2034" s="4"/>
      <c r="T2034" s="4"/>
      <c r="U2034" s="4"/>
    </row>
    <row r="2035">
      <c r="A2035" s="4"/>
      <c r="B2035" s="17"/>
      <c r="C2035" s="4"/>
      <c r="D2035" s="4"/>
      <c r="E2035" s="4"/>
      <c r="F2035" s="4"/>
      <c r="G2035" s="17"/>
      <c r="H2035" s="4"/>
      <c r="I2035" s="4"/>
      <c r="J2035" s="4"/>
      <c r="K2035" s="6"/>
      <c r="L2035" s="17"/>
      <c r="M2035" s="4"/>
      <c r="N2035" s="6"/>
      <c r="O2035" s="4"/>
      <c r="P2035" s="4"/>
      <c r="Q2035" s="4"/>
      <c r="R2035" s="4"/>
      <c r="S2035" s="4"/>
      <c r="T2035" s="4"/>
      <c r="U2035" s="4"/>
    </row>
    <row r="2036">
      <c r="A2036" s="4"/>
      <c r="B2036" s="17"/>
      <c r="C2036" s="4"/>
      <c r="D2036" s="4"/>
      <c r="E2036" s="4"/>
      <c r="F2036" s="4"/>
      <c r="G2036" s="17"/>
      <c r="H2036" s="4"/>
      <c r="I2036" s="4"/>
      <c r="J2036" s="4"/>
      <c r="K2036" s="6"/>
      <c r="L2036" s="17"/>
      <c r="M2036" s="4"/>
      <c r="N2036" s="6"/>
      <c r="O2036" s="4"/>
      <c r="P2036" s="4"/>
      <c r="Q2036" s="4"/>
      <c r="R2036" s="4"/>
      <c r="S2036" s="4"/>
      <c r="T2036" s="4"/>
      <c r="U2036" s="4"/>
    </row>
    <row r="2037">
      <c r="A2037" s="4"/>
      <c r="B2037" s="17"/>
      <c r="C2037" s="4"/>
      <c r="D2037" s="4"/>
      <c r="E2037" s="4"/>
      <c r="F2037" s="4"/>
      <c r="G2037" s="17"/>
      <c r="H2037" s="4"/>
      <c r="I2037" s="4"/>
      <c r="J2037" s="4"/>
      <c r="K2037" s="6"/>
      <c r="L2037" s="17"/>
      <c r="M2037" s="4"/>
      <c r="N2037" s="6"/>
      <c r="O2037" s="4"/>
      <c r="P2037" s="4"/>
      <c r="Q2037" s="4"/>
      <c r="R2037" s="4"/>
      <c r="S2037" s="4"/>
      <c r="T2037" s="4"/>
      <c r="U2037" s="4"/>
    </row>
    <row r="2038">
      <c r="A2038" s="4"/>
      <c r="B2038" s="17"/>
      <c r="C2038" s="4"/>
      <c r="D2038" s="4"/>
      <c r="E2038" s="4"/>
      <c r="F2038" s="4"/>
      <c r="G2038" s="17"/>
      <c r="H2038" s="4"/>
      <c r="I2038" s="4"/>
      <c r="J2038" s="4"/>
      <c r="K2038" s="6"/>
      <c r="L2038" s="17"/>
      <c r="M2038" s="4"/>
      <c r="N2038" s="6"/>
      <c r="O2038" s="4"/>
      <c r="P2038" s="4"/>
      <c r="Q2038" s="4"/>
      <c r="R2038" s="4"/>
      <c r="S2038" s="4"/>
      <c r="T2038" s="4"/>
      <c r="U2038" s="4"/>
    </row>
    <row r="2039">
      <c r="A2039" s="4"/>
      <c r="B2039" s="17"/>
      <c r="C2039" s="4"/>
      <c r="D2039" s="4"/>
      <c r="E2039" s="4"/>
      <c r="F2039" s="4"/>
      <c r="G2039" s="17"/>
      <c r="H2039" s="4"/>
      <c r="I2039" s="4"/>
      <c r="J2039" s="4"/>
      <c r="K2039" s="6"/>
      <c r="L2039" s="17"/>
      <c r="M2039" s="4"/>
      <c r="N2039" s="6"/>
      <c r="O2039" s="4"/>
      <c r="P2039" s="4"/>
      <c r="Q2039" s="4"/>
      <c r="R2039" s="4"/>
      <c r="S2039" s="4"/>
      <c r="T2039" s="4"/>
      <c r="U2039" s="4"/>
    </row>
    <row r="2040">
      <c r="A2040" s="4"/>
      <c r="B2040" s="17"/>
      <c r="C2040" s="4"/>
      <c r="D2040" s="4"/>
      <c r="E2040" s="4"/>
      <c r="F2040" s="4"/>
      <c r="G2040" s="17"/>
      <c r="H2040" s="4"/>
      <c r="I2040" s="4"/>
      <c r="J2040" s="4"/>
      <c r="K2040" s="6"/>
      <c r="L2040" s="17"/>
      <c r="M2040" s="4"/>
      <c r="N2040" s="6"/>
      <c r="O2040" s="4"/>
      <c r="P2040" s="4"/>
      <c r="Q2040" s="4"/>
      <c r="R2040" s="4"/>
      <c r="S2040" s="4"/>
      <c r="T2040" s="4"/>
      <c r="U2040" s="4"/>
    </row>
    <row r="2041">
      <c r="A2041" s="4"/>
      <c r="B2041" s="17"/>
      <c r="C2041" s="4"/>
      <c r="D2041" s="4"/>
      <c r="E2041" s="4"/>
      <c r="F2041" s="4"/>
      <c r="G2041" s="17"/>
      <c r="H2041" s="4"/>
      <c r="I2041" s="4"/>
      <c r="J2041" s="4"/>
      <c r="K2041" s="6"/>
      <c r="L2041" s="17"/>
      <c r="M2041" s="4"/>
      <c r="N2041" s="6"/>
      <c r="O2041" s="4"/>
      <c r="P2041" s="4"/>
      <c r="Q2041" s="4"/>
      <c r="R2041" s="4"/>
      <c r="S2041" s="4"/>
      <c r="T2041" s="4"/>
      <c r="U2041" s="4"/>
    </row>
    <row r="2042">
      <c r="A2042" s="4"/>
      <c r="B2042" s="17"/>
      <c r="C2042" s="4"/>
      <c r="D2042" s="4"/>
      <c r="E2042" s="4"/>
      <c r="F2042" s="4"/>
      <c r="G2042" s="17"/>
      <c r="H2042" s="4"/>
      <c r="I2042" s="4"/>
      <c r="J2042" s="4"/>
      <c r="K2042" s="6"/>
      <c r="L2042" s="17"/>
      <c r="M2042" s="4"/>
      <c r="N2042" s="6"/>
      <c r="O2042" s="4"/>
      <c r="P2042" s="4"/>
      <c r="Q2042" s="4"/>
      <c r="R2042" s="4"/>
      <c r="S2042" s="4"/>
      <c r="T2042" s="4"/>
      <c r="U2042" s="4"/>
    </row>
    <row r="2043">
      <c r="A2043" s="4"/>
      <c r="B2043" s="17"/>
      <c r="C2043" s="4"/>
      <c r="D2043" s="4"/>
      <c r="E2043" s="4"/>
      <c r="F2043" s="4"/>
      <c r="G2043" s="17"/>
      <c r="H2043" s="4"/>
      <c r="I2043" s="4"/>
      <c r="J2043" s="4"/>
      <c r="K2043" s="6"/>
      <c r="L2043" s="17"/>
      <c r="M2043" s="4"/>
      <c r="N2043" s="6"/>
      <c r="O2043" s="4"/>
      <c r="P2043" s="4"/>
      <c r="Q2043" s="4"/>
      <c r="R2043" s="4"/>
      <c r="S2043" s="4"/>
      <c r="T2043" s="4"/>
      <c r="U2043" s="4"/>
    </row>
    <row r="2044">
      <c r="A2044" s="4"/>
      <c r="B2044" s="17"/>
      <c r="C2044" s="4"/>
      <c r="D2044" s="4"/>
      <c r="E2044" s="4"/>
      <c r="F2044" s="4"/>
      <c r="G2044" s="17"/>
      <c r="H2044" s="4"/>
      <c r="I2044" s="4"/>
      <c r="J2044" s="4"/>
      <c r="K2044" s="6"/>
      <c r="L2044" s="17"/>
      <c r="M2044" s="4"/>
      <c r="N2044" s="6"/>
      <c r="O2044" s="4"/>
      <c r="P2044" s="4"/>
      <c r="Q2044" s="4"/>
      <c r="R2044" s="4"/>
      <c r="S2044" s="4"/>
      <c r="T2044" s="4"/>
      <c r="U2044" s="4"/>
    </row>
    <row r="2045">
      <c r="A2045" s="4"/>
      <c r="B2045" s="17"/>
      <c r="C2045" s="4"/>
      <c r="D2045" s="4"/>
      <c r="E2045" s="4"/>
      <c r="F2045" s="4"/>
      <c r="G2045" s="17"/>
      <c r="H2045" s="4"/>
      <c r="I2045" s="4"/>
      <c r="J2045" s="4"/>
      <c r="K2045" s="6"/>
      <c r="L2045" s="17"/>
      <c r="M2045" s="4"/>
      <c r="N2045" s="6"/>
      <c r="O2045" s="4"/>
      <c r="P2045" s="4"/>
      <c r="Q2045" s="4"/>
      <c r="R2045" s="4"/>
      <c r="S2045" s="4"/>
      <c r="T2045" s="4"/>
      <c r="U2045" s="4"/>
    </row>
    <row r="2046">
      <c r="A2046" s="4"/>
      <c r="B2046" s="17"/>
      <c r="C2046" s="4"/>
      <c r="D2046" s="4"/>
      <c r="E2046" s="4"/>
      <c r="F2046" s="4"/>
      <c r="G2046" s="17"/>
      <c r="H2046" s="4"/>
      <c r="I2046" s="4"/>
      <c r="J2046" s="4"/>
      <c r="K2046" s="6"/>
      <c r="L2046" s="17"/>
      <c r="M2046" s="4"/>
      <c r="N2046" s="6"/>
      <c r="O2046" s="4"/>
      <c r="P2046" s="4"/>
      <c r="Q2046" s="4"/>
      <c r="R2046" s="4"/>
      <c r="S2046" s="4"/>
      <c r="T2046" s="4"/>
      <c r="U2046" s="4"/>
    </row>
    <row r="2047">
      <c r="A2047" s="4"/>
      <c r="B2047" s="17"/>
      <c r="C2047" s="4"/>
      <c r="D2047" s="4"/>
      <c r="E2047" s="4"/>
      <c r="F2047" s="4"/>
      <c r="G2047" s="17"/>
      <c r="H2047" s="4"/>
      <c r="I2047" s="4"/>
      <c r="J2047" s="4"/>
      <c r="K2047" s="6"/>
      <c r="L2047" s="17"/>
      <c r="M2047" s="4"/>
      <c r="N2047" s="6"/>
      <c r="O2047" s="4"/>
      <c r="P2047" s="4"/>
      <c r="Q2047" s="4"/>
      <c r="R2047" s="4"/>
      <c r="S2047" s="4"/>
      <c r="T2047" s="4"/>
      <c r="U2047" s="4"/>
    </row>
    <row r="2048">
      <c r="A2048" s="4"/>
      <c r="B2048" s="17"/>
      <c r="C2048" s="4"/>
      <c r="D2048" s="4"/>
      <c r="E2048" s="4"/>
      <c r="F2048" s="4"/>
      <c r="G2048" s="17"/>
      <c r="H2048" s="4"/>
      <c r="I2048" s="4"/>
      <c r="J2048" s="4"/>
      <c r="K2048" s="6"/>
      <c r="L2048" s="17"/>
      <c r="M2048" s="4"/>
      <c r="N2048" s="6"/>
      <c r="O2048" s="4"/>
      <c r="P2048" s="4"/>
      <c r="Q2048" s="4"/>
      <c r="R2048" s="4"/>
      <c r="S2048" s="4"/>
      <c r="T2048" s="4"/>
      <c r="U2048" s="4"/>
    </row>
    <row r="2049">
      <c r="A2049" s="4"/>
      <c r="B2049" s="17"/>
      <c r="C2049" s="4"/>
      <c r="D2049" s="4"/>
      <c r="E2049" s="4"/>
      <c r="F2049" s="4"/>
      <c r="G2049" s="17"/>
      <c r="H2049" s="4"/>
      <c r="I2049" s="4"/>
      <c r="J2049" s="4"/>
      <c r="K2049" s="6"/>
      <c r="L2049" s="17"/>
      <c r="M2049" s="4"/>
      <c r="N2049" s="6"/>
      <c r="O2049" s="4"/>
      <c r="P2049" s="4"/>
      <c r="Q2049" s="4"/>
      <c r="R2049" s="4"/>
      <c r="S2049" s="4"/>
      <c r="T2049" s="4"/>
      <c r="U2049" s="4"/>
    </row>
    <row r="2050">
      <c r="A2050" s="4"/>
      <c r="B2050" s="17"/>
      <c r="C2050" s="4"/>
      <c r="D2050" s="4"/>
      <c r="E2050" s="4"/>
      <c r="F2050" s="4"/>
      <c r="G2050" s="17"/>
      <c r="H2050" s="4"/>
      <c r="I2050" s="4"/>
      <c r="J2050" s="4"/>
      <c r="K2050" s="6"/>
      <c r="L2050" s="17"/>
      <c r="M2050" s="4"/>
      <c r="N2050" s="6"/>
      <c r="O2050" s="4"/>
      <c r="P2050" s="4"/>
      <c r="Q2050" s="4"/>
      <c r="R2050" s="4"/>
      <c r="S2050" s="4"/>
      <c r="T2050" s="4"/>
      <c r="U2050" s="4"/>
    </row>
    <row r="2051">
      <c r="A2051" s="4"/>
      <c r="B2051" s="17"/>
      <c r="C2051" s="4"/>
      <c r="D2051" s="4"/>
      <c r="E2051" s="4"/>
      <c r="F2051" s="4"/>
      <c r="G2051" s="17"/>
      <c r="H2051" s="4"/>
      <c r="I2051" s="4"/>
      <c r="J2051" s="4"/>
      <c r="K2051" s="6"/>
      <c r="L2051" s="17"/>
      <c r="M2051" s="4"/>
      <c r="N2051" s="6"/>
      <c r="O2051" s="4"/>
      <c r="P2051" s="4"/>
      <c r="Q2051" s="4"/>
      <c r="R2051" s="4"/>
      <c r="S2051" s="4"/>
      <c r="T2051" s="4"/>
      <c r="U2051" s="4"/>
    </row>
    <row r="2052">
      <c r="A2052" s="4"/>
      <c r="B2052" s="17"/>
      <c r="C2052" s="4"/>
      <c r="D2052" s="4"/>
      <c r="E2052" s="4"/>
      <c r="F2052" s="4"/>
      <c r="G2052" s="17"/>
      <c r="H2052" s="4"/>
      <c r="I2052" s="4"/>
      <c r="J2052" s="4"/>
      <c r="K2052" s="6"/>
      <c r="L2052" s="17"/>
      <c r="M2052" s="4"/>
      <c r="N2052" s="6"/>
      <c r="O2052" s="4"/>
      <c r="P2052" s="4"/>
      <c r="Q2052" s="4"/>
      <c r="R2052" s="4"/>
      <c r="S2052" s="4"/>
      <c r="T2052" s="4"/>
      <c r="U2052" s="4"/>
    </row>
    <row r="2053">
      <c r="A2053" s="4"/>
      <c r="B2053" s="17"/>
      <c r="C2053" s="4"/>
      <c r="D2053" s="4"/>
      <c r="E2053" s="4"/>
      <c r="F2053" s="4"/>
      <c r="G2053" s="17"/>
      <c r="H2053" s="4"/>
      <c r="I2053" s="4"/>
      <c r="J2053" s="4"/>
      <c r="K2053" s="6"/>
      <c r="L2053" s="17"/>
      <c r="M2053" s="4"/>
      <c r="N2053" s="6"/>
      <c r="O2053" s="4"/>
      <c r="P2053" s="4"/>
      <c r="Q2053" s="4"/>
      <c r="R2053" s="4"/>
      <c r="S2053" s="4"/>
      <c r="T2053" s="4"/>
      <c r="U2053" s="4"/>
    </row>
    <row r="2054">
      <c r="A2054" s="4"/>
      <c r="B2054" s="17"/>
      <c r="C2054" s="4"/>
      <c r="D2054" s="4"/>
      <c r="E2054" s="4"/>
      <c r="F2054" s="4"/>
      <c r="G2054" s="17"/>
      <c r="H2054" s="4"/>
      <c r="I2054" s="4"/>
      <c r="J2054" s="4"/>
      <c r="K2054" s="6"/>
      <c r="L2054" s="17"/>
      <c r="M2054" s="4"/>
      <c r="N2054" s="6"/>
      <c r="O2054" s="4"/>
      <c r="P2054" s="4"/>
      <c r="Q2054" s="4"/>
      <c r="R2054" s="4"/>
      <c r="S2054" s="4"/>
      <c r="T2054" s="4"/>
      <c r="U2054" s="4"/>
    </row>
    <row r="2055">
      <c r="A2055" s="4"/>
      <c r="B2055" s="17"/>
      <c r="C2055" s="4"/>
      <c r="D2055" s="4"/>
      <c r="E2055" s="4"/>
      <c r="F2055" s="4"/>
      <c r="G2055" s="17"/>
      <c r="H2055" s="4"/>
      <c r="I2055" s="4"/>
      <c r="J2055" s="4"/>
      <c r="K2055" s="6"/>
      <c r="L2055" s="17"/>
      <c r="M2055" s="4"/>
      <c r="N2055" s="6"/>
      <c r="O2055" s="4"/>
      <c r="P2055" s="4"/>
      <c r="Q2055" s="4"/>
      <c r="R2055" s="4"/>
      <c r="S2055" s="4"/>
      <c r="T2055" s="4"/>
      <c r="U2055" s="4"/>
    </row>
    <row r="2056">
      <c r="A2056" s="4"/>
      <c r="B2056" s="17"/>
      <c r="C2056" s="4"/>
      <c r="D2056" s="4"/>
      <c r="E2056" s="4"/>
      <c r="F2056" s="4"/>
      <c r="G2056" s="17"/>
      <c r="H2056" s="4"/>
      <c r="I2056" s="4"/>
      <c r="J2056" s="4"/>
      <c r="K2056" s="6"/>
      <c r="L2056" s="17"/>
      <c r="M2056" s="4"/>
      <c r="N2056" s="6"/>
      <c r="O2056" s="4"/>
      <c r="P2056" s="4"/>
      <c r="Q2056" s="4"/>
      <c r="R2056" s="4"/>
      <c r="S2056" s="4"/>
      <c r="T2056" s="4"/>
      <c r="U2056" s="4"/>
    </row>
    <row r="2057">
      <c r="A2057" s="4"/>
      <c r="B2057" s="17"/>
      <c r="C2057" s="4"/>
      <c r="D2057" s="4"/>
      <c r="E2057" s="4"/>
      <c r="F2057" s="4"/>
      <c r="G2057" s="17"/>
      <c r="H2057" s="4"/>
      <c r="I2057" s="4"/>
      <c r="J2057" s="4"/>
      <c r="K2057" s="6"/>
      <c r="L2057" s="17"/>
      <c r="M2057" s="4"/>
      <c r="N2057" s="6"/>
      <c r="O2057" s="4"/>
      <c r="P2057" s="4"/>
      <c r="Q2057" s="4"/>
      <c r="R2057" s="4"/>
      <c r="S2057" s="4"/>
      <c r="T2057" s="4"/>
      <c r="U2057" s="4"/>
    </row>
    <row r="2058">
      <c r="A2058" s="4"/>
      <c r="B2058" s="17"/>
      <c r="C2058" s="4"/>
      <c r="D2058" s="4"/>
      <c r="E2058" s="4"/>
      <c r="F2058" s="4"/>
      <c r="G2058" s="17"/>
      <c r="H2058" s="4"/>
      <c r="I2058" s="4"/>
      <c r="J2058" s="4"/>
      <c r="K2058" s="6"/>
      <c r="L2058" s="17"/>
      <c r="M2058" s="4"/>
      <c r="N2058" s="6"/>
      <c r="O2058" s="4"/>
      <c r="P2058" s="4"/>
      <c r="Q2058" s="4"/>
      <c r="R2058" s="4"/>
      <c r="S2058" s="4"/>
      <c r="T2058" s="4"/>
      <c r="U2058" s="4"/>
    </row>
    <row r="2059">
      <c r="A2059" s="4"/>
      <c r="B2059" s="17"/>
      <c r="C2059" s="4"/>
      <c r="D2059" s="4"/>
      <c r="E2059" s="4"/>
      <c r="F2059" s="4"/>
      <c r="G2059" s="17"/>
      <c r="H2059" s="4"/>
      <c r="I2059" s="4"/>
      <c r="J2059" s="4"/>
      <c r="K2059" s="6"/>
      <c r="L2059" s="17"/>
      <c r="M2059" s="4"/>
      <c r="N2059" s="6"/>
      <c r="O2059" s="4"/>
      <c r="P2059" s="4"/>
      <c r="Q2059" s="4"/>
      <c r="R2059" s="4"/>
      <c r="S2059" s="4"/>
      <c r="T2059" s="4"/>
      <c r="U2059" s="4"/>
    </row>
    <row r="2060">
      <c r="A2060" s="4"/>
      <c r="B2060" s="17"/>
      <c r="C2060" s="4"/>
      <c r="D2060" s="4"/>
      <c r="E2060" s="4"/>
      <c r="F2060" s="4"/>
      <c r="G2060" s="17"/>
      <c r="H2060" s="4"/>
      <c r="I2060" s="4"/>
      <c r="J2060" s="4"/>
      <c r="K2060" s="6"/>
      <c r="L2060" s="17"/>
      <c r="M2060" s="4"/>
      <c r="N2060" s="6"/>
      <c r="O2060" s="4"/>
      <c r="P2060" s="4"/>
      <c r="Q2060" s="4"/>
      <c r="R2060" s="4"/>
      <c r="S2060" s="4"/>
      <c r="T2060" s="4"/>
      <c r="U2060" s="4"/>
    </row>
    <row r="2061">
      <c r="A2061" s="4"/>
      <c r="B2061" s="17"/>
      <c r="C2061" s="4"/>
      <c r="D2061" s="4"/>
      <c r="E2061" s="4"/>
      <c r="F2061" s="4"/>
      <c r="G2061" s="17"/>
      <c r="H2061" s="4"/>
      <c r="I2061" s="4"/>
      <c r="J2061" s="4"/>
      <c r="K2061" s="6"/>
      <c r="L2061" s="17"/>
      <c r="M2061" s="4"/>
      <c r="N2061" s="6"/>
      <c r="O2061" s="4"/>
      <c r="P2061" s="4"/>
      <c r="Q2061" s="4"/>
      <c r="R2061" s="4"/>
      <c r="S2061" s="4"/>
      <c r="T2061" s="4"/>
      <c r="U2061" s="4"/>
    </row>
    <row r="2062">
      <c r="A2062" s="4"/>
      <c r="B2062" s="17"/>
      <c r="C2062" s="4"/>
      <c r="D2062" s="4"/>
      <c r="E2062" s="4"/>
      <c r="F2062" s="4"/>
      <c r="G2062" s="17"/>
      <c r="H2062" s="4"/>
      <c r="I2062" s="4"/>
      <c r="J2062" s="4"/>
      <c r="K2062" s="6"/>
      <c r="L2062" s="17"/>
      <c r="M2062" s="4"/>
      <c r="N2062" s="6"/>
      <c r="O2062" s="4"/>
      <c r="P2062" s="4"/>
      <c r="Q2062" s="4"/>
      <c r="R2062" s="4"/>
      <c r="S2062" s="4"/>
      <c r="T2062" s="4"/>
      <c r="U2062" s="4"/>
    </row>
    <row r="2063">
      <c r="A2063" s="4"/>
      <c r="B2063" s="17"/>
      <c r="C2063" s="4"/>
      <c r="D2063" s="4"/>
      <c r="E2063" s="4"/>
      <c r="F2063" s="4"/>
      <c r="G2063" s="17"/>
      <c r="H2063" s="4"/>
      <c r="I2063" s="4"/>
      <c r="J2063" s="4"/>
      <c r="K2063" s="6"/>
      <c r="L2063" s="17"/>
      <c r="M2063" s="4"/>
      <c r="N2063" s="6"/>
      <c r="O2063" s="4"/>
      <c r="P2063" s="4"/>
      <c r="Q2063" s="4"/>
      <c r="R2063" s="4"/>
      <c r="S2063" s="4"/>
      <c r="T2063" s="4"/>
      <c r="U2063" s="4"/>
    </row>
    <row r="2064">
      <c r="A2064" s="4"/>
      <c r="B2064" s="17"/>
      <c r="C2064" s="4"/>
      <c r="D2064" s="4"/>
      <c r="E2064" s="4"/>
      <c r="F2064" s="4"/>
      <c r="G2064" s="17"/>
      <c r="H2064" s="4"/>
      <c r="I2064" s="4"/>
      <c r="J2064" s="4"/>
      <c r="K2064" s="6"/>
      <c r="L2064" s="17"/>
      <c r="M2064" s="4"/>
      <c r="N2064" s="6"/>
      <c r="O2064" s="4"/>
      <c r="P2064" s="4"/>
      <c r="Q2064" s="4"/>
      <c r="R2064" s="4"/>
      <c r="S2064" s="4"/>
      <c r="T2064" s="4"/>
      <c r="U2064" s="4"/>
    </row>
    <row r="2065">
      <c r="A2065" s="4"/>
      <c r="B2065" s="17"/>
      <c r="C2065" s="4"/>
      <c r="D2065" s="4"/>
      <c r="E2065" s="4"/>
      <c r="F2065" s="4"/>
      <c r="G2065" s="17"/>
      <c r="H2065" s="4"/>
      <c r="I2065" s="4"/>
      <c r="J2065" s="4"/>
      <c r="K2065" s="6"/>
      <c r="L2065" s="17"/>
      <c r="M2065" s="4"/>
      <c r="N2065" s="6"/>
      <c r="O2065" s="4"/>
      <c r="P2065" s="4"/>
      <c r="Q2065" s="4"/>
      <c r="R2065" s="4"/>
      <c r="S2065" s="4"/>
      <c r="T2065" s="4"/>
      <c r="U2065" s="4"/>
    </row>
    <row r="2066">
      <c r="A2066" s="4"/>
      <c r="B2066" s="17"/>
      <c r="C2066" s="4"/>
      <c r="D2066" s="4"/>
      <c r="E2066" s="4"/>
      <c r="F2066" s="4"/>
      <c r="G2066" s="17"/>
      <c r="H2066" s="4"/>
      <c r="I2066" s="4"/>
      <c r="J2066" s="4"/>
      <c r="K2066" s="6"/>
      <c r="L2066" s="17"/>
      <c r="M2066" s="4"/>
      <c r="N2066" s="6"/>
      <c r="O2066" s="4"/>
      <c r="P2066" s="4"/>
      <c r="Q2066" s="4"/>
      <c r="R2066" s="4"/>
      <c r="S2066" s="4"/>
      <c r="T2066" s="4"/>
      <c r="U2066" s="4"/>
    </row>
    <row r="2067">
      <c r="A2067" s="4"/>
      <c r="B2067" s="17"/>
      <c r="C2067" s="4"/>
      <c r="D2067" s="4"/>
      <c r="E2067" s="4"/>
      <c r="F2067" s="4"/>
      <c r="G2067" s="17"/>
      <c r="H2067" s="4"/>
      <c r="I2067" s="4"/>
      <c r="J2067" s="4"/>
      <c r="K2067" s="6"/>
      <c r="L2067" s="17"/>
      <c r="M2067" s="4"/>
      <c r="N2067" s="6"/>
      <c r="O2067" s="4"/>
      <c r="P2067" s="4"/>
      <c r="Q2067" s="4"/>
      <c r="R2067" s="4"/>
      <c r="S2067" s="4"/>
      <c r="T2067" s="4"/>
      <c r="U2067" s="4"/>
    </row>
    <row r="2068">
      <c r="A2068" s="4"/>
      <c r="B2068" s="17"/>
      <c r="C2068" s="4"/>
      <c r="D2068" s="4"/>
      <c r="E2068" s="4"/>
      <c r="F2068" s="4"/>
      <c r="G2068" s="17"/>
      <c r="H2068" s="4"/>
      <c r="I2068" s="4"/>
      <c r="J2068" s="4"/>
      <c r="K2068" s="6"/>
      <c r="L2068" s="17"/>
      <c r="M2068" s="4"/>
      <c r="N2068" s="6"/>
      <c r="O2068" s="4"/>
      <c r="P2068" s="4"/>
      <c r="Q2068" s="4"/>
      <c r="R2068" s="4"/>
      <c r="S2068" s="4"/>
      <c r="T2068" s="4"/>
      <c r="U2068" s="4"/>
    </row>
    <row r="2069">
      <c r="A2069" s="4"/>
      <c r="B2069" s="17"/>
      <c r="C2069" s="4"/>
      <c r="D2069" s="4"/>
      <c r="E2069" s="4"/>
      <c r="F2069" s="4"/>
      <c r="G2069" s="17"/>
      <c r="H2069" s="4"/>
      <c r="I2069" s="4"/>
      <c r="J2069" s="4"/>
      <c r="K2069" s="6"/>
      <c r="L2069" s="17"/>
      <c r="M2069" s="4"/>
      <c r="N2069" s="6"/>
      <c r="O2069" s="4"/>
      <c r="P2069" s="4"/>
      <c r="Q2069" s="4"/>
      <c r="R2069" s="4"/>
      <c r="S2069" s="4"/>
      <c r="T2069" s="4"/>
      <c r="U2069" s="4"/>
    </row>
    <row r="2070">
      <c r="A2070" s="4"/>
      <c r="B2070" s="17"/>
      <c r="C2070" s="4"/>
      <c r="D2070" s="4"/>
      <c r="E2070" s="4"/>
      <c r="F2070" s="4"/>
      <c r="G2070" s="17"/>
      <c r="H2070" s="4"/>
      <c r="I2070" s="4"/>
      <c r="J2070" s="4"/>
      <c r="K2070" s="6"/>
      <c r="L2070" s="17"/>
      <c r="M2070" s="4"/>
      <c r="N2070" s="6"/>
      <c r="O2070" s="4"/>
      <c r="P2070" s="4"/>
      <c r="Q2070" s="4"/>
      <c r="R2070" s="4"/>
      <c r="S2070" s="4"/>
      <c r="T2070" s="4"/>
      <c r="U2070" s="4"/>
    </row>
    <row r="2071">
      <c r="A2071" s="4"/>
      <c r="B2071" s="17"/>
      <c r="C2071" s="4"/>
      <c r="D2071" s="4"/>
      <c r="E2071" s="4"/>
      <c r="F2071" s="4"/>
      <c r="G2071" s="17"/>
      <c r="H2071" s="4"/>
      <c r="I2071" s="4"/>
      <c r="J2071" s="4"/>
      <c r="K2071" s="6"/>
      <c r="L2071" s="17"/>
      <c r="M2071" s="4"/>
      <c r="N2071" s="6"/>
      <c r="O2071" s="4"/>
      <c r="P2071" s="4"/>
      <c r="Q2071" s="4"/>
      <c r="R2071" s="4"/>
      <c r="S2071" s="4"/>
      <c r="T2071" s="4"/>
      <c r="U2071" s="4"/>
    </row>
    <row r="2072">
      <c r="A2072" s="4"/>
      <c r="B2072" s="17"/>
      <c r="C2072" s="4"/>
      <c r="D2072" s="4"/>
      <c r="E2072" s="4"/>
      <c r="F2072" s="4"/>
      <c r="G2072" s="17"/>
      <c r="H2072" s="4"/>
      <c r="I2072" s="4"/>
      <c r="J2072" s="4"/>
      <c r="K2072" s="6"/>
      <c r="L2072" s="17"/>
      <c r="M2072" s="4"/>
      <c r="N2072" s="6"/>
      <c r="O2072" s="4"/>
      <c r="P2072" s="4"/>
      <c r="Q2072" s="4"/>
      <c r="R2072" s="4"/>
      <c r="S2072" s="4"/>
      <c r="T2072" s="4"/>
      <c r="U2072" s="4"/>
    </row>
    <row r="2073">
      <c r="A2073" s="4"/>
      <c r="B2073" s="17"/>
      <c r="C2073" s="4"/>
      <c r="D2073" s="4"/>
      <c r="E2073" s="4"/>
      <c r="F2073" s="4"/>
      <c r="G2073" s="17"/>
      <c r="H2073" s="4"/>
      <c r="I2073" s="4"/>
      <c r="J2073" s="4"/>
      <c r="K2073" s="6"/>
      <c r="L2073" s="17"/>
      <c r="M2073" s="4"/>
      <c r="N2073" s="6"/>
      <c r="O2073" s="4"/>
      <c r="P2073" s="4"/>
      <c r="Q2073" s="4"/>
      <c r="R2073" s="4"/>
      <c r="S2073" s="4"/>
      <c r="T2073" s="4"/>
      <c r="U2073" s="4"/>
    </row>
    <row r="2074">
      <c r="A2074" s="4"/>
      <c r="B2074" s="17"/>
      <c r="C2074" s="4"/>
      <c r="D2074" s="4"/>
      <c r="E2074" s="4"/>
      <c r="F2074" s="4"/>
      <c r="G2074" s="17"/>
      <c r="H2074" s="4"/>
      <c r="I2074" s="4"/>
      <c r="J2074" s="4"/>
      <c r="K2074" s="6"/>
      <c r="L2074" s="17"/>
      <c r="M2074" s="4"/>
      <c r="N2074" s="6"/>
      <c r="O2074" s="4"/>
      <c r="P2074" s="4"/>
      <c r="Q2074" s="4"/>
      <c r="R2074" s="4"/>
      <c r="S2074" s="4"/>
      <c r="T2074" s="4"/>
      <c r="U2074" s="4"/>
    </row>
    <row r="2075">
      <c r="A2075" s="4"/>
      <c r="B2075" s="17"/>
      <c r="C2075" s="4"/>
      <c r="D2075" s="4"/>
      <c r="E2075" s="4"/>
      <c r="F2075" s="4"/>
      <c r="G2075" s="17"/>
      <c r="H2075" s="4"/>
      <c r="I2075" s="4"/>
      <c r="J2075" s="4"/>
      <c r="K2075" s="6"/>
      <c r="L2075" s="17"/>
      <c r="M2075" s="4"/>
      <c r="N2075" s="6"/>
      <c r="O2075" s="4"/>
      <c r="P2075" s="4"/>
      <c r="Q2075" s="4"/>
      <c r="R2075" s="4"/>
      <c r="S2075" s="4"/>
      <c r="T2075" s="4"/>
      <c r="U2075" s="4"/>
    </row>
    <row r="2076">
      <c r="A2076" s="4"/>
      <c r="B2076" s="17"/>
      <c r="C2076" s="4"/>
      <c r="D2076" s="4"/>
      <c r="E2076" s="4"/>
      <c r="F2076" s="4"/>
      <c r="G2076" s="17"/>
      <c r="H2076" s="4"/>
      <c r="I2076" s="4"/>
      <c r="J2076" s="4"/>
      <c r="K2076" s="6"/>
      <c r="L2076" s="17"/>
      <c r="M2076" s="4"/>
      <c r="N2076" s="6"/>
      <c r="O2076" s="4"/>
      <c r="P2076" s="4"/>
      <c r="Q2076" s="4"/>
      <c r="R2076" s="4"/>
      <c r="S2076" s="4"/>
      <c r="T2076" s="4"/>
      <c r="U2076" s="4"/>
    </row>
    <row r="2077">
      <c r="A2077" s="4"/>
      <c r="B2077" s="17"/>
      <c r="C2077" s="4"/>
      <c r="D2077" s="4"/>
      <c r="E2077" s="4"/>
      <c r="F2077" s="4"/>
      <c r="G2077" s="17"/>
      <c r="H2077" s="4"/>
      <c r="I2077" s="4"/>
      <c r="J2077" s="4"/>
      <c r="K2077" s="6"/>
      <c r="L2077" s="17"/>
      <c r="M2077" s="4"/>
      <c r="N2077" s="6"/>
      <c r="O2077" s="4"/>
      <c r="P2077" s="4"/>
      <c r="Q2077" s="4"/>
      <c r="R2077" s="4"/>
      <c r="S2077" s="4"/>
      <c r="T2077" s="4"/>
      <c r="U2077" s="4"/>
    </row>
    <row r="2078">
      <c r="A2078" s="4"/>
      <c r="B2078" s="17"/>
      <c r="C2078" s="4"/>
      <c r="D2078" s="4"/>
      <c r="E2078" s="4"/>
      <c r="F2078" s="4"/>
      <c r="G2078" s="17"/>
      <c r="H2078" s="4"/>
      <c r="I2078" s="4"/>
      <c r="J2078" s="4"/>
      <c r="K2078" s="6"/>
      <c r="L2078" s="17"/>
      <c r="M2078" s="4"/>
      <c r="N2078" s="6"/>
      <c r="O2078" s="4"/>
      <c r="P2078" s="4"/>
      <c r="Q2078" s="4"/>
      <c r="R2078" s="4"/>
      <c r="S2078" s="4"/>
      <c r="T2078" s="4"/>
      <c r="U2078" s="4"/>
    </row>
    <row r="2079">
      <c r="A2079" s="4"/>
      <c r="B2079" s="17"/>
      <c r="C2079" s="4"/>
      <c r="D2079" s="4"/>
      <c r="E2079" s="4"/>
      <c r="F2079" s="4"/>
      <c r="G2079" s="17"/>
      <c r="H2079" s="4"/>
      <c r="I2079" s="4"/>
      <c r="J2079" s="4"/>
      <c r="K2079" s="6"/>
      <c r="L2079" s="17"/>
      <c r="M2079" s="4"/>
      <c r="N2079" s="6"/>
      <c r="O2079" s="4"/>
      <c r="P2079" s="4"/>
      <c r="Q2079" s="4"/>
      <c r="R2079" s="4"/>
      <c r="S2079" s="4"/>
      <c r="T2079" s="4"/>
      <c r="U2079" s="4"/>
    </row>
    <row r="2080">
      <c r="A2080" s="4"/>
      <c r="B2080" s="17"/>
      <c r="C2080" s="4"/>
      <c r="D2080" s="4"/>
      <c r="E2080" s="4"/>
      <c r="F2080" s="4"/>
      <c r="G2080" s="17"/>
      <c r="H2080" s="4"/>
      <c r="I2080" s="4"/>
      <c r="J2080" s="4"/>
      <c r="K2080" s="6"/>
      <c r="L2080" s="17"/>
      <c r="M2080" s="4"/>
      <c r="N2080" s="6"/>
      <c r="O2080" s="4"/>
      <c r="P2080" s="4"/>
      <c r="Q2080" s="4"/>
      <c r="R2080" s="4"/>
      <c r="S2080" s="4"/>
      <c r="T2080" s="4"/>
      <c r="U2080" s="4"/>
    </row>
    <row r="2081">
      <c r="A2081" s="4"/>
      <c r="B2081" s="17"/>
      <c r="C2081" s="4"/>
      <c r="D2081" s="4"/>
      <c r="E2081" s="4"/>
      <c r="F2081" s="4"/>
      <c r="G2081" s="17"/>
      <c r="H2081" s="4"/>
      <c r="I2081" s="4"/>
      <c r="J2081" s="4"/>
      <c r="K2081" s="6"/>
      <c r="L2081" s="17"/>
      <c r="M2081" s="4"/>
      <c r="N2081" s="6"/>
      <c r="O2081" s="4"/>
      <c r="P2081" s="4"/>
      <c r="Q2081" s="4"/>
      <c r="R2081" s="4"/>
      <c r="S2081" s="4"/>
      <c r="T2081" s="4"/>
      <c r="U2081" s="4"/>
    </row>
    <row r="2082">
      <c r="A2082" s="4"/>
      <c r="B2082" s="17"/>
      <c r="C2082" s="4"/>
      <c r="D2082" s="4"/>
      <c r="E2082" s="4"/>
      <c r="F2082" s="4"/>
      <c r="G2082" s="17"/>
      <c r="H2082" s="4"/>
      <c r="I2082" s="4"/>
      <c r="J2082" s="4"/>
      <c r="K2082" s="6"/>
      <c r="L2082" s="17"/>
      <c r="M2082" s="4"/>
      <c r="N2082" s="6"/>
      <c r="O2082" s="4"/>
      <c r="P2082" s="4"/>
      <c r="Q2082" s="4"/>
      <c r="R2082" s="4"/>
      <c r="S2082" s="4"/>
      <c r="T2082" s="4"/>
      <c r="U2082" s="4"/>
    </row>
    <row r="2083">
      <c r="A2083" s="4"/>
      <c r="B2083" s="17"/>
      <c r="C2083" s="4"/>
      <c r="D2083" s="4"/>
      <c r="E2083" s="4"/>
      <c r="F2083" s="4"/>
      <c r="G2083" s="17"/>
      <c r="H2083" s="4"/>
      <c r="I2083" s="4"/>
      <c r="J2083" s="4"/>
      <c r="K2083" s="6"/>
      <c r="L2083" s="17"/>
      <c r="M2083" s="4"/>
      <c r="N2083" s="6"/>
      <c r="O2083" s="4"/>
      <c r="P2083" s="4"/>
      <c r="Q2083" s="4"/>
      <c r="R2083" s="4"/>
      <c r="S2083" s="4"/>
      <c r="T2083" s="4"/>
      <c r="U2083" s="4"/>
    </row>
    <row r="2084">
      <c r="A2084" s="4"/>
      <c r="B2084" s="17"/>
      <c r="C2084" s="4"/>
      <c r="D2084" s="4"/>
      <c r="E2084" s="4"/>
      <c r="F2084" s="4"/>
      <c r="G2084" s="17"/>
      <c r="H2084" s="4"/>
      <c r="I2084" s="4"/>
      <c r="J2084" s="4"/>
      <c r="K2084" s="6"/>
      <c r="L2084" s="17"/>
      <c r="M2084" s="4"/>
      <c r="N2084" s="6"/>
      <c r="O2084" s="4"/>
      <c r="P2084" s="4"/>
      <c r="Q2084" s="4"/>
      <c r="R2084" s="4"/>
      <c r="S2084" s="4"/>
      <c r="T2084" s="4"/>
      <c r="U2084" s="4"/>
    </row>
    <row r="2085">
      <c r="A2085" s="4"/>
      <c r="B2085" s="17"/>
      <c r="C2085" s="4"/>
      <c r="D2085" s="4"/>
      <c r="E2085" s="4"/>
      <c r="F2085" s="4"/>
      <c r="G2085" s="17"/>
      <c r="H2085" s="4"/>
      <c r="I2085" s="4"/>
      <c r="J2085" s="4"/>
      <c r="K2085" s="6"/>
      <c r="L2085" s="17"/>
      <c r="M2085" s="4"/>
      <c r="N2085" s="6"/>
      <c r="O2085" s="4"/>
      <c r="P2085" s="4"/>
      <c r="Q2085" s="4"/>
      <c r="R2085" s="4"/>
      <c r="S2085" s="4"/>
      <c r="T2085" s="4"/>
      <c r="U2085" s="4"/>
    </row>
    <row r="2086">
      <c r="A2086" s="4"/>
      <c r="B2086" s="17"/>
      <c r="C2086" s="4"/>
      <c r="D2086" s="4"/>
      <c r="E2086" s="4"/>
      <c r="F2086" s="4"/>
      <c r="G2086" s="17"/>
      <c r="H2086" s="4"/>
      <c r="I2086" s="4"/>
      <c r="J2086" s="4"/>
      <c r="K2086" s="6"/>
      <c r="L2086" s="17"/>
      <c r="M2086" s="4"/>
      <c r="N2086" s="6"/>
      <c r="O2086" s="4"/>
      <c r="P2086" s="4"/>
      <c r="Q2086" s="4"/>
      <c r="R2086" s="4"/>
      <c r="S2086" s="4"/>
      <c r="T2086" s="4"/>
      <c r="U2086" s="4"/>
    </row>
    <row r="2087">
      <c r="A2087" s="4"/>
      <c r="B2087" s="17"/>
      <c r="C2087" s="4"/>
      <c r="D2087" s="4"/>
      <c r="E2087" s="4"/>
      <c r="F2087" s="4"/>
      <c r="G2087" s="17"/>
      <c r="H2087" s="4"/>
      <c r="I2087" s="4"/>
      <c r="J2087" s="4"/>
      <c r="K2087" s="6"/>
      <c r="L2087" s="17"/>
      <c r="M2087" s="4"/>
      <c r="N2087" s="6"/>
      <c r="O2087" s="4"/>
      <c r="P2087" s="4"/>
      <c r="Q2087" s="4"/>
      <c r="R2087" s="4"/>
      <c r="S2087" s="4"/>
      <c r="T2087" s="4"/>
      <c r="U2087" s="4"/>
    </row>
    <row r="2088">
      <c r="A2088" s="4"/>
      <c r="B2088" s="17"/>
      <c r="C2088" s="4"/>
      <c r="D2088" s="4"/>
      <c r="E2088" s="4"/>
      <c r="F2088" s="4"/>
      <c r="G2088" s="17"/>
      <c r="H2088" s="4"/>
      <c r="I2088" s="4"/>
      <c r="J2088" s="4"/>
      <c r="K2088" s="6"/>
      <c r="L2088" s="17"/>
      <c r="M2088" s="4"/>
      <c r="N2088" s="6"/>
      <c r="O2088" s="4"/>
      <c r="P2088" s="4"/>
      <c r="Q2088" s="4"/>
      <c r="R2088" s="4"/>
      <c r="S2088" s="4"/>
      <c r="T2088" s="4"/>
      <c r="U2088" s="4"/>
    </row>
    <row r="2089">
      <c r="A2089" s="4"/>
      <c r="B2089" s="17"/>
      <c r="C2089" s="4"/>
      <c r="D2089" s="4"/>
      <c r="E2089" s="4"/>
      <c r="F2089" s="4"/>
      <c r="G2089" s="17"/>
      <c r="H2089" s="4"/>
      <c r="I2089" s="4"/>
      <c r="J2089" s="4"/>
      <c r="K2089" s="6"/>
      <c r="L2089" s="17"/>
      <c r="M2089" s="4"/>
      <c r="N2089" s="6"/>
      <c r="O2089" s="4"/>
      <c r="P2089" s="4"/>
      <c r="Q2089" s="4"/>
      <c r="R2089" s="4"/>
      <c r="S2089" s="4"/>
      <c r="T2089" s="4"/>
      <c r="U2089" s="4"/>
    </row>
    <row r="2090">
      <c r="A2090" s="4"/>
      <c r="B2090" s="17"/>
      <c r="C2090" s="4"/>
      <c r="D2090" s="4"/>
      <c r="E2090" s="4"/>
      <c r="F2090" s="4"/>
      <c r="G2090" s="17"/>
      <c r="H2090" s="4"/>
      <c r="I2090" s="4"/>
      <c r="J2090" s="4"/>
      <c r="K2090" s="6"/>
      <c r="L2090" s="17"/>
      <c r="M2090" s="4"/>
      <c r="N2090" s="6"/>
      <c r="O2090" s="4"/>
      <c r="P2090" s="4"/>
      <c r="Q2090" s="4"/>
      <c r="R2090" s="4"/>
      <c r="S2090" s="4"/>
      <c r="T2090" s="4"/>
      <c r="U2090" s="4"/>
    </row>
    <row r="2091">
      <c r="A2091" s="4"/>
      <c r="B2091" s="17"/>
      <c r="C2091" s="4"/>
      <c r="D2091" s="4"/>
      <c r="E2091" s="4"/>
      <c r="F2091" s="4"/>
      <c r="G2091" s="17"/>
      <c r="H2091" s="4"/>
      <c r="I2091" s="4"/>
      <c r="J2091" s="4"/>
      <c r="K2091" s="6"/>
      <c r="L2091" s="17"/>
      <c r="M2091" s="4"/>
      <c r="N2091" s="6"/>
      <c r="O2091" s="4"/>
      <c r="P2091" s="4"/>
      <c r="Q2091" s="4"/>
      <c r="R2091" s="4"/>
      <c r="S2091" s="4"/>
      <c r="T2091" s="4"/>
      <c r="U2091" s="4"/>
    </row>
    <row r="2092">
      <c r="A2092" s="4"/>
      <c r="B2092" s="17"/>
      <c r="C2092" s="4"/>
      <c r="D2092" s="4"/>
      <c r="E2092" s="4"/>
      <c r="F2092" s="4"/>
      <c r="G2092" s="17"/>
      <c r="H2092" s="4"/>
      <c r="I2092" s="4"/>
      <c r="J2092" s="4"/>
      <c r="K2092" s="6"/>
      <c r="L2092" s="17"/>
      <c r="M2092" s="4"/>
      <c r="N2092" s="6"/>
      <c r="O2092" s="4"/>
      <c r="P2092" s="4"/>
      <c r="Q2092" s="4"/>
      <c r="R2092" s="4"/>
      <c r="S2092" s="4"/>
      <c r="T2092" s="4"/>
      <c r="U2092" s="4"/>
    </row>
    <row r="2093">
      <c r="A2093" s="4"/>
      <c r="B2093" s="17"/>
      <c r="C2093" s="4"/>
      <c r="D2093" s="4"/>
      <c r="E2093" s="4"/>
      <c r="F2093" s="4"/>
      <c r="G2093" s="17"/>
      <c r="H2093" s="4"/>
      <c r="I2093" s="4"/>
      <c r="J2093" s="4"/>
      <c r="K2093" s="6"/>
      <c r="L2093" s="17"/>
      <c r="M2093" s="4"/>
      <c r="N2093" s="6"/>
      <c r="O2093" s="4"/>
      <c r="P2093" s="4"/>
      <c r="Q2093" s="4"/>
      <c r="R2093" s="4"/>
      <c r="S2093" s="4"/>
      <c r="T2093" s="4"/>
      <c r="U2093" s="4"/>
    </row>
    <row r="2094">
      <c r="A2094" s="4"/>
      <c r="B2094" s="17"/>
      <c r="C2094" s="4"/>
      <c r="D2094" s="4"/>
      <c r="E2094" s="4"/>
      <c r="F2094" s="4"/>
      <c r="G2094" s="17"/>
      <c r="H2094" s="4"/>
      <c r="I2094" s="4"/>
      <c r="J2094" s="4"/>
      <c r="K2094" s="6"/>
      <c r="L2094" s="17"/>
      <c r="M2094" s="4"/>
      <c r="N2094" s="6"/>
      <c r="O2094" s="4"/>
      <c r="P2094" s="4"/>
      <c r="Q2094" s="4"/>
      <c r="R2094" s="4"/>
      <c r="S2094" s="4"/>
      <c r="T2094" s="4"/>
      <c r="U2094" s="4"/>
    </row>
    <row r="2095">
      <c r="A2095" s="4"/>
      <c r="B2095" s="17"/>
      <c r="C2095" s="4"/>
      <c r="D2095" s="4"/>
      <c r="E2095" s="4"/>
      <c r="F2095" s="4"/>
      <c r="G2095" s="17"/>
      <c r="H2095" s="4"/>
      <c r="I2095" s="4"/>
      <c r="J2095" s="4"/>
      <c r="K2095" s="6"/>
      <c r="L2095" s="17"/>
      <c r="M2095" s="4"/>
      <c r="N2095" s="6"/>
      <c r="O2095" s="4"/>
      <c r="P2095" s="4"/>
      <c r="Q2095" s="4"/>
      <c r="R2095" s="4"/>
      <c r="S2095" s="4"/>
      <c r="T2095" s="4"/>
      <c r="U2095" s="4"/>
    </row>
    <row r="2096">
      <c r="A2096" s="4"/>
      <c r="B2096" s="17"/>
      <c r="C2096" s="4"/>
      <c r="D2096" s="4"/>
      <c r="E2096" s="4"/>
      <c r="F2096" s="4"/>
      <c r="G2096" s="17"/>
      <c r="H2096" s="4"/>
      <c r="I2096" s="4"/>
      <c r="J2096" s="4"/>
      <c r="K2096" s="6"/>
      <c r="L2096" s="17"/>
      <c r="M2096" s="4"/>
      <c r="N2096" s="6"/>
      <c r="O2096" s="4"/>
      <c r="P2096" s="4"/>
      <c r="Q2096" s="4"/>
      <c r="R2096" s="4"/>
      <c r="S2096" s="4"/>
      <c r="T2096" s="4"/>
      <c r="U2096" s="4"/>
    </row>
    <row r="2097">
      <c r="A2097" s="4"/>
      <c r="B2097" s="17"/>
      <c r="C2097" s="4"/>
      <c r="D2097" s="4"/>
      <c r="E2097" s="4"/>
      <c r="F2097" s="4"/>
      <c r="G2097" s="17"/>
      <c r="H2097" s="4"/>
      <c r="I2097" s="4"/>
      <c r="J2097" s="4"/>
      <c r="K2097" s="6"/>
      <c r="L2097" s="17"/>
      <c r="M2097" s="4"/>
      <c r="N2097" s="6"/>
      <c r="O2097" s="4"/>
      <c r="P2097" s="4"/>
      <c r="Q2097" s="4"/>
      <c r="R2097" s="4"/>
      <c r="S2097" s="4"/>
      <c r="T2097" s="4"/>
      <c r="U2097" s="4"/>
    </row>
    <row r="2098">
      <c r="A2098" s="4"/>
      <c r="B2098" s="17"/>
      <c r="C2098" s="4"/>
      <c r="D2098" s="4"/>
      <c r="E2098" s="4"/>
      <c r="F2098" s="4"/>
      <c r="G2098" s="17"/>
      <c r="H2098" s="4"/>
      <c r="I2098" s="4"/>
      <c r="J2098" s="4"/>
      <c r="K2098" s="6"/>
      <c r="L2098" s="17"/>
      <c r="M2098" s="4"/>
      <c r="N2098" s="6"/>
      <c r="O2098" s="4"/>
      <c r="P2098" s="4"/>
      <c r="Q2098" s="4"/>
      <c r="R2098" s="4"/>
      <c r="S2098" s="4"/>
      <c r="T2098" s="4"/>
      <c r="U2098" s="4"/>
    </row>
    <row r="2099">
      <c r="A2099" s="4"/>
      <c r="B2099" s="17"/>
      <c r="C2099" s="4"/>
      <c r="D2099" s="4"/>
      <c r="E2099" s="4"/>
      <c r="F2099" s="4"/>
      <c r="G2099" s="17"/>
      <c r="H2099" s="4"/>
      <c r="I2099" s="4"/>
      <c r="J2099" s="4"/>
      <c r="K2099" s="6"/>
      <c r="L2099" s="17"/>
      <c r="M2099" s="4"/>
      <c r="N2099" s="6"/>
      <c r="O2099" s="4"/>
      <c r="P2099" s="4"/>
      <c r="Q2099" s="4"/>
      <c r="R2099" s="4"/>
      <c r="S2099" s="4"/>
      <c r="T2099" s="4"/>
      <c r="U2099" s="4"/>
    </row>
    <row r="2100">
      <c r="A2100" s="4"/>
      <c r="B2100" s="17"/>
      <c r="C2100" s="4"/>
      <c r="D2100" s="4"/>
      <c r="E2100" s="4"/>
      <c r="F2100" s="4"/>
      <c r="G2100" s="17"/>
      <c r="H2100" s="4"/>
      <c r="I2100" s="4"/>
      <c r="J2100" s="4"/>
      <c r="K2100" s="6"/>
      <c r="L2100" s="17"/>
      <c r="M2100" s="4"/>
      <c r="N2100" s="6"/>
      <c r="O2100" s="4"/>
      <c r="P2100" s="4"/>
      <c r="Q2100" s="4"/>
      <c r="R2100" s="4"/>
      <c r="S2100" s="4"/>
      <c r="T2100" s="4"/>
      <c r="U2100" s="4"/>
    </row>
    <row r="2101">
      <c r="A2101" s="4"/>
      <c r="B2101" s="17"/>
      <c r="C2101" s="4"/>
      <c r="D2101" s="4"/>
      <c r="E2101" s="4"/>
      <c r="F2101" s="4"/>
      <c r="G2101" s="17"/>
      <c r="H2101" s="4"/>
      <c r="I2101" s="4"/>
      <c r="J2101" s="4"/>
      <c r="K2101" s="6"/>
      <c r="L2101" s="17"/>
      <c r="M2101" s="4"/>
      <c r="N2101" s="6"/>
      <c r="O2101" s="4"/>
      <c r="P2101" s="4"/>
      <c r="Q2101" s="4"/>
      <c r="R2101" s="4"/>
      <c r="S2101" s="4"/>
      <c r="T2101" s="4"/>
      <c r="U2101" s="4"/>
    </row>
    <row r="2102">
      <c r="A2102" s="4"/>
      <c r="B2102" s="17"/>
      <c r="C2102" s="4"/>
      <c r="D2102" s="4"/>
      <c r="E2102" s="4"/>
      <c r="F2102" s="4"/>
      <c r="G2102" s="17"/>
      <c r="H2102" s="4"/>
      <c r="I2102" s="4"/>
      <c r="J2102" s="4"/>
      <c r="K2102" s="6"/>
      <c r="L2102" s="17"/>
      <c r="M2102" s="4"/>
      <c r="N2102" s="6"/>
      <c r="O2102" s="4"/>
      <c r="P2102" s="4"/>
      <c r="Q2102" s="4"/>
      <c r="R2102" s="4"/>
      <c r="S2102" s="4"/>
      <c r="T2102" s="4"/>
      <c r="U2102" s="4"/>
    </row>
    <row r="2103">
      <c r="A2103" s="4"/>
      <c r="B2103" s="17"/>
      <c r="C2103" s="4"/>
      <c r="D2103" s="4"/>
      <c r="E2103" s="4"/>
      <c r="F2103" s="4"/>
      <c r="G2103" s="17"/>
      <c r="H2103" s="4"/>
      <c r="I2103" s="4"/>
      <c r="J2103" s="4"/>
      <c r="K2103" s="6"/>
      <c r="L2103" s="17"/>
      <c r="M2103" s="4"/>
      <c r="N2103" s="6"/>
      <c r="O2103" s="4"/>
      <c r="P2103" s="4"/>
      <c r="Q2103" s="4"/>
      <c r="R2103" s="4"/>
      <c r="S2103" s="4"/>
      <c r="T2103" s="4"/>
      <c r="U2103" s="4"/>
    </row>
    <row r="2104">
      <c r="A2104" s="4"/>
      <c r="B2104" s="17"/>
      <c r="C2104" s="4"/>
      <c r="D2104" s="4"/>
      <c r="E2104" s="4"/>
      <c r="F2104" s="4"/>
      <c r="G2104" s="17"/>
      <c r="H2104" s="4"/>
      <c r="I2104" s="4"/>
      <c r="J2104" s="4"/>
      <c r="K2104" s="6"/>
      <c r="L2104" s="17"/>
      <c r="M2104" s="4"/>
      <c r="N2104" s="6"/>
      <c r="O2104" s="4"/>
      <c r="P2104" s="4"/>
      <c r="Q2104" s="4"/>
      <c r="R2104" s="4"/>
      <c r="S2104" s="4"/>
      <c r="T2104" s="4"/>
      <c r="U2104" s="4"/>
    </row>
    <row r="2105">
      <c r="A2105" s="4"/>
      <c r="B2105" s="17"/>
      <c r="C2105" s="4"/>
      <c r="D2105" s="4"/>
      <c r="E2105" s="4"/>
      <c r="F2105" s="4"/>
      <c r="G2105" s="17"/>
      <c r="H2105" s="4"/>
      <c r="I2105" s="4"/>
      <c r="J2105" s="4"/>
      <c r="K2105" s="6"/>
      <c r="L2105" s="17"/>
      <c r="M2105" s="4"/>
      <c r="N2105" s="6"/>
      <c r="O2105" s="4"/>
      <c r="P2105" s="4"/>
      <c r="Q2105" s="4"/>
      <c r="R2105" s="4"/>
      <c r="S2105" s="4"/>
      <c r="T2105" s="4"/>
      <c r="U2105" s="4"/>
    </row>
    <row r="2106">
      <c r="A2106" s="4"/>
      <c r="B2106" s="17"/>
      <c r="C2106" s="4"/>
      <c r="D2106" s="4"/>
      <c r="E2106" s="4"/>
      <c r="F2106" s="4"/>
      <c r="G2106" s="17"/>
      <c r="H2106" s="4"/>
      <c r="I2106" s="4"/>
      <c r="J2106" s="4"/>
      <c r="K2106" s="6"/>
      <c r="L2106" s="17"/>
      <c r="M2106" s="4"/>
      <c r="N2106" s="6"/>
      <c r="O2106" s="4"/>
      <c r="P2106" s="4"/>
      <c r="Q2106" s="4"/>
      <c r="R2106" s="4"/>
      <c r="S2106" s="4"/>
      <c r="T2106" s="4"/>
      <c r="U2106" s="4"/>
    </row>
    <row r="2107">
      <c r="A2107" s="4"/>
      <c r="B2107" s="17"/>
      <c r="C2107" s="4"/>
      <c r="D2107" s="4"/>
      <c r="E2107" s="4"/>
      <c r="F2107" s="4"/>
      <c r="G2107" s="17"/>
      <c r="H2107" s="4"/>
      <c r="I2107" s="4"/>
      <c r="J2107" s="4"/>
      <c r="K2107" s="6"/>
      <c r="L2107" s="17"/>
      <c r="M2107" s="4"/>
      <c r="N2107" s="6"/>
      <c r="O2107" s="4"/>
      <c r="P2107" s="4"/>
      <c r="Q2107" s="4"/>
      <c r="R2107" s="4"/>
      <c r="S2107" s="4"/>
      <c r="T2107" s="4"/>
      <c r="U2107" s="4"/>
    </row>
    <row r="2108">
      <c r="A2108" s="4"/>
      <c r="B2108" s="17"/>
      <c r="C2108" s="4"/>
      <c r="D2108" s="4"/>
      <c r="E2108" s="4"/>
      <c r="F2108" s="4"/>
      <c r="G2108" s="17"/>
      <c r="H2108" s="4"/>
      <c r="I2108" s="4"/>
      <c r="J2108" s="4"/>
      <c r="K2108" s="6"/>
      <c r="L2108" s="17"/>
      <c r="M2108" s="4"/>
      <c r="N2108" s="6"/>
      <c r="O2108" s="4"/>
      <c r="P2108" s="4"/>
      <c r="Q2108" s="4"/>
      <c r="R2108" s="4"/>
      <c r="S2108" s="4"/>
      <c r="T2108" s="4"/>
      <c r="U2108" s="4"/>
    </row>
    <row r="2109">
      <c r="A2109" s="4"/>
      <c r="B2109" s="17"/>
      <c r="C2109" s="4"/>
      <c r="D2109" s="4"/>
      <c r="E2109" s="4"/>
      <c r="F2109" s="4"/>
      <c r="G2109" s="17"/>
      <c r="H2109" s="4"/>
      <c r="I2109" s="4"/>
      <c r="J2109" s="4"/>
      <c r="K2109" s="6"/>
      <c r="L2109" s="17"/>
      <c r="M2109" s="4"/>
      <c r="N2109" s="6"/>
      <c r="O2109" s="4"/>
      <c r="P2109" s="4"/>
      <c r="Q2109" s="4"/>
      <c r="R2109" s="4"/>
      <c r="S2109" s="4"/>
      <c r="T2109" s="4"/>
      <c r="U2109" s="4"/>
    </row>
    <row r="2110">
      <c r="A2110" s="4"/>
      <c r="B2110" s="17"/>
      <c r="C2110" s="4"/>
      <c r="D2110" s="4"/>
      <c r="E2110" s="4"/>
      <c r="F2110" s="4"/>
      <c r="G2110" s="17"/>
      <c r="H2110" s="4"/>
      <c r="I2110" s="4"/>
      <c r="J2110" s="4"/>
      <c r="K2110" s="6"/>
      <c r="L2110" s="17"/>
      <c r="M2110" s="4"/>
      <c r="N2110" s="6"/>
      <c r="O2110" s="4"/>
      <c r="P2110" s="4"/>
      <c r="Q2110" s="4"/>
      <c r="R2110" s="4"/>
      <c r="S2110" s="4"/>
      <c r="T2110" s="4"/>
      <c r="U2110" s="4"/>
    </row>
    <row r="2111">
      <c r="A2111" s="4"/>
      <c r="B2111" s="17"/>
      <c r="C2111" s="4"/>
      <c r="D2111" s="4"/>
      <c r="E2111" s="4"/>
      <c r="F2111" s="4"/>
      <c r="G2111" s="17"/>
      <c r="H2111" s="4"/>
      <c r="I2111" s="4"/>
      <c r="J2111" s="4"/>
      <c r="K2111" s="6"/>
      <c r="L2111" s="17"/>
      <c r="M2111" s="4"/>
      <c r="N2111" s="6"/>
      <c r="O2111" s="4"/>
      <c r="P2111" s="4"/>
      <c r="Q2111" s="4"/>
      <c r="R2111" s="4"/>
      <c r="S2111" s="4"/>
      <c r="T2111" s="4"/>
      <c r="U2111" s="4"/>
    </row>
    <row r="2112">
      <c r="A2112" s="4"/>
      <c r="B2112" s="17"/>
      <c r="C2112" s="4"/>
      <c r="D2112" s="4"/>
      <c r="E2112" s="4"/>
      <c r="F2112" s="4"/>
      <c r="G2112" s="17"/>
      <c r="H2112" s="4"/>
      <c r="I2112" s="4"/>
      <c r="J2112" s="4"/>
      <c r="K2112" s="6"/>
      <c r="L2112" s="17"/>
      <c r="M2112" s="4"/>
      <c r="N2112" s="6"/>
      <c r="O2112" s="4"/>
      <c r="P2112" s="4"/>
      <c r="Q2112" s="4"/>
      <c r="R2112" s="4"/>
      <c r="S2112" s="4"/>
      <c r="T2112" s="4"/>
      <c r="U2112" s="4"/>
    </row>
    <row r="2113">
      <c r="A2113" s="4"/>
      <c r="B2113" s="17"/>
      <c r="C2113" s="4"/>
      <c r="D2113" s="4"/>
      <c r="E2113" s="4"/>
      <c r="F2113" s="4"/>
      <c r="G2113" s="17"/>
      <c r="H2113" s="4"/>
      <c r="I2113" s="4"/>
      <c r="J2113" s="4"/>
      <c r="K2113" s="6"/>
      <c r="L2113" s="17"/>
      <c r="M2113" s="4"/>
      <c r="N2113" s="6"/>
      <c r="O2113" s="4"/>
      <c r="P2113" s="4"/>
      <c r="Q2113" s="4"/>
      <c r="R2113" s="4"/>
      <c r="S2113" s="4"/>
      <c r="T2113" s="4"/>
      <c r="U2113" s="4"/>
    </row>
    <row r="2114">
      <c r="A2114" s="4"/>
      <c r="B2114" s="17"/>
      <c r="C2114" s="4"/>
      <c r="D2114" s="4"/>
      <c r="E2114" s="4"/>
      <c r="F2114" s="4"/>
      <c r="G2114" s="17"/>
      <c r="H2114" s="4"/>
      <c r="I2114" s="4"/>
      <c r="J2114" s="4"/>
      <c r="K2114" s="6"/>
      <c r="L2114" s="17"/>
      <c r="M2114" s="4"/>
      <c r="N2114" s="6"/>
      <c r="O2114" s="4"/>
      <c r="P2114" s="4"/>
      <c r="Q2114" s="4"/>
      <c r="R2114" s="4"/>
      <c r="S2114" s="4"/>
      <c r="T2114" s="4"/>
      <c r="U2114" s="4"/>
    </row>
    <row r="2115">
      <c r="A2115" s="4"/>
      <c r="B2115" s="17"/>
      <c r="C2115" s="4"/>
      <c r="D2115" s="4"/>
      <c r="E2115" s="4"/>
      <c r="F2115" s="4"/>
      <c r="G2115" s="17"/>
      <c r="H2115" s="4"/>
      <c r="I2115" s="4"/>
      <c r="J2115" s="4"/>
      <c r="K2115" s="6"/>
      <c r="L2115" s="17"/>
      <c r="M2115" s="4"/>
      <c r="N2115" s="6"/>
      <c r="O2115" s="4"/>
      <c r="P2115" s="4"/>
      <c r="Q2115" s="4"/>
      <c r="R2115" s="4"/>
      <c r="S2115" s="4"/>
      <c r="T2115" s="4"/>
      <c r="U2115" s="4"/>
    </row>
    <row r="2116">
      <c r="A2116" s="4"/>
      <c r="B2116" s="17"/>
      <c r="C2116" s="4"/>
      <c r="D2116" s="4"/>
      <c r="E2116" s="4"/>
      <c r="F2116" s="4"/>
      <c r="G2116" s="17"/>
      <c r="H2116" s="4"/>
      <c r="I2116" s="4"/>
      <c r="J2116" s="4"/>
      <c r="K2116" s="6"/>
      <c r="L2116" s="17"/>
      <c r="M2116" s="4"/>
      <c r="N2116" s="6"/>
      <c r="O2116" s="4"/>
      <c r="P2116" s="4"/>
      <c r="Q2116" s="4"/>
      <c r="R2116" s="4"/>
      <c r="S2116" s="4"/>
      <c r="T2116" s="4"/>
      <c r="U2116" s="4"/>
    </row>
    <row r="2117">
      <c r="A2117" s="4"/>
      <c r="B2117" s="17"/>
      <c r="C2117" s="4"/>
      <c r="D2117" s="4"/>
      <c r="E2117" s="4"/>
      <c r="F2117" s="4"/>
      <c r="G2117" s="17"/>
      <c r="H2117" s="4"/>
      <c r="I2117" s="4"/>
      <c r="J2117" s="4"/>
      <c r="K2117" s="6"/>
      <c r="L2117" s="17"/>
      <c r="M2117" s="4"/>
      <c r="N2117" s="6"/>
      <c r="O2117" s="4"/>
      <c r="P2117" s="4"/>
      <c r="Q2117" s="4"/>
      <c r="R2117" s="4"/>
      <c r="S2117" s="4"/>
      <c r="T2117" s="4"/>
      <c r="U2117" s="4"/>
    </row>
    <row r="2118">
      <c r="A2118" s="4"/>
      <c r="B2118" s="17"/>
      <c r="C2118" s="4"/>
      <c r="D2118" s="4"/>
      <c r="E2118" s="4"/>
      <c r="F2118" s="4"/>
      <c r="G2118" s="17"/>
      <c r="H2118" s="4"/>
      <c r="I2118" s="4"/>
      <c r="J2118" s="4"/>
      <c r="K2118" s="6"/>
      <c r="L2118" s="17"/>
      <c r="M2118" s="4"/>
      <c r="N2118" s="6"/>
      <c r="O2118" s="4"/>
      <c r="P2118" s="4"/>
      <c r="Q2118" s="4"/>
      <c r="R2118" s="4"/>
      <c r="S2118" s="4"/>
      <c r="T2118" s="4"/>
      <c r="U2118" s="4"/>
    </row>
    <row r="2119">
      <c r="A2119" s="4"/>
      <c r="B2119" s="17"/>
      <c r="C2119" s="4"/>
      <c r="D2119" s="4"/>
      <c r="E2119" s="4"/>
      <c r="F2119" s="4"/>
      <c r="G2119" s="17"/>
      <c r="H2119" s="4"/>
      <c r="I2119" s="4"/>
      <c r="J2119" s="4"/>
      <c r="K2119" s="6"/>
      <c r="L2119" s="17"/>
      <c r="M2119" s="4"/>
      <c r="N2119" s="6"/>
      <c r="O2119" s="4"/>
      <c r="P2119" s="4"/>
      <c r="Q2119" s="4"/>
      <c r="R2119" s="4"/>
      <c r="S2119" s="4"/>
      <c r="T2119" s="4"/>
      <c r="U2119" s="4"/>
    </row>
    <row r="2120">
      <c r="A2120" s="4"/>
      <c r="B2120" s="17"/>
      <c r="C2120" s="4"/>
      <c r="D2120" s="4"/>
      <c r="E2120" s="4"/>
      <c r="F2120" s="4"/>
      <c r="G2120" s="17"/>
      <c r="H2120" s="4"/>
      <c r="I2120" s="4"/>
      <c r="J2120" s="4"/>
      <c r="K2120" s="6"/>
      <c r="L2120" s="17"/>
      <c r="M2120" s="4"/>
      <c r="N2120" s="6"/>
      <c r="O2120" s="4"/>
      <c r="P2120" s="4"/>
      <c r="Q2120" s="4"/>
      <c r="R2120" s="4"/>
      <c r="S2120" s="4"/>
      <c r="T2120" s="4"/>
      <c r="U2120" s="4"/>
    </row>
    <row r="2121">
      <c r="A2121" s="4"/>
      <c r="B2121" s="17"/>
      <c r="C2121" s="4"/>
      <c r="D2121" s="4"/>
      <c r="E2121" s="4"/>
      <c r="F2121" s="4"/>
      <c r="G2121" s="17"/>
      <c r="H2121" s="4"/>
      <c r="I2121" s="4"/>
      <c r="J2121" s="4"/>
      <c r="K2121" s="6"/>
      <c r="L2121" s="17"/>
      <c r="M2121" s="4"/>
      <c r="N2121" s="6"/>
      <c r="O2121" s="4"/>
      <c r="P2121" s="4"/>
      <c r="Q2121" s="4"/>
      <c r="R2121" s="4"/>
      <c r="S2121" s="4"/>
      <c r="T2121" s="4"/>
      <c r="U2121" s="4"/>
    </row>
    <row r="2122">
      <c r="A2122" s="4"/>
      <c r="B2122" s="17"/>
      <c r="C2122" s="4"/>
      <c r="D2122" s="4"/>
      <c r="E2122" s="4"/>
      <c r="F2122" s="4"/>
      <c r="G2122" s="17"/>
      <c r="H2122" s="4"/>
      <c r="I2122" s="4"/>
      <c r="J2122" s="4"/>
      <c r="K2122" s="6"/>
      <c r="L2122" s="17"/>
      <c r="M2122" s="4"/>
      <c r="N2122" s="6"/>
      <c r="O2122" s="4"/>
      <c r="P2122" s="4"/>
      <c r="Q2122" s="4"/>
      <c r="R2122" s="4"/>
      <c r="S2122" s="4"/>
      <c r="T2122" s="4"/>
      <c r="U2122" s="4"/>
    </row>
    <row r="2123">
      <c r="A2123" s="4"/>
      <c r="B2123" s="17"/>
      <c r="C2123" s="4"/>
      <c r="D2123" s="4"/>
      <c r="E2123" s="4"/>
      <c r="F2123" s="4"/>
      <c r="G2123" s="17"/>
      <c r="H2123" s="4"/>
      <c r="I2123" s="4"/>
      <c r="J2123" s="4"/>
      <c r="K2123" s="6"/>
      <c r="L2123" s="17"/>
      <c r="M2123" s="4"/>
      <c r="N2123" s="6"/>
      <c r="O2123" s="4"/>
      <c r="P2123" s="4"/>
      <c r="Q2123" s="4"/>
      <c r="R2123" s="4"/>
      <c r="S2123" s="4"/>
      <c r="T2123" s="4"/>
      <c r="U2123" s="4"/>
    </row>
    <row r="2124">
      <c r="A2124" s="4"/>
      <c r="B2124" s="17"/>
      <c r="C2124" s="4"/>
      <c r="D2124" s="4"/>
      <c r="E2124" s="4"/>
      <c r="F2124" s="4"/>
      <c r="G2124" s="17"/>
      <c r="H2124" s="4"/>
      <c r="I2124" s="4"/>
      <c r="J2124" s="4"/>
      <c r="K2124" s="6"/>
      <c r="L2124" s="17"/>
      <c r="M2124" s="4"/>
      <c r="N2124" s="6"/>
      <c r="O2124" s="4"/>
      <c r="P2124" s="4"/>
      <c r="Q2124" s="4"/>
      <c r="R2124" s="4"/>
      <c r="S2124" s="4"/>
      <c r="T2124" s="4"/>
      <c r="U2124" s="4"/>
    </row>
    <row r="2125">
      <c r="A2125" s="4"/>
      <c r="B2125" s="17"/>
      <c r="C2125" s="4"/>
      <c r="D2125" s="4"/>
      <c r="E2125" s="4"/>
      <c r="F2125" s="4"/>
      <c r="G2125" s="17"/>
      <c r="H2125" s="4"/>
      <c r="I2125" s="4"/>
      <c r="J2125" s="4"/>
      <c r="K2125" s="6"/>
      <c r="L2125" s="17"/>
      <c r="M2125" s="4"/>
      <c r="N2125" s="6"/>
      <c r="O2125" s="4"/>
      <c r="P2125" s="4"/>
      <c r="Q2125" s="4"/>
      <c r="R2125" s="4"/>
      <c r="S2125" s="4"/>
      <c r="T2125" s="4"/>
      <c r="U2125" s="4"/>
    </row>
    <row r="2126">
      <c r="A2126" s="4"/>
      <c r="B2126" s="17"/>
      <c r="C2126" s="4"/>
      <c r="D2126" s="4"/>
      <c r="E2126" s="4"/>
      <c r="F2126" s="4"/>
      <c r="G2126" s="17"/>
      <c r="H2126" s="4"/>
      <c r="I2126" s="4"/>
      <c r="J2126" s="4"/>
      <c r="K2126" s="6"/>
      <c r="L2126" s="17"/>
      <c r="M2126" s="4"/>
      <c r="N2126" s="6"/>
      <c r="O2126" s="4"/>
      <c r="P2126" s="4"/>
      <c r="Q2126" s="4"/>
      <c r="R2126" s="4"/>
      <c r="S2126" s="4"/>
      <c r="T2126" s="4"/>
      <c r="U2126" s="4"/>
    </row>
    <row r="2127">
      <c r="A2127" s="4"/>
      <c r="B2127" s="17"/>
      <c r="C2127" s="4"/>
      <c r="D2127" s="4"/>
      <c r="E2127" s="4"/>
      <c r="F2127" s="4"/>
      <c r="G2127" s="17"/>
      <c r="H2127" s="4"/>
      <c r="I2127" s="4"/>
      <c r="J2127" s="4"/>
      <c r="K2127" s="6"/>
      <c r="L2127" s="17"/>
      <c r="M2127" s="4"/>
      <c r="N2127" s="6"/>
      <c r="O2127" s="4"/>
      <c r="P2127" s="4"/>
      <c r="Q2127" s="4"/>
      <c r="R2127" s="4"/>
      <c r="S2127" s="4"/>
      <c r="T2127" s="4"/>
      <c r="U2127" s="4"/>
    </row>
    <row r="2128">
      <c r="A2128" s="4"/>
      <c r="B2128" s="17"/>
      <c r="C2128" s="4"/>
      <c r="D2128" s="4"/>
      <c r="E2128" s="4"/>
      <c r="F2128" s="4"/>
      <c r="G2128" s="17"/>
      <c r="H2128" s="4"/>
      <c r="I2128" s="4"/>
      <c r="J2128" s="4"/>
      <c r="K2128" s="6"/>
      <c r="L2128" s="17"/>
      <c r="M2128" s="4"/>
      <c r="N2128" s="6"/>
      <c r="O2128" s="4"/>
      <c r="P2128" s="4"/>
      <c r="Q2128" s="4"/>
      <c r="R2128" s="4"/>
      <c r="S2128" s="4"/>
      <c r="T2128" s="4"/>
      <c r="U2128" s="4"/>
    </row>
    <row r="2129">
      <c r="A2129" s="4"/>
      <c r="B2129" s="17"/>
      <c r="C2129" s="4"/>
      <c r="D2129" s="4"/>
      <c r="E2129" s="4"/>
      <c r="F2129" s="4"/>
      <c r="G2129" s="17"/>
      <c r="H2129" s="4"/>
      <c r="I2129" s="4"/>
      <c r="J2129" s="4"/>
      <c r="K2129" s="6"/>
      <c r="L2129" s="17"/>
      <c r="M2129" s="4"/>
      <c r="N2129" s="6"/>
      <c r="O2129" s="4"/>
      <c r="P2129" s="4"/>
      <c r="Q2129" s="4"/>
      <c r="R2129" s="4"/>
      <c r="S2129" s="4"/>
      <c r="T2129" s="4"/>
      <c r="U2129" s="4"/>
    </row>
  </sheetData>
  <mergeCells count="8">
    <mergeCell ref="A1:D1"/>
    <mergeCell ref="P1:S1"/>
    <mergeCell ref="F1:I1"/>
    <mergeCell ref="K1:N1"/>
    <mergeCell ref="A221:D221"/>
    <mergeCell ref="F221:I221"/>
    <mergeCell ref="K300:N300"/>
    <mergeCell ref="P300:S300"/>
  </mergeCells>
  <drawing r:id="rId1"/>
</worksheet>
</file>