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0" documentId="8_{E97A257A-7B31-42F1-9395-226EDCD48CD7}" xr6:coauthVersionLast="41" xr6:coauthVersionMax="41" xr10:uidLastSave="{00000000-0000-0000-0000-000000000000}"/>
  <bookViews>
    <workbookView xWindow="240" yWindow="105" windowWidth="14805" windowHeight="8010" firstSheet="1" xr2:uid="{00000000-000D-0000-FFFF-FFFF00000000}"/>
  </bookViews>
  <sheets>
    <sheet name="Textiles" sheetId="2" r:id="rId1"/>
    <sheet name="Leather Product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2" i="2" l="1"/>
  <c r="U42" i="2"/>
  <c r="T42" i="2"/>
  <c r="V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V31" i="2"/>
  <c r="U31" i="2"/>
  <c r="T31" i="2"/>
  <c r="V30" i="2"/>
  <c r="U30" i="2"/>
  <c r="T30" i="2"/>
  <c r="V29" i="2"/>
  <c r="U29" i="2"/>
  <c r="T29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B25" i="2"/>
  <c r="E3" i="2"/>
  <c r="Z3" i="2"/>
  <c r="B26" i="2"/>
  <c r="E4" i="2"/>
  <c r="Z4" i="2"/>
  <c r="B27" i="2"/>
  <c r="E5" i="2"/>
  <c r="Z5" i="2"/>
  <c r="B28" i="2"/>
  <c r="E6" i="2"/>
  <c r="Z6" i="2"/>
  <c r="B29" i="2"/>
  <c r="E7" i="2"/>
  <c r="Z7" i="2"/>
  <c r="B30" i="2"/>
  <c r="E8" i="2"/>
  <c r="Z8" i="2"/>
  <c r="B31" i="2"/>
  <c r="E9" i="2"/>
  <c r="Z9" i="2"/>
  <c r="B32" i="2"/>
  <c r="E10" i="2"/>
  <c r="Z10" i="2"/>
  <c r="B33" i="2"/>
  <c r="E11" i="2"/>
  <c r="Z11" i="2"/>
  <c r="B34" i="2"/>
  <c r="E12" i="2"/>
  <c r="Z12" i="2"/>
  <c r="B35" i="2"/>
  <c r="E13" i="2"/>
  <c r="Z13" i="2"/>
  <c r="B36" i="2"/>
  <c r="E14" i="2"/>
  <c r="Z14" i="2"/>
  <c r="B37" i="2"/>
  <c r="E15" i="2"/>
  <c r="Z15" i="2"/>
  <c r="B38" i="2"/>
  <c r="E16" i="2"/>
  <c r="Z16" i="2"/>
  <c r="B39" i="2"/>
  <c r="E17" i="2"/>
  <c r="Z17" i="2"/>
  <c r="B40" i="2"/>
  <c r="E18" i="2"/>
  <c r="Z18" i="2"/>
  <c r="E19" i="2"/>
  <c r="Z19" i="2"/>
  <c r="B42" i="2"/>
  <c r="E20" i="2"/>
  <c r="Z20" i="2"/>
  <c r="B24" i="2"/>
  <c r="E2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D25" i="2"/>
  <c r="G3" i="2"/>
  <c r="AB3" i="2"/>
  <c r="D26" i="2"/>
  <c r="G4" i="2"/>
  <c r="AB4" i="2"/>
  <c r="D27" i="2"/>
  <c r="G5" i="2"/>
  <c r="AB5" i="2"/>
  <c r="G6" i="2"/>
  <c r="AB6" i="2"/>
  <c r="D29" i="2"/>
  <c r="G7" i="2"/>
  <c r="AB7" i="2"/>
  <c r="D30" i="2"/>
  <c r="G8" i="2"/>
  <c r="AB8" i="2"/>
  <c r="D31" i="2"/>
  <c r="G9" i="2"/>
  <c r="AB9" i="2"/>
  <c r="D32" i="2"/>
  <c r="G10" i="2"/>
  <c r="AB10" i="2"/>
  <c r="D33" i="2"/>
  <c r="G11" i="2"/>
  <c r="AB11" i="2"/>
  <c r="D34" i="2"/>
  <c r="G12" i="2"/>
  <c r="AB12" i="2"/>
  <c r="D35" i="2"/>
  <c r="G13" i="2"/>
  <c r="AB13" i="2"/>
  <c r="D36" i="2"/>
  <c r="G14" i="2"/>
  <c r="AB14" i="2"/>
  <c r="D37" i="2"/>
  <c r="G15" i="2"/>
  <c r="AB15" i="2"/>
  <c r="D38" i="2"/>
  <c r="G16" i="2"/>
  <c r="AB16" i="2"/>
  <c r="D39" i="2"/>
  <c r="G17" i="2"/>
  <c r="AB17" i="2"/>
  <c r="D40" i="2"/>
  <c r="G18" i="2"/>
  <c r="AB18" i="2"/>
  <c r="D41" i="2"/>
  <c r="G19" i="2"/>
  <c r="AB19" i="2"/>
  <c r="D42" i="2"/>
  <c r="G20" i="2"/>
  <c r="AB20" i="2"/>
  <c r="C25" i="2"/>
  <c r="F3" i="2"/>
  <c r="AA3" i="2"/>
  <c r="C26" i="2"/>
  <c r="F4" i="2"/>
  <c r="AA4" i="2"/>
  <c r="C27" i="2"/>
  <c r="F5" i="2"/>
  <c r="AA5" i="2"/>
  <c r="F6" i="2"/>
  <c r="AA6" i="2"/>
  <c r="C29" i="2"/>
  <c r="F7" i="2"/>
  <c r="AA7" i="2"/>
  <c r="C30" i="2"/>
  <c r="F8" i="2"/>
  <c r="AA8" i="2"/>
  <c r="C31" i="2"/>
  <c r="F9" i="2"/>
  <c r="AA9" i="2"/>
  <c r="C32" i="2"/>
  <c r="F10" i="2"/>
  <c r="AA10" i="2"/>
  <c r="C33" i="2"/>
  <c r="F11" i="2"/>
  <c r="AA11" i="2"/>
  <c r="C34" i="2"/>
  <c r="F12" i="2"/>
  <c r="AA12" i="2"/>
  <c r="C35" i="2"/>
  <c r="F13" i="2"/>
  <c r="AA13" i="2"/>
  <c r="C36" i="2"/>
  <c r="F14" i="2"/>
  <c r="AA14" i="2"/>
  <c r="C37" i="2"/>
  <c r="F15" i="2"/>
  <c r="AA15" i="2"/>
  <c r="C38" i="2"/>
  <c r="F16" i="2"/>
  <c r="AA16" i="2"/>
  <c r="C39" i="2"/>
  <c r="F17" i="2"/>
  <c r="AA17" i="2"/>
  <c r="C40" i="2"/>
  <c r="F18" i="2"/>
  <c r="AA18" i="2"/>
  <c r="F19" i="2"/>
  <c r="AA19" i="2"/>
  <c r="C42" i="2"/>
  <c r="F20" i="2"/>
  <c r="AA20" i="2"/>
  <c r="AE2" i="2"/>
  <c r="AD2" i="2"/>
  <c r="AC2" i="2"/>
  <c r="D24" i="2"/>
  <c r="G2" i="2"/>
  <c r="AB2" i="2"/>
  <c r="C24" i="2"/>
  <c r="F2" i="2"/>
  <c r="AA2" i="2"/>
  <c r="S25" i="2"/>
  <c r="P3" i="2"/>
  <c r="S26" i="2"/>
  <c r="P4" i="2"/>
  <c r="S27" i="2"/>
  <c r="P5" i="2"/>
  <c r="P6" i="2"/>
  <c r="S29" i="2"/>
  <c r="P7" i="2"/>
  <c r="S30" i="2"/>
  <c r="P8" i="2"/>
  <c r="S31" i="2"/>
  <c r="P9" i="2"/>
  <c r="S32" i="2"/>
  <c r="P10" i="2"/>
  <c r="S33" i="2"/>
  <c r="P11" i="2"/>
  <c r="S34" i="2"/>
  <c r="P12" i="2"/>
  <c r="S35" i="2"/>
  <c r="P13" i="2"/>
  <c r="S36" i="2"/>
  <c r="P14" i="2"/>
  <c r="S37" i="2"/>
  <c r="P15" i="2"/>
  <c r="S38" i="2"/>
  <c r="P16" i="2"/>
  <c r="S39" i="2"/>
  <c r="P17" i="2"/>
  <c r="S40" i="2"/>
  <c r="P18" i="2"/>
  <c r="P19" i="2"/>
  <c r="S42" i="2"/>
  <c r="P20" i="2"/>
  <c r="R25" i="2"/>
  <c r="O3" i="2"/>
  <c r="R26" i="2"/>
  <c r="O4" i="2"/>
  <c r="R27" i="2"/>
  <c r="O5" i="2"/>
  <c r="O6" i="2"/>
  <c r="R29" i="2"/>
  <c r="O7" i="2"/>
  <c r="R30" i="2"/>
  <c r="O8" i="2"/>
  <c r="R31" i="2"/>
  <c r="O9" i="2"/>
  <c r="R32" i="2"/>
  <c r="O10" i="2"/>
  <c r="R33" i="2"/>
  <c r="O11" i="2"/>
  <c r="R34" i="2"/>
  <c r="O12" i="2"/>
  <c r="R35" i="2"/>
  <c r="O13" i="2"/>
  <c r="R36" i="2"/>
  <c r="O14" i="2"/>
  <c r="R37" i="2"/>
  <c r="O15" i="2"/>
  <c r="R38" i="2"/>
  <c r="O16" i="2"/>
  <c r="R39" i="2"/>
  <c r="O17" i="2"/>
  <c r="R40" i="2"/>
  <c r="O18" i="2"/>
  <c r="O19" i="2"/>
  <c r="R42" i="2"/>
  <c r="O20" i="2"/>
  <c r="Q25" i="2"/>
  <c r="N3" i="2"/>
  <c r="Q26" i="2"/>
  <c r="N4" i="2"/>
  <c r="Q27" i="2"/>
  <c r="N5" i="2"/>
  <c r="Q28" i="2"/>
  <c r="N6" i="2"/>
  <c r="Q29" i="2"/>
  <c r="N7" i="2"/>
  <c r="Q30" i="2"/>
  <c r="N8" i="2"/>
  <c r="Q31" i="2"/>
  <c r="N9" i="2"/>
  <c r="Q32" i="2"/>
  <c r="N10" i="2"/>
  <c r="Q33" i="2"/>
  <c r="N11" i="2"/>
  <c r="Q34" i="2"/>
  <c r="N12" i="2"/>
  <c r="Q35" i="2"/>
  <c r="N13" i="2"/>
  <c r="Q36" i="2"/>
  <c r="N14" i="2"/>
  <c r="Q37" i="2"/>
  <c r="N15" i="2"/>
  <c r="Q38" i="2"/>
  <c r="N16" i="2"/>
  <c r="Q39" i="2"/>
  <c r="N17" i="2"/>
  <c r="Q40" i="2"/>
  <c r="N18" i="2"/>
  <c r="N19" i="2"/>
  <c r="Q42" i="2"/>
  <c r="N20" i="2"/>
  <c r="P2" i="2"/>
  <c r="O2" i="2"/>
  <c r="N2" i="2"/>
  <c r="K25" i="2"/>
  <c r="L25" i="2"/>
  <c r="M25" i="2"/>
  <c r="AI25" i="2"/>
  <c r="AJ25" i="2"/>
  <c r="AK25" i="2"/>
  <c r="K26" i="2"/>
  <c r="L26" i="2"/>
  <c r="M26" i="2"/>
  <c r="AI26" i="2"/>
  <c r="AJ26" i="2"/>
  <c r="AK26" i="2"/>
  <c r="K27" i="2"/>
  <c r="L27" i="2"/>
  <c r="M27" i="2"/>
  <c r="AI27" i="2"/>
  <c r="AJ27" i="2"/>
  <c r="AK27" i="2"/>
  <c r="K28" i="2"/>
  <c r="K29" i="2"/>
  <c r="L29" i="2"/>
  <c r="M29" i="2"/>
  <c r="AI29" i="2"/>
  <c r="AJ29" i="2"/>
  <c r="AK29" i="2"/>
  <c r="K30" i="2"/>
  <c r="M30" i="2"/>
  <c r="AI30" i="2"/>
  <c r="AJ30" i="2"/>
  <c r="AK30" i="2"/>
  <c r="K31" i="2"/>
  <c r="L31" i="2"/>
  <c r="M31" i="2"/>
  <c r="AI31" i="2"/>
  <c r="AJ31" i="2"/>
  <c r="AK31" i="2"/>
  <c r="K32" i="2"/>
  <c r="L32" i="2"/>
  <c r="M32" i="2"/>
  <c r="AI32" i="2"/>
  <c r="AJ32" i="2"/>
  <c r="AK32" i="2"/>
  <c r="K33" i="2"/>
  <c r="L33" i="2"/>
  <c r="M33" i="2"/>
  <c r="AI33" i="2"/>
  <c r="AJ33" i="2"/>
  <c r="AK33" i="2"/>
  <c r="K34" i="2"/>
  <c r="L34" i="2"/>
  <c r="M34" i="2"/>
  <c r="AI34" i="2"/>
  <c r="AJ34" i="2"/>
  <c r="K35" i="2"/>
  <c r="L35" i="2"/>
  <c r="M35" i="2"/>
  <c r="AI35" i="2"/>
  <c r="AJ35" i="2"/>
  <c r="AK35" i="2"/>
  <c r="K36" i="2"/>
  <c r="L36" i="2"/>
  <c r="M36" i="2"/>
  <c r="AI36" i="2"/>
  <c r="AJ36" i="2"/>
  <c r="AK36" i="2"/>
  <c r="K37" i="2"/>
  <c r="L37" i="2"/>
  <c r="M37" i="2"/>
  <c r="AI37" i="2"/>
  <c r="AJ37" i="2"/>
  <c r="AK37" i="2"/>
  <c r="K38" i="2"/>
  <c r="L38" i="2"/>
  <c r="M38" i="2"/>
  <c r="AI38" i="2"/>
  <c r="AJ38" i="2"/>
  <c r="AK38" i="2"/>
  <c r="K39" i="2"/>
  <c r="L39" i="2"/>
  <c r="M39" i="2"/>
  <c r="AI39" i="2"/>
  <c r="AJ39" i="2"/>
  <c r="AK39" i="2"/>
  <c r="K40" i="2"/>
  <c r="L40" i="2"/>
  <c r="M40" i="2"/>
  <c r="AI40" i="2"/>
  <c r="AJ40" i="2"/>
  <c r="AK40" i="2"/>
  <c r="K41" i="2"/>
  <c r="L41" i="2"/>
  <c r="K42" i="2"/>
  <c r="L42" i="2"/>
  <c r="M42" i="2"/>
  <c r="AI42" i="2"/>
  <c r="AJ42" i="2"/>
  <c r="AK42" i="2"/>
  <c r="AE4" i="1"/>
  <c r="AE5" i="1"/>
  <c r="AE6" i="1"/>
  <c r="AE7" i="1"/>
  <c r="AE8" i="1"/>
  <c r="AE9" i="1"/>
  <c r="AE10" i="1"/>
  <c r="AE11" i="1"/>
  <c r="AE12" i="1"/>
  <c r="AE13" i="1"/>
  <c r="AE14" i="1"/>
  <c r="AE15" i="1"/>
  <c r="AD4" i="1"/>
  <c r="AD5" i="1"/>
  <c r="AD6" i="1"/>
  <c r="AD7" i="1"/>
  <c r="AD8" i="1"/>
  <c r="AD9" i="1"/>
  <c r="AD10" i="1"/>
  <c r="AD11" i="1"/>
  <c r="AD12" i="1"/>
  <c r="AD13" i="1"/>
  <c r="AD14" i="1"/>
  <c r="AD15" i="1"/>
  <c r="AC4" i="1"/>
  <c r="AC5" i="1"/>
  <c r="AC6" i="1"/>
  <c r="AC7" i="1"/>
  <c r="AC8" i="1"/>
  <c r="AC9" i="1"/>
  <c r="AC10" i="1"/>
  <c r="AC11" i="1"/>
  <c r="AC12" i="1"/>
  <c r="AC13" i="1"/>
  <c r="AC14" i="1"/>
  <c r="AC15" i="1"/>
  <c r="AE3" i="1"/>
  <c r="AD3" i="1"/>
  <c r="AC3" i="1"/>
  <c r="G4" i="1"/>
  <c r="AB4" i="1"/>
  <c r="D22" i="1"/>
  <c r="G5" i="1"/>
  <c r="AB5" i="1"/>
  <c r="D23" i="1"/>
  <c r="G6" i="1"/>
  <c r="AB6" i="1"/>
  <c r="D24" i="1"/>
  <c r="G7" i="1"/>
  <c r="AB7" i="1"/>
  <c r="D25" i="1"/>
  <c r="G8" i="1"/>
  <c r="AB8" i="1"/>
  <c r="D26" i="1"/>
  <c r="G9" i="1"/>
  <c r="AB9" i="1"/>
  <c r="D27" i="1"/>
  <c r="G10" i="1"/>
  <c r="AB10" i="1"/>
  <c r="D28" i="1"/>
  <c r="G11" i="1"/>
  <c r="AB11" i="1"/>
  <c r="D29" i="1"/>
  <c r="G12" i="1"/>
  <c r="AB12" i="1"/>
  <c r="D30" i="1"/>
  <c r="G13" i="1"/>
  <c r="AB13" i="1"/>
  <c r="D31" i="1"/>
  <c r="G14" i="1"/>
  <c r="AB14" i="1"/>
  <c r="D32" i="1"/>
  <c r="G15" i="1"/>
  <c r="AB15" i="1"/>
  <c r="C21" i="1"/>
  <c r="F4" i="1"/>
  <c r="AA4" i="1"/>
  <c r="C22" i="1"/>
  <c r="F5" i="1"/>
  <c r="AA5" i="1"/>
  <c r="C23" i="1"/>
  <c r="F6" i="1"/>
  <c r="AA6" i="1"/>
  <c r="C24" i="1"/>
  <c r="F7" i="1"/>
  <c r="AA7" i="1"/>
  <c r="C25" i="1"/>
  <c r="F8" i="1"/>
  <c r="AA8" i="1"/>
  <c r="C26" i="1"/>
  <c r="F9" i="1"/>
  <c r="AA9" i="1"/>
  <c r="C27" i="1"/>
  <c r="F10" i="1"/>
  <c r="AA10" i="1"/>
  <c r="C28" i="1"/>
  <c r="F11" i="1"/>
  <c r="AA11" i="1"/>
  <c r="C29" i="1"/>
  <c r="F12" i="1"/>
  <c r="AA12" i="1"/>
  <c r="C30" i="1"/>
  <c r="F13" i="1"/>
  <c r="AA13" i="1"/>
  <c r="C31" i="1"/>
  <c r="F14" i="1"/>
  <c r="AA14" i="1"/>
  <c r="C32" i="1"/>
  <c r="F15" i="1"/>
  <c r="AA15" i="1"/>
  <c r="B21" i="1"/>
  <c r="E4" i="1"/>
  <c r="Z4" i="1"/>
  <c r="B22" i="1"/>
  <c r="E5" i="1"/>
  <c r="Z5" i="1"/>
  <c r="B23" i="1"/>
  <c r="E6" i="1"/>
  <c r="Z6" i="1"/>
  <c r="B24" i="1"/>
  <c r="E7" i="1"/>
  <c r="Z7" i="1"/>
  <c r="B25" i="1"/>
  <c r="E8" i="1"/>
  <c r="Z8" i="1"/>
  <c r="B26" i="1"/>
  <c r="E9" i="1"/>
  <c r="Z9" i="1"/>
  <c r="B27" i="1"/>
  <c r="E10" i="1"/>
  <c r="Z10" i="1"/>
  <c r="B28" i="1"/>
  <c r="E11" i="1"/>
  <c r="Z11" i="1"/>
  <c r="B29" i="1"/>
  <c r="E12" i="1"/>
  <c r="Z12" i="1"/>
  <c r="B30" i="1"/>
  <c r="E13" i="1"/>
  <c r="Z13" i="1"/>
  <c r="B31" i="1"/>
  <c r="E14" i="1"/>
  <c r="Z14" i="1"/>
  <c r="B32" i="1"/>
  <c r="E15" i="1"/>
  <c r="Z15" i="1"/>
  <c r="D20" i="1"/>
  <c r="G3" i="1"/>
  <c r="AB3" i="1"/>
  <c r="F3" i="1"/>
  <c r="AA3" i="1"/>
  <c r="B20" i="1"/>
  <c r="E3" i="1"/>
  <c r="Z3" i="1"/>
  <c r="P4" i="1"/>
  <c r="P5" i="1"/>
  <c r="P6" i="1"/>
  <c r="P7" i="1"/>
  <c r="P8" i="1"/>
  <c r="P9" i="1"/>
  <c r="P10" i="1"/>
  <c r="P11" i="1"/>
  <c r="S29" i="1"/>
  <c r="P12" i="1"/>
  <c r="S30" i="1"/>
  <c r="P13" i="1"/>
  <c r="S31" i="1"/>
  <c r="P14" i="1"/>
  <c r="S32" i="1"/>
  <c r="P15" i="1"/>
  <c r="O4" i="1"/>
  <c r="O5" i="1"/>
  <c r="O6" i="1"/>
  <c r="O7" i="1"/>
  <c r="O8" i="1"/>
  <c r="O9" i="1"/>
  <c r="O10" i="1"/>
  <c r="O11" i="1"/>
  <c r="O12" i="1"/>
  <c r="R30" i="1"/>
  <c r="O13" i="1"/>
  <c r="R31" i="1"/>
  <c r="O14" i="1"/>
  <c r="R32" i="1"/>
  <c r="O15" i="1"/>
  <c r="N4" i="1"/>
  <c r="N5" i="1"/>
  <c r="N6" i="1"/>
  <c r="N7" i="1"/>
  <c r="N8" i="1"/>
  <c r="N9" i="1"/>
  <c r="N10" i="1"/>
  <c r="N11" i="1"/>
  <c r="N12" i="1"/>
  <c r="Q30" i="1"/>
  <c r="N13" i="1"/>
  <c r="Q31" i="1"/>
  <c r="N14" i="1"/>
  <c r="Q32" i="1"/>
  <c r="N15" i="1"/>
  <c r="P3" i="1"/>
  <c r="O3" i="1"/>
  <c r="N3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Y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V2" i="2"/>
  <c r="U2" i="2"/>
  <c r="S2" i="2"/>
  <c r="R2" i="2"/>
  <c r="Q2" i="2"/>
  <c r="T2" i="2"/>
  <c r="M2" i="2"/>
  <c r="L2" i="2"/>
  <c r="K2" i="2"/>
  <c r="J2" i="2"/>
  <c r="I2" i="2"/>
  <c r="H2" i="2"/>
  <c r="I4" i="1"/>
  <c r="I5" i="1"/>
  <c r="I6" i="1"/>
  <c r="I7" i="1"/>
  <c r="I8" i="1"/>
  <c r="I9" i="1"/>
  <c r="I10" i="1"/>
  <c r="I11" i="1"/>
  <c r="I12" i="1"/>
  <c r="L30" i="1"/>
  <c r="I13" i="1"/>
  <c r="L31" i="1"/>
  <c r="I14" i="1"/>
  <c r="I15" i="1"/>
  <c r="I3" i="1"/>
  <c r="H4" i="1"/>
  <c r="H5" i="1"/>
  <c r="H6" i="1"/>
  <c r="H7" i="1"/>
  <c r="H8" i="1"/>
  <c r="H9" i="1"/>
  <c r="H10" i="1"/>
  <c r="H11" i="1"/>
  <c r="H12" i="1"/>
  <c r="K30" i="1"/>
  <c r="H13" i="1"/>
  <c r="K31" i="1"/>
  <c r="H14" i="1"/>
  <c r="K32" i="1"/>
  <c r="H15" i="1"/>
  <c r="H3" i="1"/>
  <c r="Y4" i="1"/>
  <c r="Y5" i="1"/>
  <c r="Y6" i="1"/>
  <c r="Y7" i="1"/>
  <c r="Y8" i="1"/>
  <c r="Y9" i="1"/>
  <c r="Y10" i="1"/>
  <c r="Y11" i="1"/>
  <c r="AH29" i="1"/>
  <c r="Y12" i="1"/>
  <c r="AH30" i="1"/>
  <c r="Y13" i="1"/>
  <c r="AH31" i="1"/>
  <c r="Y14" i="1"/>
  <c r="AH32" i="1"/>
  <c r="Y15" i="1"/>
  <c r="X4" i="1"/>
  <c r="X5" i="1"/>
  <c r="X6" i="1"/>
  <c r="X7" i="1"/>
  <c r="X8" i="1"/>
  <c r="X9" i="1"/>
  <c r="X10" i="1"/>
  <c r="X11" i="1"/>
  <c r="AG29" i="1"/>
  <c r="X12" i="1"/>
  <c r="AG30" i="1"/>
  <c r="X13" i="1"/>
  <c r="AG31" i="1"/>
  <c r="X14" i="1"/>
  <c r="AG32" i="1"/>
  <c r="X15" i="1"/>
  <c r="Y3" i="1"/>
  <c r="X3" i="1"/>
  <c r="W4" i="1"/>
  <c r="W5" i="1"/>
  <c r="W6" i="1"/>
  <c r="W7" i="1"/>
  <c r="W8" i="1"/>
  <c r="W9" i="1"/>
  <c r="W10" i="1"/>
  <c r="W11" i="1"/>
  <c r="AF29" i="1"/>
  <c r="W12" i="1"/>
  <c r="AF30" i="1"/>
  <c r="W13" i="1"/>
  <c r="AF31" i="1"/>
  <c r="W14" i="1"/>
  <c r="AF32" i="1"/>
  <c r="W1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U4" i="1"/>
  <c r="U5" i="1"/>
  <c r="U6" i="1"/>
  <c r="U7" i="1"/>
  <c r="U8" i="1"/>
  <c r="U9" i="1"/>
  <c r="U10" i="1"/>
  <c r="U11" i="1"/>
  <c r="U12" i="1"/>
  <c r="U13" i="1"/>
  <c r="U14" i="1"/>
  <c r="U15" i="1"/>
  <c r="V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S3" i="1"/>
  <c r="R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L4" i="1"/>
  <c r="L5" i="1"/>
  <c r="L6" i="1"/>
  <c r="L7" i="1"/>
  <c r="L8" i="1"/>
  <c r="L9" i="1"/>
  <c r="L10" i="1"/>
  <c r="L11" i="1"/>
  <c r="L12" i="1"/>
  <c r="L13" i="1"/>
  <c r="L14" i="1"/>
  <c r="L15" i="1"/>
  <c r="K13" i="1"/>
  <c r="K14" i="1"/>
  <c r="K15" i="1"/>
  <c r="K4" i="1"/>
  <c r="K5" i="1"/>
  <c r="K6" i="1"/>
  <c r="K7" i="1"/>
  <c r="K8" i="1"/>
  <c r="K9" i="1"/>
  <c r="K10" i="1"/>
  <c r="K11" i="1"/>
  <c r="K12" i="1"/>
  <c r="M3" i="1"/>
  <c r="L3" i="1"/>
  <c r="K3" i="1"/>
  <c r="J4" i="1"/>
  <c r="J5" i="1"/>
  <c r="J6" i="1"/>
  <c r="J7" i="1"/>
  <c r="J8" i="1"/>
  <c r="J9" i="1"/>
  <c r="J10" i="1"/>
  <c r="J11" i="1"/>
  <c r="J12" i="1"/>
  <c r="M30" i="1"/>
  <c r="J13" i="1"/>
  <c r="M31" i="1"/>
  <c r="J14" i="1"/>
  <c r="J15" i="1"/>
  <c r="J3" i="1"/>
</calcChain>
</file>

<file path=xl/sharedStrings.xml><?xml version="1.0" encoding="utf-8"?>
<sst xmlns="http://schemas.openxmlformats.org/spreadsheetml/2006/main" count="137" uniqueCount="57">
  <si>
    <t>Company</t>
  </si>
  <si>
    <t>Basic EPS</t>
  </si>
  <si>
    <t>Book Value per Share</t>
  </si>
  <si>
    <t>EBITDA Margin(%)</t>
  </si>
  <si>
    <t>Net profit Margin(%)</t>
  </si>
  <si>
    <t>Total debt/Equity</t>
  </si>
  <si>
    <t>Current Ratio</t>
  </si>
  <si>
    <t>Quick Ratio</t>
  </si>
  <si>
    <t>Inventory Turnover Ratio</t>
  </si>
  <si>
    <t>Price/Book value</t>
  </si>
  <si>
    <t>Price/Earnings</t>
  </si>
  <si>
    <t>TCNS Clothing c</t>
  </si>
  <si>
    <t>Garware technic</t>
  </si>
  <si>
    <t>Jindal worldwid</t>
  </si>
  <si>
    <t>PDS multi</t>
  </si>
  <si>
    <t>Sutlej  textiles</t>
  </si>
  <si>
    <t xml:space="preserve">S P apparels </t>
  </si>
  <si>
    <t>SVP global</t>
  </si>
  <si>
    <t>Bannari A Spg</t>
  </si>
  <si>
    <t>Bombay Rayon</t>
  </si>
  <si>
    <t>Bang ovearseas</t>
  </si>
  <si>
    <t>Premco global</t>
  </si>
  <si>
    <t>Hindoostan mill</t>
  </si>
  <si>
    <t>Akshar Spintex</t>
  </si>
  <si>
    <t>Trident texofab </t>
  </si>
  <si>
    <t>SEL Mgf company</t>
  </si>
  <si>
    <t>Aunde faze thre</t>
  </si>
  <si>
    <t>STL Global</t>
  </si>
  <si>
    <t>Binny mills</t>
  </si>
  <si>
    <t>Mandhan  ind</t>
  </si>
  <si>
    <t>Total Common Equity</t>
  </si>
  <si>
    <t>Total shares outstanding</t>
  </si>
  <si>
    <t>Total Revenue</t>
  </si>
  <si>
    <t>EBITDA</t>
  </si>
  <si>
    <t>Net Income</t>
  </si>
  <si>
    <t>Total liabilities</t>
  </si>
  <si>
    <t>Total Equity</t>
  </si>
  <si>
    <t>Current Assets</t>
  </si>
  <si>
    <t>Current liabilities</t>
  </si>
  <si>
    <t>Inventories</t>
  </si>
  <si>
    <t>COGS</t>
  </si>
  <si>
    <t>Avg. Inventory</t>
  </si>
  <si>
    <t>Share price</t>
  </si>
  <si>
    <t>-</t>
  </si>
  <si>
    <t>Bata India</t>
  </si>
  <si>
    <t>Relaxo Footwear</t>
  </si>
  <si>
    <t>KhadimIindia</t>
  </si>
  <si>
    <t>Sreeleathers</t>
  </si>
  <si>
    <t>Bhartiya Inter</t>
  </si>
  <si>
    <t>Liberty Shoes</t>
  </si>
  <si>
    <t>Superhouse</t>
  </si>
  <si>
    <t>Lawreshwar poly</t>
  </si>
  <si>
    <t>Tinna rubber an</t>
  </si>
  <si>
    <t>Super Tannery</t>
  </si>
  <si>
    <t>phoenix intl</t>
  </si>
  <si>
    <t>mayur leather</t>
  </si>
  <si>
    <t>oscar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</si>
</sst>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7D18-4EA8-48F8-AE1C-852ADB8D289B}">
  <dimension ref="A1:AN42"/>
  <sheetViews>
    <sheetView tabSelected="1" workbookViewId="0" xr3:uid="{ACC1CE80-E287-53AA-936B-19EBC7814FAD}">
      <selection activeCell="AH1" sqref="AH1"/>
    </sheetView>
  </sheetViews>
  <sheetFormatPr defaultRowHeight="15"/>
  <cols>
    <col min="1" max="1" width="17.7109375" customWidth="1"/>
    <col min="5" max="5" width="11.28515625" bestFit="1" customWidth="1"/>
    <col min="7" max="7" width="12.140625" bestFit="1" customWidth="1"/>
  </cols>
  <sheetData>
    <row r="1" spans="1:31">
      <c r="A1" s="6" t="s">
        <v>0</v>
      </c>
      <c r="B1" s="25" t="s">
        <v>1</v>
      </c>
      <c r="C1" s="25"/>
      <c r="D1" s="26"/>
      <c r="E1" s="25" t="s">
        <v>2</v>
      </c>
      <c r="F1" s="25"/>
      <c r="G1" s="26"/>
      <c r="H1" s="25" t="s">
        <v>3</v>
      </c>
      <c r="I1" s="25"/>
      <c r="J1" s="26"/>
      <c r="K1" s="25" t="s">
        <v>4</v>
      </c>
      <c r="L1" s="25"/>
      <c r="M1" s="26"/>
      <c r="N1" s="25" t="s">
        <v>5</v>
      </c>
      <c r="O1" s="25"/>
      <c r="P1" s="26"/>
      <c r="Q1" s="21" t="s">
        <v>6</v>
      </c>
      <c r="R1" s="21"/>
      <c r="S1" s="22"/>
      <c r="T1" s="21" t="s">
        <v>7</v>
      </c>
      <c r="U1" s="21"/>
      <c r="V1" s="22"/>
      <c r="W1" s="21" t="s">
        <v>8</v>
      </c>
      <c r="X1" s="21"/>
      <c r="Y1" s="22"/>
      <c r="Z1" s="21" t="s">
        <v>9</v>
      </c>
      <c r="AA1" s="21"/>
      <c r="AB1" s="22"/>
      <c r="AC1" s="21" t="s">
        <v>10</v>
      </c>
      <c r="AD1" s="21"/>
      <c r="AE1" s="22"/>
    </row>
    <row r="2" spans="1:31">
      <c r="A2" s="5" t="s">
        <v>11</v>
      </c>
      <c r="B2" s="4">
        <v>16.12</v>
      </c>
      <c r="C2" s="4">
        <v>2.67</v>
      </c>
      <c r="D2" s="5">
        <v>-8.09</v>
      </c>
      <c r="E2" s="4">
        <f>B24/E24*10000000</f>
        <v>495.29791187014138</v>
      </c>
      <c r="F2" s="4">
        <f>C24/E24*10000000</f>
        <v>459.29342580892796</v>
      </c>
      <c r="G2" s="5">
        <f>D24/E24*10000000</f>
        <v>78.721120655105679</v>
      </c>
      <c r="H2" s="4">
        <f>K24/H24*100</f>
        <v>19.186720617117434</v>
      </c>
      <c r="I2" s="4">
        <f>L24/I24*100</f>
        <v>11.131345322103346</v>
      </c>
      <c r="J2" s="5">
        <f>M24/J24*100</f>
        <v>49.161965329777416</v>
      </c>
      <c r="K2" s="4">
        <f>N24/H24*100</f>
        <v>11.606445659118334</v>
      </c>
      <c r="L2" s="4">
        <f>O24/I24*100</f>
        <v>2.2478943774186204</v>
      </c>
      <c r="M2" s="5">
        <f>P24/H24*100</f>
        <v>-4.9099642696576042</v>
      </c>
      <c r="N2" s="4">
        <f>Q24/B24</f>
        <v>0.47661338069863829</v>
      </c>
      <c r="O2" s="4">
        <f>R24/C24</f>
        <v>0.51035754824063562</v>
      </c>
      <c r="P2" s="5">
        <f>S24/D24</f>
        <v>5.3903145695364243</v>
      </c>
      <c r="Q2" s="4">
        <f>W24/Z24</f>
        <v>3.3809308630817894</v>
      </c>
      <c r="R2" s="4">
        <f>X24/AA24</f>
        <v>2.3069372693726935</v>
      </c>
      <c r="S2" s="5">
        <f>Y24/AB24</f>
        <v>0.90563730485468552</v>
      </c>
      <c r="T2" s="4">
        <f>(W24-AC24)/Z24</f>
        <v>1.6400813375508361</v>
      </c>
      <c r="U2" s="4">
        <f>(X24-AD24)/AA24</f>
        <v>0.87498154981549792</v>
      </c>
      <c r="V2" s="5">
        <f>(Y24-AE24)/AB24</f>
        <v>0.34557534749113439</v>
      </c>
      <c r="W2" s="4">
        <f>AF24/AI24</f>
        <v>1.0332996498484244</v>
      </c>
      <c r="X2" s="4">
        <f>AG24/AJ24</f>
        <v>1.0894706646133405</v>
      </c>
      <c r="Y2" s="5">
        <f>AH24/AK24</f>
        <v>1.2707109088499096</v>
      </c>
      <c r="Z2" s="4">
        <f>AL24/E2</f>
        <v>1.4297455794355636</v>
      </c>
      <c r="AA2" s="4">
        <f>AL24/F2</f>
        <v>1.5418248122162315</v>
      </c>
      <c r="AB2" s="5">
        <f>AL24/G2</f>
        <v>8.9956798646523204</v>
      </c>
      <c r="AC2" s="4">
        <f>AL24/B2</f>
        <v>43.929900744416869</v>
      </c>
      <c r="AD2" s="4">
        <f>AL24/C2</f>
        <v>265.22471910112358</v>
      </c>
      <c r="AE2" s="5">
        <f>AL24/D2</f>
        <v>-87.533992583436344</v>
      </c>
    </row>
    <row r="3" spans="1:31">
      <c r="A3" s="5" t="s">
        <v>12</v>
      </c>
      <c r="B3" s="4">
        <v>48.04</v>
      </c>
      <c r="C3" s="4">
        <v>38.520000000000003</v>
      </c>
      <c r="D3" s="5">
        <v>28.28</v>
      </c>
      <c r="E3" s="4" t="e">
        <f t="shared" ref="E3:E20" si="0">B25/E25*10000000</f>
        <v>#VALUE!</v>
      </c>
      <c r="F3" s="4" t="e">
        <f t="shared" ref="F3:F20" si="1">C25/E25*10000000</f>
        <v>#VALUE!</v>
      </c>
      <c r="G3" s="5" t="e">
        <f t="shared" ref="G3:G20" si="2">D25/E25*10000000</f>
        <v>#VALUE!</v>
      </c>
      <c r="H3" s="4">
        <f>K25/H25*100</f>
        <v>19.761540677703163</v>
      </c>
      <c r="I3" s="4">
        <f>L25/I25*100</f>
        <v>16.838741396263522</v>
      </c>
      <c r="J3" s="5">
        <f>M25/J25*100</f>
        <v>13.100294807773299</v>
      </c>
      <c r="K3" s="4">
        <f>N25/H25*100</f>
        <v>16.954768078363582</v>
      </c>
      <c r="L3" s="4">
        <f>O25/I25*100</f>
        <v>14.415648265205789</v>
      </c>
      <c r="M3" s="5">
        <f>P25/H25*100</f>
        <v>9.6447487977306476</v>
      </c>
      <c r="N3" s="4">
        <f t="shared" ref="N3:N20" si="3">Q25/B25</f>
        <v>0.83453492054621004</v>
      </c>
      <c r="O3" s="4">
        <f t="shared" ref="O3:O20" si="4">R25/C25</f>
        <v>0.88537699923838542</v>
      </c>
      <c r="P3" s="5">
        <f t="shared" ref="P3:P20" si="5">S25/D25</f>
        <v>1.2177495812875851</v>
      </c>
      <c r="Q3" s="4">
        <f>W25/Z25</f>
        <v>1.1961460396644903</v>
      </c>
      <c r="R3" s="4">
        <f>X25/AA25</f>
        <v>1.3965319855918241</v>
      </c>
      <c r="S3" s="5">
        <f>Y25/AB25</f>
        <v>1.4297994269340977</v>
      </c>
      <c r="T3" s="4">
        <f>(W25-AC25)/Z25</f>
        <v>0.79465923263150162</v>
      </c>
      <c r="U3" s="4">
        <f>(X25-AD25)/AA25</f>
        <v>1.0029318962387959</v>
      </c>
      <c r="V3" s="5">
        <f>(Y25-AE25)/AB25</f>
        <v>1.1225479391668505</v>
      </c>
      <c r="W3" s="4">
        <f>AF25/AI25</f>
        <v>1.7753817919643444</v>
      </c>
      <c r="X3" s="4">
        <f>AG25/AJ25</f>
        <v>2.0516477741911268</v>
      </c>
      <c r="Y3" s="5">
        <f>AH25/AK25</f>
        <v>2.420300007614407</v>
      </c>
      <c r="Z3" s="4" t="e">
        <f>AL25/E3</f>
        <v>#VALUE!</v>
      </c>
      <c r="AA3" s="4" t="e">
        <f>AL25/F3</f>
        <v>#VALUE!</v>
      </c>
      <c r="AB3" s="5" t="e">
        <f>AL25/G3</f>
        <v>#VALUE!</v>
      </c>
      <c r="AC3" s="4">
        <f>AL25/B3</f>
        <v>22.603039134054953</v>
      </c>
      <c r="AD3" s="4">
        <f>AL25/C3</f>
        <v>28.189252336448593</v>
      </c>
      <c r="AE3" s="5">
        <f>AL25/D3</f>
        <v>38.396393210749643</v>
      </c>
    </row>
    <row r="4" spans="1:31">
      <c r="A4" s="5" t="s">
        <v>13</v>
      </c>
      <c r="B4" s="4">
        <v>14.55</v>
      </c>
      <c r="C4" s="4">
        <v>16.559999999999999</v>
      </c>
      <c r="D4" s="5">
        <v>20.079999999999998</v>
      </c>
      <c r="E4" s="4">
        <f t="shared" si="0"/>
        <v>24.410483920837976</v>
      </c>
      <c r="F4" s="4">
        <f t="shared" si="1"/>
        <v>13.581660519328707</v>
      </c>
      <c r="G4" s="5">
        <f t="shared" si="2"/>
        <v>10.626350236684148</v>
      </c>
      <c r="H4" s="4">
        <f>K26/H26*100</f>
        <v>11.384438319653514</v>
      </c>
      <c r="I4" s="4">
        <f>L26/I26*100</f>
        <v>13.950407923932943</v>
      </c>
      <c r="J4" s="5">
        <f>M26/J26*100</f>
        <v>14.257519538959503</v>
      </c>
      <c r="K4" s="4">
        <f>N26/H26*100</f>
        <v>5.1409879758912087</v>
      </c>
      <c r="L4" s="4">
        <f>O26/I26*100</f>
        <v>6.8136373990736301</v>
      </c>
      <c r="M4" s="5">
        <f>P26/H26*100</f>
        <v>3.2946663839840089</v>
      </c>
      <c r="N4" s="4">
        <f t="shared" si="3"/>
        <v>1.5584497834436546</v>
      </c>
      <c r="O4" s="4">
        <f t="shared" si="4"/>
        <v>1.9777851215392521</v>
      </c>
      <c r="P4" s="5">
        <f t="shared" si="5"/>
        <v>2.3798103998498221</v>
      </c>
      <c r="Q4" s="4">
        <f>W26/Z26</f>
        <v>1.3779141774734083</v>
      </c>
      <c r="R4" s="4">
        <f>X26/AA26</f>
        <v>1.5723612979428458</v>
      </c>
      <c r="S4" s="5">
        <f>Y26/AB26</f>
        <v>1.3859097227302655</v>
      </c>
      <c r="T4" s="4">
        <f>(W26-AC26)/Z26</f>
        <v>0.9326642867550633</v>
      </c>
      <c r="U4" s="4">
        <f>(X26-AD26)/AA26</f>
        <v>1.1964631385544144</v>
      </c>
      <c r="V4" s="5">
        <f>(Y26-AE26)/AB26</f>
        <v>0.97852805618552929</v>
      </c>
      <c r="W4" s="4">
        <f>AF26/AI26</f>
        <v>5.9046319249087826</v>
      </c>
      <c r="X4" s="4">
        <f>AG26/AJ26</f>
        <v>6.2555545720102685</v>
      </c>
      <c r="Y4" s="5">
        <f>AH26/AK26</f>
        <v>5.1784539473684212</v>
      </c>
      <c r="Z4" s="4">
        <f>AL26/E4</f>
        <v>2.9495523412601132</v>
      </c>
      <c r="AA4" s="4">
        <f>AL26/F4</f>
        <v>5.3012663582286841</v>
      </c>
      <c r="AB4" s="5">
        <f>AL26/G4</f>
        <v>6.7756095363243851</v>
      </c>
      <c r="AC4" s="4">
        <f>AL26/B4</f>
        <v>4.9484536082474229</v>
      </c>
      <c r="AD4" s="4">
        <f>AL26/C4</f>
        <v>4.3478260869565224</v>
      </c>
      <c r="AE4" s="5">
        <f>AL26/D4</f>
        <v>3.5856573705179287</v>
      </c>
    </row>
    <row r="5" spans="1:31">
      <c r="A5" s="5" t="s">
        <v>14</v>
      </c>
      <c r="B5" s="4">
        <v>3</v>
      </c>
      <c r="C5" s="4">
        <v>6</v>
      </c>
      <c r="D5" s="5">
        <v>11</v>
      </c>
      <c r="E5" s="4">
        <f t="shared" si="0"/>
        <v>208.79785112323526</v>
      </c>
      <c r="F5" s="4">
        <f t="shared" si="1"/>
        <v>207.28134563102827</v>
      </c>
      <c r="G5" s="5">
        <f t="shared" si="2"/>
        <v>220.76480712123336</v>
      </c>
      <c r="H5" s="4">
        <f>K27/H27*100</f>
        <v>1.256007210673737</v>
      </c>
      <c r="I5" s="4">
        <f>L27/I27*100</f>
        <v>1.5415315109082033</v>
      </c>
      <c r="J5" s="5">
        <f>M27/J27*100</f>
        <v>1.6901035742638146</v>
      </c>
      <c r="K5" s="4">
        <f>N27/H27*100</f>
        <v>0.48542708287020386</v>
      </c>
      <c r="L5" s="4">
        <f>O27/I27*100</f>
        <v>1.1320689521127489</v>
      </c>
      <c r="M5" s="5">
        <f>P27/H27*100</f>
        <v>0.88920864472476957</v>
      </c>
      <c r="N5" s="4">
        <f t="shared" si="3"/>
        <v>2.0524041555575989</v>
      </c>
      <c r="O5" s="4">
        <f t="shared" si="4"/>
        <v>1.6622893128357108</v>
      </c>
      <c r="P5" s="5">
        <f t="shared" si="5"/>
        <v>1.5122256617161143</v>
      </c>
      <c r="Q5" s="4">
        <f>W27/Z27</f>
        <v>1.2108826122820491</v>
      </c>
      <c r="R5" s="4">
        <f>X27/AA27</f>
        <v>1.3296727611505763</v>
      </c>
      <c r="S5" s="5">
        <f>Y27/AB27</f>
        <v>1.3255178641982277</v>
      </c>
      <c r="T5" s="4">
        <f>(W27-AC27)/Z27</f>
        <v>1.1495102919285871</v>
      </c>
      <c r="U5" s="4">
        <f>(X27-AD27)/AA27</f>
        <v>1.2893443577500872</v>
      </c>
      <c r="V5" s="5">
        <f>(Y27-AE27)/AB27</f>
        <v>1.268770107806062</v>
      </c>
      <c r="W5" s="4">
        <f>AF27/AI27</f>
        <v>3.9923510466988721</v>
      </c>
      <c r="X5" s="4">
        <f>AG27/AJ27</f>
        <v>2.8643109540636043</v>
      </c>
      <c r="Y5" s="5">
        <f>AH27/AK27</f>
        <v>0</v>
      </c>
      <c r="Z5" s="4">
        <f>AL27/E5</f>
        <v>1.2835381138181488</v>
      </c>
      <c r="AA5" s="4">
        <f>AL27/F5</f>
        <v>1.2929286964252642</v>
      </c>
      <c r="AB5" s="5">
        <f>AL27/G5</f>
        <v>1.2139616069006296</v>
      </c>
      <c r="AC5" s="4">
        <f>AL27/B5</f>
        <v>89.333333333333329</v>
      </c>
      <c r="AD5" s="4">
        <f>AL27/C5</f>
        <v>44.666666666666664</v>
      </c>
      <c r="AE5" s="5">
        <f>AL27/D5</f>
        <v>24.363636363636363</v>
      </c>
    </row>
    <row r="6" spans="1:31">
      <c r="A6" s="5" t="s">
        <v>15</v>
      </c>
      <c r="B6" s="4">
        <v>7</v>
      </c>
      <c r="C6" s="4"/>
      <c r="D6" s="5"/>
      <c r="E6" s="4">
        <f t="shared" si="0"/>
        <v>55.359069740073501</v>
      </c>
      <c r="F6" s="4">
        <f t="shared" si="1"/>
        <v>0</v>
      </c>
      <c r="G6" s="5">
        <f t="shared" si="2"/>
        <v>0</v>
      </c>
      <c r="H6" s="4">
        <f>K28/H28*100</f>
        <v>11.199646213729936</v>
      </c>
      <c r="I6" s="4" t="e">
        <f>L28/I28*100</f>
        <v>#VALUE!</v>
      </c>
      <c r="J6" s="5" t="e">
        <f>M28/J28*100</f>
        <v>#VALUE!</v>
      </c>
      <c r="K6" s="4">
        <f>N28/H28*100</f>
        <v>4.5956358391866106</v>
      </c>
      <c r="L6" s="4" t="e">
        <f>O28/I28*100</f>
        <v>#VALUE!</v>
      </c>
      <c r="M6" s="5" t="e">
        <f>P28/H28*100</f>
        <v>#VALUE!</v>
      </c>
      <c r="N6" s="4">
        <f t="shared" si="3"/>
        <v>1.4128498026330296</v>
      </c>
      <c r="O6" s="4" t="e">
        <f t="shared" si="4"/>
        <v>#VALUE!</v>
      </c>
      <c r="P6" s="5" t="e">
        <f t="shared" si="5"/>
        <v>#VALUE!</v>
      </c>
      <c r="Q6" s="4">
        <f>W28/Z28</f>
        <v>1.3829848733018595</v>
      </c>
      <c r="R6" s="4" t="e">
        <f>X28/AA28</f>
        <v>#VALUE!</v>
      </c>
      <c r="S6" s="5" t="e">
        <f>Y28/AB28</f>
        <v>#VALUE!</v>
      </c>
      <c r="T6" s="4">
        <f>(W28-AC28)/Z28</f>
        <v>0.92182015883721258</v>
      </c>
      <c r="U6" s="4" t="e">
        <f>(X28-AD28)/AA28</f>
        <v>#VALUE!</v>
      </c>
      <c r="V6" s="5" t="e">
        <f>(Y28-AE28)/AB28</f>
        <v>#VALUE!</v>
      </c>
      <c r="W6" s="4" t="e">
        <f>AF28/AI28</f>
        <v>#VALUE!</v>
      </c>
      <c r="X6" s="4" t="e">
        <f>AG28/AJ28</f>
        <v>#VALUE!</v>
      </c>
      <c r="Y6" s="5" t="e">
        <f>AH28/AK28</f>
        <v>#VALUE!</v>
      </c>
      <c r="Z6" s="4">
        <f>AL28/E6</f>
        <v>0.70539480130989918</v>
      </c>
      <c r="AA6" s="4" t="e">
        <f>AL28/F6</f>
        <v>#DIV/0!</v>
      </c>
      <c r="AB6" s="5" t="e">
        <f>AL28/G6</f>
        <v>#DIV/0!</v>
      </c>
      <c r="AC6" s="4">
        <f>AL28/B6</f>
        <v>5.5785714285714283</v>
      </c>
      <c r="AD6" s="4" t="e">
        <f>AL28/C6</f>
        <v>#DIV/0!</v>
      </c>
      <c r="AE6" s="5" t="e">
        <f>AL28/D6</f>
        <v>#DIV/0!</v>
      </c>
    </row>
    <row r="7" spans="1:31">
      <c r="A7" s="5" t="s">
        <v>16</v>
      </c>
      <c r="B7" s="4">
        <v>16.690000000000001</v>
      </c>
      <c r="C7" s="4">
        <v>19.649999999999999</v>
      </c>
      <c r="D7" s="5">
        <v>18.7</v>
      </c>
      <c r="E7" s="4">
        <f t="shared" si="0"/>
        <v>152.49527101188667</v>
      </c>
      <c r="F7" s="4">
        <f t="shared" si="1"/>
        <v>141.59329923791287</v>
      </c>
      <c r="G7" s="5">
        <f t="shared" si="2"/>
        <v>55.895471847925066</v>
      </c>
      <c r="H7" s="4">
        <f>K29/H29*100</f>
        <v>18.664949493382156</v>
      </c>
      <c r="I7" s="4">
        <f>L29/I29*100</f>
        <v>19.069600611325111</v>
      </c>
      <c r="J7" s="5">
        <f>M29/J29*100</f>
        <v>17.366264259607927</v>
      </c>
      <c r="K7" s="4">
        <f>N29/H29*100</f>
        <v>10.489239219824039</v>
      </c>
      <c r="L7" s="4">
        <f>O29/I29*100</f>
        <v>12.928278464825413</v>
      </c>
      <c r="M7" s="5">
        <f>P29/H29*100</f>
        <v>7.4666004623954567</v>
      </c>
      <c r="N7" s="4">
        <f t="shared" si="3"/>
        <v>1.0688106176620726</v>
      </c>
      <c r="O7" s="4">
        <f t="shared" si="4"/>
        <v>0.89730338931801312</v>
      </c>
      <c r="P7" s="5">
        <f t="shared" si="5"/>
        <v>3.0250678922080643</v>
      </c>
      <c r="Q7" s="4">
        <f>W29/Z29</f>
        <v>1.4397103953758603</v>
      </c>
      <c r="R7" s="4">
        <f>X29/AA29</f>
        <v>1.4194812318783794</v>
      </c>
      <c r="S7" s="5">
        <f>Y29/AB29</f>
        <v>0.77260989855517981</v>
      </c>
      <c r="T7" s="4">
        <f>(W29-AC29)/Z29</f>
        <v>0.88225128862139857</v>
      </c>
      <c r="U7" s="4">
        <f>(X29-AD29)/AA29</f>
        <v>1.0181412115038004</v>
      </c>
      <c r="V7" s="5">
        <f>(Y29-AE29)/AB29</f>
        <v>0.38063326160467265</v>
      </c>
      <c r="W7" s="4">
        <f>AF29/AI29</f>
        <v>1.6801960378270173</v>
      </c>
      <c r="X7" s="4">
        <f>AG29/AJ29</f>
        <v>1.6907019222405846</v>
      </c>
      <c r="Y7" s="5">
        <f>AH29/AK29</f>
        <v>1.7688442211055277</v>
      </c>
      <c r="Z7" s="4">
        <f>AL29/E7</f>
        <v>1.4682422511485453</v>
      </c>
      <c r="AA7" s="4">
        <f>AL29/F7</f>
        <v>1.5812895186783582</v>
      </c>
      <c r="AB7" s="5">
        <f>AL29/G7</f>
        <v>4.0056912053478184</v>
      </c>
      <c r="AC7" s="4">
        <f>AL29/B7</f>
        <v>13.415218693828638</v>
      </c>
      <c r="AD7" s="4">
        <f>AL29/C7</f>
        <v>11.394402035623411</v>
      </c>
      <c r="AE7" s="5">
        <f>AL29/D7</f>
        <v>11.973262032085563</v>
      </c>
    </row>
    <row r="8" spans="1:31">
      <c r="A8" s="5" t="s">
        <v>17</v>
      </c>
      <c r="B8" s="4">
        <v>53</v>
      </c>
      <c r="C8" s="4">
        <v>14</v>
      </c>
      <c r="D8" s="5">
        <v>7</v>
      </c>
      <c r="E8" s="4">
        <f t="shared" si="0"/>
        <v>462.72727272727263</v>
      </c>
      <c r="F8" s="4">
        <f t="shared" si="1"/>
        <v>409.81027667984176</v>
      </c>
      <c r="G8" s="5">
        <f t="shared" si="2"/>
        <v>367.69169960474312</v>
      </c>
      <c r="H8" s="4">
        <f>K30/H30*100</f>
        <v>10.768801264558546</v>
      </c>
      <c r="I8" s="4">
        <f>L30/I30*100</f>
        <v>7.0744066509203272</v>
      </c>
      <c r="J8" s="5">
        <f>M30/J30*100</f>
        <v>3.7010934921833485</v>
      </c>
      <c r="K8" s="4">
        <f>N30/H30*100</f>
        <v>2.6970171202982098</v>
      </c>
      <c r="L8" s="4">
        <f>O30/I30*100</f>
        <v>0.992123362502211</v>
      </c>
      <c r="M8" s="5">
        <f>P30/H30*100</f>
        <v>0.45415582066546617</v>
      </c>
      <c r="N8" s="4">
        <f t="shared" si="3"/>
        <v>2.9319723242504487</v>
      </c>
      <c r="O8" s="4">
        <f t="shared" si="4"/>
        <v>3.1488204317046362</v>
      </c>
      <c r="P8" s="5">
        <f t="shared" si="5"/>
        <v>1.7964225055360865</v>
      </c>
      <c r="Q8" s="4">
        <f>W30/Z30</f>
        <v>1.5034076387902882</v>
      </c>
      <c r="R8" s="4">
        <f>X30/AA30</f>
        <v>1.5125924214417745</v>
      </c>
      <c r="S8" s="5">
        <f>Y30/AB30</f>
        <v>1.7753680188785259</v>
      </c>
      <c r="T8" s="4">
        <f>(W30-AC30)/Z30</f>
        <v>1.2459605281840125</v>
      </c>
      <c r="U8" s="4">
        <f>(X30-AD30)/AA30</f>
        <v>1.3788453921309745</v>
      </c>
      <c r="V8" s="5">
        <f>(Y30-AE30)/AB30</f>
        <v>1.695336554669064</v>
      </c>
      <c r="W8" s="4">
        <f>AF30/AI30</f>
        <v>8.2263575350823679</v>
      </c>
      <c r="X8" s="4">
        <f>AG30/AJ30</f>
        <v>6.7072438919845689</v>
      </c>
      <c r="Y8" s="5">
        <f>AH30/AK30</f>
        <v>0</v>
      </c>
      <c r="Z8" s="4">
        <f>AL30/E8</f>
        <v>0.55118860510805512</v>
      </c>
      <c r="AA8" s="4">
        <f>AL30/F8</f>
        <v>0.62236116201462188</v>
      </c>
      <c r="AB8" s="5">
        <f>AL30/G8</f>
        <v>0.69365177477264417</v>
      </c>
      <c r="AC8" s="4">
        <f>AL30/B8</f>
        <v>4.8122641509433963</v>
      </c>
      <c r="AD8" s="4">
        <f>AL30/C8</f>
        <v>18.217857142857145</v>
      </c>
      <c r="AE8" s="5">
        <f>AL30/D8</f>
        <v>36.43571428571429</v>
      </c>
    </row>
    <row r="9" spans="1:31">
      <c r="A9" s="5" t="s">
        <v>18</v>
      </c>
      <c r="B9" s="4">
        <v>6</v>
      </c>
      <c r="C9" s="4">
        <v>7</v>
      </c>
      <c r="D9" s="5">
        <v>12</v>
      </c>
      <c r="E9" s="4">
        <f t="shared" si="0"/>
        <v>205.44907542203319</v>
      </c>
      <c r="F9" s="4">
        <f t="shared" si="1"/>
        <v>180.63675312386761</v>
      </c>
      <c r="G9" s="5">
        <f t="shared" si="2"/>
        <v>165.47260936067556</v>
      </c>
      <c r="H9" s="4">
        <f>K31/H31*100</f>
        <v>10.104258110334079</v>
      </c>
      <c r="I9" s="4">
        <f>L31/I31*100</f>
        <v>10.082682590721175</v>
      </c>
      <c r="J9" s="5">
        <f>M31/J31*100</f>
        <v>11.735896970796301</v>
      </c>
      <c r="K9" s="4">
        <f>N31/H31*100</f>
        <v>1.0968308296262685</v>
      </c>
      <c r="L9" s="4">
        <f>O31/I31*100</f>
        <v>1.6582452916858064</v>
      </c>
      <c r="M9" s="5">
        <f>P31/H31*100</f>
        <v>2.8781945691092194</v>
      </c>
      <c r="N9" s="4">
        <f t="shared" si="3"/>
        <v>2.736120122346835</v>
      </c>
      <c r="O9" s="4">
        <f t="shared" si="4"/>
        <v>2.3079274720640939</v>
      </c>
      <c r="P9" s="5">
        <f t="shared" si="5"/>
        <v>2.6306340864628481</v>
      </c>
      <c r="Q9" s="4">
        <f>W31/Z31</f>
        <v>0.92424242424242409</v>
      </c>
      <c r="R9" s="4">
        <f>X31/AA31</f>
        <v>0.76944820542055625</v>
      </c>
      <c r="S9" s="5">
        <f>Y31/AB31</f>
        <v>0.81388443774154018</v>
      </c>
      <c r="T9" s="4">
        <f>(W31-AC31)/Z31</f>
        <v>0.70641525334456956</v>
      </c>
      <c r="U9" s="4">
        <f>(X31-AD31)/AA31</f>
        <v>0.56661678424665674</v>
      </c>
      <c r="V9" s="5">
        <f>(Y31-AE31)/AB31</f>
        <v>0.58490432651522284</v>
      </c>
      <c r="W9" s="4">
        <f>AF31/AI31</f>
        <v>6.7002769025112201</v>
      </c>
      <c r="X9" s="4">
        <f>AG31/AJ31</f>
        <v>6.4053461875547759</v>
      </c>
      <c r="Y9" s="5">
        <f>AH31/AK31</f>
        <v>5.6987910970511813</v>
      </c>
      <c r="Z9" s="4">
        <f>AL31/E9</f>
        <v>0.93648511001946444</v>
      </c>
      <c r="AA9" s="4">
        <f>AL31/F9</f>
        <v>1.0651210048492514</v>
      </c>
      <c r="AB9" s="5">
        <f>AL31/G9</f>
        <v>1.162730198933599</v>
      </c>
      <c r="AC9" s="4">
        <f>AL31/B9</f>
        <v>32.06666666666667</v>
      </c>
      <c r="AD9" s="4">
        <f>AL31/C9</f>
        <v>27.485714285714288</v>
      </c>
      <c r="AE9" s="5">
        <f>AL31/D9</f>
        <v>16.033333333333335</v>
      </c>
    </row>
    <row r="10" spans="1:31">
      <c r="A10" s="5" t="s">
        <v>19</v>
      </c>
      <c r="B10" s="4">
        <v>-10</v>
      </c>
      <c r="C10" s="4">
        <v>-9</v>
      </c>
      <c r="D10" s="5">
        <v>2</v>
      </c>
      <c r="E10" s="4">
        <f t="shared" si="0"/>
        <v>137.04416823899572</v>
      </c>
      <c r="F10" s="4">
        <f t="shared" si="1"/>
        <v>82.607694537269936</v>
      </c>
      <c r="G10" s="5">
        <f t="shared" si="2"/>
        <v>63.926625569007918</v>
      </c>
      <c r="H10" s="4">
        <f>K32/H32*100</f>
        <v>7.0547940816496544</v>
      </c>
      <c r="I10" s="4">
        <f>L32/I32*100</f>
        <v>15.877347724969299</v>
      </c>
      <c r="J10" s="5">
        <f>M32/J32*100</f>
        <v>19.64233960811773</v>
      </c>
      <c r="K10" s="4">
        <f>N32/H32*100</f>
        <v>-11.621074351038402</v>
      </c>
      <c r="L10" s="4">
        <f>O32/I32*100</f>
        <v>-5.5441667155975471</v>
      </c>
      <c r="M10" s="5">
        <f>P32/H32*100</f>
        <v>2.2107306945539129</v>
      </c>
      <c r="N10" s="4">
        <f t="shared" si="3"/>
        <v>1.1464846937251054</v>
      </c>
      <c r="O10" s="4">
        <f t="shared" si="4"/>
        <v>2.5279112331274312</v>
      </c>
      <c r="P10" s="5">
        <f t="shared" si="5"/>
        <v>3.3863080925539037</v>
      </c>
      <c r="Q10" s="4">
        <f>W32/Z32</f>
        <v>1.5816222687818018</v>
      </c>
      <c r="R10" s="4">
        <f>X32/AA32</f>
        <v>1.1673756184288688</v>
      </c>
      <c r="S10" s="5">
        <f>Y32/AB32</f>
        <v>1.2414670104143619</v>
      </c>
      <c r="T10" s="4">
        <f>(W32-AC32)/Z32</f>
        <v>0.56620228021006225</v>
      </c>
      <c r="U10" s="4">
        <f>(X32-AD32)/AA32</f>
        <v>0.40901047226987808</v>
      </c>
      <c r="V10" s="5">
        <f>(Y32-AE32)/AB32</f>
        <v>0.46427319488952923</v>
      </c>
      <c r="W10" s="4">
        <f>AF32/AI32</f>
        <v>0.5885989420859894</v>
      </c>
      <c r="X10" s="4">
        <f>AG32/AJ32</f>
        <v>0.81284333008231802</v>
      </c>
      <c r="Y10" s="5">
        <f>AH32/AK32</f>
        <v>0.96930325480729207</v>
      </c>
      <c r="Z10" s="4">
        <f>AL32/E10</f>
        <v>6.0199570007331941E-2</v>
      </c>
      <c r="AA10" s="4">
        <f>AL32/F10</f>
        <v>9.9869631348661655E-2</v>
      </c>
      <c r="AB10" s="5">
        <f>AL32/G10</f>
        <v>0.12905420748502106</v>
      </c>
      <c r="AC10" s="4">
        <f>AL32/B10</f>
        <v>-0.82499999999999996</v>
      </c>
      <c r="AD10" s="4">
        <f>AL32/C10</f>
        <v>-0.91666666666666663</v>
      </c>
      <c r="AE10" s="5">
        <f>AL32/D10</f>
        <v>4.125</v>
      </c>
    </row>
    <row r="11" spans="1:31">
      <c r="A11" s="5" t="s">
        <v>20</v>
      </c>
      <c r="B11" s="4">
        <v>2</v>
      </c>
      <c r="C11" s="4">
        <v>3</v>
      </c>
      <c r="D11" s="5">
        <v>1</v>
      </c>
      <c r="E11" s="4">
        <f t="shared" si="0"/>
        <v>61.364306784660755</v>
      </c>
      <c r="F11" s="4">
        <f t="shared" si="1"/>
        <v>58.61356932153393</v>
      </c>
      <c r="G11" s="5">
        <f t="shared" si="2"/>
        <v>50.154867256637168</v>
      </c>
      <c r="H11" s="4">
        <f>K33/H33*100</f>
        <v>3.6487967844652087</v>
      </c>
      <c r="I11" s="4">
        <f>L33/I33*100</f>
        <v>5.4398925453324374</v>
      </c>
      <c r="J11" s="5">
        <f>M33/J33*100</f>
        <v>5.0024431956999749</v>
      </c>
      <c r="K11" s="4">
        <f>N33/H33*100</f>
        <v>1.9157488124445374</v>
      </c>
      <c r="L11" s="4">
        <f>O33/I33*100</f>
        <v>3.2740094022834114</v>
      </c>
      <c r="M11" s="5">
        <f>P33/H33*100</f>
        <v>0.53766247324737704</v>
      </c>
      <c r="N11" s="4">
        <f t="shared" si="3"/>
        <v>0.99363057324840776</v>
      </c>
      <c r="O11" s="4">
        <f t="shared" si="4"/>
        <v>0.89821338701560138</v>
      </c>
      <c r="P11" s="5">
        <f t="shared" si="5"/>
        <v>1.0408763417144535</v>
      </c>
      <c r="Q11" s="4">
        <f>W33/Z33</f>
        <v>1.6431114040870138</v>
      </c>
      <c r="R11" s="4">
        <f>X33/AA33</f>
        <v>1.6200629650829994</v>
      </c>
      <c r="S11" s="5">
        <f>Y33/AB33</f>
        <v>1.4434362651836674</v>
      </c>
      <c r="T11" s="4">
        <f>(W33-AC33)/Z33</f>
        <v>1.2726433750823996</v>
      </c>
      <c r="U11" s="4">
        <f>(X33-AD33)/AA33</f>
        <v>1.142959358900973</v>
      </c>
      <c r="V11" s="5">
        <f>(Y33-AE33)/AB33</f>
        <v>1.001902531830821</v>
      </c>
      <c r="W11" s="4">
        <f>AF33/AI33</f>
        <v>0.89471979267897639</v>
      </c>
      <c r="X11" s="4">
        <f>AG33/AJ33</f>
        <v>0.9157612974334749</v>
      </c>
      <c r="Y11" s="5">
        <f>AH33/AK33</f>
        <v>0.60031847133757965</v>
      </c>
      <c r="Z11" s="4">
        <f>AL33/E11</f>
        <v>0.9337675760124986</v>
      </c>
      <c r="AA11" s="4">
        <f>AL33/F11</f>
        <v>0.97758933064921971</v>
      </c>
      <c r="AB11" s="5">
        <f>AL33/G11</f>
        <v>1.1424614027348918</v>
      </c>
      <c r="AC11" s="4">
        <f>AL33/B11</f>
        <v>28.65</v>
      </c>
      <c r="AD11" s="4">
        <f>AL33/C11</f>
        <v>19.099999999999998</v>
      </c>
      <c r="AE11" s="5">
        <f>AL33/D11</f>
        <v>57.3</v>
      </c>
    </row>
    <row r="12" spans="1:31">
      <c r="A12" s="5" t="s">
        <v>21</v>
      </c>
      <c r="B12" s="4">
        <v>16</v>
      </c>
      <c r="C12" s="4">
        <v>31</v>
      </c>
      <c r="D12" s="5">
        <v>38</v>
      </c>
      <c r="E12" s="4">
        <f t="shared" si="0"/>
        <v>198.98329702251269</v>
      </c>
      <c r="F12" s="4">
        <f t="shared" si="1"/>
        <v>186.21399176954728</v>
      </c>
      <c r="G12" s="5">
        <f t="shared" si="2"/>
        <v>155.65238441055433</v>
      </c>
      <c r="H12" s="4">
        <f>K34/H34*100</f>
        <v>13.42017942730736</v>
      </c>
      <c r="I12" s="4">
        <f>L34/I34*100</f>
        <v>26.164365888272478</v>
      </c>
      <c r="J12" s="5">
        <f>M34/J34*100</f>
        <v>29.822718319107022</v>
      </c>
      <c r="K12" s="4">
        <f>N34/H34*100</f>
        <v>8.8238908688705902</v>
      </c>
      <c r="L12" s="4">
        <f>O34/I34*100</f>
        <v>20.423171203715647</v>
      </c>
      <c r="M12" s="5">
        <f>P34/H34*100</f>
        <v>23.927737495391419</v>
      </c>
      <c r="N12" s="4">
        <f t="shared" si="3"/>
        <v>0.23159975669099761</v>
      </c>
      <c r="O12" s="4">
        <f t="shared" si="4"/>
        <v>0.37877803054923637</v>
      </c>
      <c r="P12" s="5">
        <f t="shared" si="5"/>
        <v>0.22978227060653189</v>
      </c>
      <c r="Q12" s="4">
        <f>W34/Z34</f>
        <v>4.0118203309692664</v>
      </c>
      <c r="R12" s="4">
        <f>X34/AA34</f>
        <v>3.0608856088560885</v>
      </c>
      <c r="S12" s="5">
        <f>Y34/AB34</f>
        <v>5.2481203007518795</v>
      </c>
      <c r="T12" s="4">
        <f>(W34-AC34)/Z34</f>
        <v>0.1276595744680849</v>
      </c>
      <c r="U12" s="4">
        <f>(X34-AD34)/AA34</f>
        <v>-1.0738007380073802</v>
      </c>
      <c r="V12" s="5">
        <f>(Y34-AE34)/AB34</f>
        <v>-0.60902255639097713</v>
      </c>
      <c r="W12" s="4">
        <f>AF34/AI34</f>
        <v>1.5798146240988671</v>
      </c>
      <c r="X12" s="4">
        <f>AG34/AJ34</f>
        <v>1.6678073177151882</v>
      </c>
      <c r="Y12" s="5" t="e">
        <f>AH34/AK34</f>
        <v>#DIV/0!</v>
      </c>
      <c r="Z12" s="4">
        <f>AL34/E12</f>
        <v>1.0252116788321168</v>
      </c>
      <c r="AA12" s="4">
        <f>AL34/F12</f>
        <v>1.0955138121546963</v>
      </c>
      <c r="AB12" s="5">
        <f>AL34/G12</f>
        <v>1.3106127527216176</v>
      </c>
      <c r="AC12" s="4">
        <f>AL34/B12</f>
        <v>12.75</v>
      </c>
      <c r="AD12" s="4">
        <f>AL34/C12</f>
        <v>6.580645161290323</v>
      </c>
      <c r="AE12" s="5">
        <f>AL34/D12</f>
        <v>5.3684210526315788</v>
      </c>
    </row>
    <row r="13" spans="1:31">
      <c r="A13" s="5" t="s">
        <v>22</v>
      </c>
      <c r="B13" s="4">
        <v>25</v>
      </c>
      <c r="C13" s="4">
        <v>19</v>
      </c>
      <c r="D13" s="5">
        <v>-11</v>
      </c>
      <c r="E13" s="4">
        <f t="shared" si="0"/>
        <v>546.9352641077337</v>
      </c>
      <c r="F13" s="4">
        <f t="shared" si="1"/>
        <v>642.99737826725334</v>
      </c>
      <c r="G13" s="5">
        <f t="shared" si="2"/>
        <v>720.0753597973744</v>
      </c>
      <c r="H13" s="4">
        <f>K35/H35*100</f>
        <v>7.7930848190167463</v>
      </c>
      <c r="I13" s="4">
        <f>L35/I35*100</f>
        <v>8.3028863719400796</v>
      </c>
      <c r="J13" s="5">
        <f>M35/J35*100</f>
        <v>1.0318216463414636</v>
      </c>
      <c r="K13" s="4">
        <f>N35/H35*100</f>
        <v>3.3090221501890871</v>
      </c>
      <c r="L13" s="4">
        <f>O35/I35*100</f>
        <v>3.7541103397880895</v>
      </c>
      <c r="M13" s="5">
        <f>P35/H35*100</f>
        <v>-2.0326850351161529</v>
      </c>
      <c r="N13" s="4">
        <f t="shared" si="3"/>
        <v>0.23934534270650265</v>
      </c>
      <c r="O13" s="4">
        <f t="shared" si="4"/>
        <v>0.14921050172848732</v>
      </c>
      <c r="P13" s="5">
        <f t="shared" si="5"/>
        <v>0.14383447355247791</v>
      </c>
      <c r="Q13" s="4">
        <f>W35/Z35</f>
        <v>3.1113391482811701</v>
      </c>
      <c r="R13" s="4">
        <f>X35/AA35</f>
        <v>3.5322466335931968</v>
      </c>
      <c r="S13" s="5">
        <f>Y35/AB35</f>
        <v>3.3125401929260447</v>
      </c>
      <c r="T13" s="4">
        <f>(W35-AC35)/Z35</f>
        <v>1.6275012827090816</v>
      </c>
      <c r="U13" s="4">
        <f>(X35-AD35)/AA35</f>
        <v>2.071580439404678</v>
      </c>
      <c r="V13" s="5">
        <f>(Y35-AE35)/AB35</f>
        <v>1.9723472668810287</v>
      </c>
      <c r="W13" s="4">
        <f>AF35/AI35</f>
        <v>3.9612356147789214</v>
      </c>
      <c r="X13" s="4">
        <f>AG35/AJ35</f>
        <v>3.0205066344993967</v>
      </c>
      <c r="Y13" s="5">
        <f>AH35/AK35</f>
        <v>6.775431861804222</v>
      </c>
      <c r="Z13" s="4">
        <f>AL35/E13</f>
        <v>0.60244789762741657</v>
      </c>
      <c r="AA13" s="4">
        <f>AL35/F13</f>
        <v>0.51244376903671862</v>
      </c>
      <c r="AB13" s="5">
        <f>AL35/G13</f>
        <v>0.45759099449357588</v>
      </c>
      <c r="AC13" s="4">
        <f>AL35/B13</f>
        <v>13.18</v>
      </c>
      <c r="AD13" s="4">
        <f>AL35/C13</f>
        <v>17.342105263157894</v>
      </c>
      <c r="AE13" s="5">
        <f>AL35/D13</f>
        <v>-29.954545454545453</v>
      </c>
    </row>
    <row r="14" spans="1:31">
      <c r="A14" s="5" t="s">
        <v>23</v>
      </c>
      <c r="B14" s="4">
        <v>3.56</v>
      </c>
      <c r="C14" s="4">
        <v>1.07</v>
      </c>
      <c r="D14" s="5">
        <v>1.18</v>
      </c>
      <c r="E14" s="4">
        <f t="shared" si="0"/>
        <v>14.379166666666665</v>
      </c>
      <c r="F14" s="4">
        <f t="shared" si="1"/>
        <v>10.943333333333332</v>
      </c>
      <c r="G14" s="5">
        <f t="shared" si="2"/>
        <v>10.899999999999999</v>
      </c>
      <c r="H14" s="4">
        <f>K36/H36*100</f>
        <v>14.216819049532802</v>
      </c>
      <c r="I14" s="4">
        <f>L36/I36*100</f>
        <v>10.447069724345608</v>
      </c>
      <c r="J14" s="5">
        <f>M36/J36*100</f>
        <v>15.775401069518718</v>
      </c>
      <c r="K14" s="4">
        <f>N36/H36*100</f>
        <v>8.0779664422787079</v>
      </c>
      <c r="L14" s="4">
        <f>O36/I36*100</f>
        <v>3.1271716469770672</v>
      </c>
      <c r="M14" s="5">
        <f>P36/H36*100</f>
        <v>3.4863860142670551</v>
      </c>
      <c r="N14" s="4">
        <f t="shared" si="3"/>
        <v>1.2810779484207477</v>
      </c>
      <c r="O14" s="4">
        <f t="shared" si="4"/>
        <v>1.8533353639963452</v>
      </c>
      <c r="P14" s="5">
        <f t="shared" si="5"/>
        <v>1.8623853211009178</v>
      </c>
      <c r="Q14" s="4">
        <f>W36/Z36</f>
        <v>1.4056022408963584</v>
      </c>
      <c r="R14" s="4">
        <f>X36/AA36</f>
        <v>1.0839371980676329</v>
      </c>
      <c r="S14" s="5">
        <f>Y36/AB36</f>
        <v>1.5128676470588236</v>
      </c>
      <c r="T14" s="4">
        <f>(W36-AC36)/Z36</f>
        <v>0.73277310924369743</v>
      </c>
      <c r="U14" s="4">
        <f>(X36-AD36)/AA36</f>
        <v>0.48429951690821255</v>
      </c>
      <c r="V14" s="5">
        <f>(Y36-AE36)/AB36</f>
        <v>0.75919117647058831</v>
      </c>
      <c r="W14" s="4">
        <f>AF36/AI36</f>
        <v>6.2944393801276215</v>
      </c>
      <c r="X14" s="4">
        <f>AG36/AJ36</f>
        <v>732.92884721456153</v>
      </c>
      <c r="Y14" s="5">
        <f>AH36/AK36</f>
        <v>6.5423171733771577</v>
      </c>
      <c r="Z14" s="4">
        <f>AL36/E14</f>
        <v>1.0988119385685311</v>
      </c>
      <c r="AA14" s="4">
        <f>AL36/F14</f>
        <v>1.4438014011574782</v>
      </c>
      <c r="AB14" s="5">
        <f>AL36/G14</f>
        <v>1.4495412844036699</v>
      </c>
      <c r="AC14" s="4">
        <f>AL36/B14</f>
        <v>4.4382022471910112</v>
      </c>
      <c r="AD14" s="4">
        <f>AL36/C14</f>
        <v>14.766355140186915</v>
      </c>
      <c r="AE14" s="5">
        <f>AL36/D14</f>
        <v>13.389830508474578</v>
      </c>
    </row>
    <row r="15" spans="1:31">
      <c r="A15" s="5" t="s">
        <v>24</v>
      </c>
      <c r="B15" s="4">
        <v>1.88</v>
      </c>
      <c r="C15" s="4">
        <v>9.92</v>
      </c>
      <c r="D15" s="5">
        <v>0.18</v>
      </c>
      <c r="E15" s="4">
        <f t="shared" si="0"/>
        <v>20.696343103825807</v>
      </c>
      <c r="F15" s="4">
        <f t="shared" si="1"/>
        <v>9.4847811805924849</v>
      </c>
      <c r="G15" s="5">
        <f t="shared" si="2"/>
        <v>32.533550223668165</v>
      </c>
      <c r="H15" s="4">
        <f>K37/H37*100</f>
        <v>2.2573888759599718</v>
      </c>
      <c r="I15" s="4">
        <f>L37/I37*100</f>
        <v>1.8243864024150152</v>
      </c>
      <c r="J15" s="5">
        <f>M37/J37*100</f>
        <v>1.5750416477358777</v>
      </c>
      <c r="K15" s="4">
        <f>N37/H37*100</f>
        <v>121.01466139166861</v>
      </c>
      <c r="L15" s="4">
        <f>O37/I37*100</f>
        <v>0.76125475784223651</v>
      </c>
      <c r="M15" s="5">
        <f>P37/H37*100</f>
        <v>0.34908075401442867</v>
      </c>
      <c r="N15" s="4">
        <f t="shared" si="3"/>
        <v>4.4340991535671117</v>
      </c>
      <c r="O15" s="4">
        <f t="shared" si="4"/>
        <v>5.4591029023746716</v>
      </c>
      <c r="P15" s="5">
        <f t="shared" si="5"/>
        <v>1.9223076923076916</v>
      </c>
      <c r="Q15" s="4">
        <f>W37/Z37</f>
        <v>1.2386083743842364</v>
      </c>
      <c r="R15" s="4">
        <f>X37/AA37</f>
        <v>1.4338282763072951</v>
      </c>
      <c r="S15" s="5">
        <f>Y37/AB37</f>
        <v>1.0647058823529412</v>
      </c>
      <c r="T15" s="4">
        <f>(W37-AC37)/Z37</f>
        <v>1.0825123152709359</v>
      </c>
      <c r="U15" s="4">
        <f>(X37-AD37)/AA37</f>
        <v>1.2846998063266626</v>
      </c>
      <c r="V15" s="5">
        <f>(Y37-AE37)/AB37</f>
        <v>0.7888235294117647</v>
      </c>
      <c r="W15" s="4" t="e">
        <f>AF37/AI37</f>
        <v>#VALUE!</v>
      </c>
      <c r="X15" s="4" t="e">
        <f>AG37/AJ37</f>
        <v>#VALUE!</v>
      </c>
      <c r="Y15" s="5" t="e">
        <f>AH37/AK37</f>
        <v>#VALUE!</v>
      </c>
      <c r="Z15" s="4">
        <f>AL37/E15</f>
        <v>4.7351360338573185</v>
      </c>
      <c r="AA15" s="4">
        <f>AL37/F15</f>
        <v>10.332341688654354</v>
      </c>
      <c r="AB15" s="5">
        <f>AL37/G15</f>
        <v>3.0122749999999994</v>
      </c>
      <c r="AC15" s="4">
        <f>AL37/B15</f>
        <v>52.12765957446809</v>
      </c>
      <c r="AD15" s="4">
        <f>AL37/C15</f>
        <v>9.879032258064516</v>
      </c>
      <c r="AE15" s="5">
        <f>AL37/D15</f>
        <v>544.44444444444446</v>
      </c>
    </row>
    <row r="16" spans="1:31">
      <c r="A16" s="5" t="s">
        <v>25</v>
      </c>
      <c r="B16" s="4">
        <v>-76</v>
      </c>
      <c r="C16" s="4">
        <v>-17</v>
      </c>
      <c r="D16" s="5">
        <v>-11</v>
      </c>
      <c r="E16" s="4" t="e">
        <f t="shared" si="0"/>
        <v>#VALUE!</v>
      </c>
      <c r="F16" s="4" t="e">
        <f t="shared" si="1"/>
        <v>#VALUE!</v>
      </c>
      <c r="G16" s="5" t="e">
        <f t="shared" si="2"/>
        <v>#VALUE!</v>
      </c>
      <c r="H16" s="4">
        <f>K38/H38*100</f>
        <v>-18.440050100580709</v>
      </c>
      <c r="I16" s="4">
        <f>L38/I38*100</f>
        <v>-25.668848449315924</v>
      </c>
      <c r="J16" s="5">
        <f>M38/J38*100</f>
        <v>15.598423960698572</v>
      </c>
      <c r="K16" s="4">
        <f>N38/H38*100</f>
        <v>-191.87763312711124</v>
      </c>
      <c r="L16" s="4">
        <f>O38/I38*100</f>
        <v>-26.237730335328852</v>
      </c>
      <c r="M16" s="5">
        <f>P38/H38*100</f>
        <v>-28.085930086916921</v>
      </c>
      <c r="N16" s="4">
        <f t="shared" si="3"/>
        <v>-2.6116326345638403</v>
      </c>
      <c r="O16" s="4">
        <f t="shared" si="4"/>
        <v>32.888894767472586</v>
      </c>
      <c r="P16" s="5">
        <f t="shared" si="5"/>
        <v>0.98699859574859383</v>
      </c>
      <c r="Q16" s="4">
        <f>W38/Z38</f>
        <v>0.22720997901581549</v>
      </c>
      <c r="R16" s="4">
        <f>X38/AA38</f>
        <v>0.83385817479394542</v>
      </c>
      <c r="S16" s="5">
        <f>Y38/AB38</f>
        <v>1.2224005214366431</v>
      </c>
      <c r="T16" s="4">
        <f>(W38-AC38)/Z38</f>
        <v>0.19394172875825577</v>
      </c>
      <c r="U16" s="4">
        <f>(X38-AD38)/AA38</f>
        <v>0.5135992944143204</v>
      </c>
      <c r="V16" s="5">
        <f>(Y38-AE38)/AB38</f>
        <v>0.61633315267253996</v>
      </c>
      <c r="W16" s="4">
        <f>AF38/AI38</f>
        <v>1.3506806493018868</v>
      </c>
      <c r="X16" s="4">
        <f>AG38/AJ38</f>
        <v>1.1629633681600204</v>
      </c>
      <c r="Y16" s="5">
        <f>AH38/AK38</f>
        <v>0.99579430077083386</v>
      </c>
      <c r="Z16" s="4" t="e">
        <f>AL38/E16</f>
        <v>#VALUE!</v>
      </c>
      <c r="AA16" s="4" t="e">
        <f>AL38/F16</f>
        <v>#VALUE!</v>
      </c>
      <c r="AB16" s="5" t="e">
        <f>AL38/G16</f>
        <v>#VALUE!</v>
      </c>
      <c r="AC16" s="4">
        <f>AL38/B16</f>
        <v>-1.5657894736842103E-2</v>
      </c>
      <c r="AD16" s="4">
        <f>AL38/C16</f>
        <v>-6.9999999999999993E-2</v>
      </c>
      <c r="AE16" s="5">
        <f>AL38/D16</f>
        <v>-0.10818181818181817</v>
      </c>
    </row>
    <row r="17" spans="1:40">
      <c r="A17" s="5" t="s">
        <v>26</v>
      </c>
      <c r="B17" s="4">
        <v>-17.03</v>
      </c>
      <c r="C17" s="4">
        <v>2.4</v>
      </c>
      <c r="D17" s="5">
        <v>1.59</v>
      </c>
      <c r="E17" s="4">
        <f t="shared" si="0"/>
        <v>16.012000887421088</v>
      </c>
      <c r="F17" s="4">
        <f t="shared" si="1"/>
        <v>33.031163158558819</v>
      </c>
      <c r="G17" s="5">
        <f t="shared" si="2"/>
        <v>30.830329023770599</v>
      </c>
      <c r="H17" s="4">
        <f>K39/H39*100</f>
        <v>-7.569721115537849</v>
      </c>
      <c r="I17" s="4">
        <f>L39/I39*100</f>
        <v>9.1648546347749047</v>
      </c>
      <c r="J17" s="5">
        <f>M39/J39*100</f>
        <v>5.5188341164290833</v>
      </c>
      <c r="K17" s="4">
        <f>N39/H39*100</f>
        <v>-14.272322474806657</v>
      </c>
      <c r="L17" s="4">
        <f>O39/I39*100</f>
        <v>2.1100104695175972</v>
      </c>
      <c r="M17" s="5">
        <f>P39/H39*100</f>
        <v>1.3358331380360911</v>
      </c>
      <c r="N17" s="4">
        <f t="shared" si="3"/>
        <v>4.7856726849155491</v>
      </c>
      <c r="O17" s="4">
        <f t="shared" si="4"/>
        <v>2.4124788255223035</v>
      </c>
      <c r="P17" s="5">
        <f t="shared" si="5"/>
        <v>3.0042347247428913</v>
      </c>
      <c r="Q17" s="4">
        <f>W39/Z39</f>
        <v>1.3760064412238326</v>
      </c>
      <c r="R17" s="4">
        <f>X39/AA39</f>
        <v>1.8099897013388258</v>
      </c>
      <c r="S17" s="5">
        <f>Y39/AB39</f>
        <v>1.5935696619950532</v>
      </c>
      <c r="T17" s="4">
        <f>(W39-AC39)/Z39</f>
        <v>0.91841116478797635</v>
      </c>
      <c r="U17" s="4">
        <f>(X39-AD39)/AA39</f>
        <v>0.97888774459320271</v>
      </c>
      <c r="V17" s="5">
        <f>(Y39-AE39)/AB39</f>
        <v>0.82172300082440208</v>
      </c>
      <c r="W17" s="4">
        <f>AF39/AI39</f>
        <v>3.1652138658017432</v>
      </c>
      <c r="X17" s="4">
        <f>AG39/AJ39</f>
        <v>1.9942635881256274</v>
      </c>
      <c r="Y17" s="5">
        <f>AH39/AK39</f>
        <v>1.8143897321979514</v>
      </c>
      <c r="Z17" s="4">
        <f>AL39/E17</f>
        <v>1.3083936322073382</v>
      </c>
      <c r="AA17" s="4">
        <f>AL39/F17</f>
        <v>0.63424953881987567</v>
      </c>
      <c r="AB17" s="5">
        <f>AL39/G17</f>
        <v>0.67952567044767076</v>
      </c>
      <c r="AC17" s="4">
        <f>AL39/B17</f>
        <v>-1.2301820317087491</v>
      </c>
      <c r="AD17" s="4">
        <f>AL39/C17</f>
        <v>8.7291666666666661</v>
      </c>
      <c r="AE17" s="5">
        <f>AL39/D17</f>
        <v>13.176100628930817</v>
      </c>
    </row>
    <row r="18" spans="1:40">
      <c r="A18" s="5" t="s">
        <v>27</v>
      </c>
      <c r="B18" s="4">
        <v>11.43</v>
      </c>
      <c r="C18" s="4">
        <v>6.24</v>
      </c>
      <c r="D18" s="5">
        <v>-1.86</v>
      </c>
      <c r="E18" s="4">
        <f t="shared" si="0"/>
        <v>-26.536571292857381</v>
      </c>
      <c r="F18" s="4">
        <f t="shared" si="1"/>
        <v>-36.550165594033089</v>
      </c>
      <c r="G18" s="5">
        <f t="shared" si="2"/>
        <v>-41.198163530846536</v>
      </c>
      <c r="H18" s="4">
        <f>K40/H40*100</f>
        <v>18.850114416475975</v>
      </c>
      <c r="I18" s="4">
        <f>L40/I40*100</f>
        <v>23.238581146744412</v>
      </c>
      <c r="J18" s="5">
        <f>M40/J40*100</f>
        <v>2.6364355391510679</v>
      </c>
      <c r="K18" s="4">
        <f>N40/H40*100</f>
        <v>29.40503432494279</v>
      </c>
      <c r="L18" s="4">
        <f>O40/I40*100</f>
        <v>20.468901846452869</v>
      </c>
      <c r="M18" s="5">
        <f>P40/H40*100</f>
        <v>-4.7864225781845917</v>
      </c>
      <c r="N18" s="4">
        <f t="shared" si="3"/>
        <v>-1.9059711736444751</v>
      </c>
      <c r="O18" s="4">
        <f t="shared" si="4"/>
        <v>-1.6698226031492922</v>
      </c>
      <c r="P18" s="5">
        <f t="shared" si="5"/>
        <v>-2.0518125552608311</v>
      </c>
      <c r="Q18" s="4">
        <f>W40/Z40</f>
        <v>2.1138929798723614</v>
      </c>
      <c r="R18" s="4">
        <f>X40/AA40</f>
        <v>0.78102474186635507</v>
      </c>
      <c r="S18" s="5">
        <f>Y40/AB40</f>
        <v>0.72574447646493756</v>
      </c>
      <c r="T18" s="4">
        <f>(W40-AC40)/Z40</f>
        <v>1.0633284241531666</v>
      </c>
      <c r="U18" s="4">
        <f>(X40-AD40)/AA40</f>
        <v>0.36898499902591086</v>
      </c>
      <c r="V18" s="5">
        <f>(Y40-AE40)/AB40</f>
        <v>0.47838616714697402</v>
      </c>
      <c r="W18" s="4">
        <f>AF40/AI40</f>
        <v>2.9762632197414809</v>
      </c>
      <c r="X18" s="4">
        <f>AG40/AJ40</f>
        <v>1.5166186359269933</v>
      </c>
      <c r="Y18" s="5">
        <f>AH40/AK40</f>
        <v>1.1631265930331349</v>
      </c>
      <c r="Z18" s="4">
        <f>AL40/E18</f>
        <v>-0.29770236376115305</v>
      </c>
      <c r="AA18" s="4">
        <f>AL40/F18</f>
        <v>-0.21614129160853093</v>
      </c>
      <c r="AB18" s="5">
        <f>AL40/G18</f>
        <v>-0.19175612024756852</v>
      </c>
      <c r="AC18" s="4">
        <f>AL40/B18</f>
        <v>0.69116360454943138</v>
      </c>
      <c r="AD18" s="4">
        <f>AL40/C18</f>
        <v>1.266025641025641</v>
      </c>
      <c r="AE18" s="5">
        <f>AL40/D18</f>
        <v>-4.247311827956989</v>
      </c>
    </row>
    <row r="19" spans="1:40">
      <c r="A19" s="5" t="s">
        <v>28</v>
      </c>
      <c r="B19" s="4">
        <v>-45.18</v>
      </c>
      <c r="C19" s="4">
        <v>-47.17</v>
      </c>
      <c r="D19" s="5">
        <v>1.93</v>
      </c>
      <c r="E19" s="4">
        <f t="shared" si="0"/>
        <v>7.5584746809915968</v>
      </c>
      <c r="F19" s="4">
        <f t="shared" si="1"/>
        <v>52.752507939534709</v>
      </c>
      <c r="G19" s="5">
        <f t="shared" si="2"/>
        <v>-179.23934772558914</v>
      </c>
      <c r="H19" s="4">
        <f>K41/H41*100</f>
        <v>24.125000000000018</v>
      </c>
      <c r="I19" s="4">
        <f>L41/I41*100</f>
        <v>17.543859649122819</v>
      </c>
      <c r="J19" s="5">
        <f>M41/J41*100</f>
        <v>12.640801001251564</v>
      </c>
      <c r="K19" s="4">
        <f>N41/H41*100</f>
        <v>-180.125</v>
      </c>
      <c r="L19" s="4">
        <f>O41/I41*100</f>
        <v>-155.10835913312692</v>
      </c>
      <c r="M19" s="5">
        <f>P41/H41*100</f>
        <v>7.625</v>
      </c>
      <c r="N19" s="4">
        <f t="shared" si="3"/>
        <v>70.921161825726131</v>
      </c>
      <c r="O19" s="4">
        <f t="shared" si="4"/>
        <v>9.3430439952437574</v>
      </c>
      <c r="P19" s="5">
        <f t="shared" si="5"/>
        <v>-7.3840769903762024E-2</v>
      </c>
      <c r="Q19" s="4">
        <f>W41/Z41</f>
        <v>3.8103599648814747E-2</v>
      </c>
      <c r="R19" s="4">
        <f>X41/AA41</f>
        <v>4.3876966184805452E-2</v>
      </c>
      <c r="S19" s="5">
        <f>Y41/AB41</f>
        <v>7.6309523809523814</v>
      </c>
      <c r="T19" s="4">
        <f>(W41-AC41)/Z41</f>
        <v>2.8972783143107986E-2</v>
      </c>
      <c r="U19" s="4">
        <f>(X41-AD41)/AA41</f>
        <v>3.4643061835318088E-2</v>
      </c>
      <c r="V19" s="5">
        <f>(Y41-AE41)/AB41</f>
        <v>6.9841269841269851</v>
      </c>
      <c r="W19" s="4">
        <f>AF41/AI41</f>
        <v>7.3089700996677748E-2</v>
      </c>
      <c r="X19" s="4">
        <f>AG41/AJ41</f>
        <v>8.3601286173633452E-2</v>
      </c>
      <c r="Y19" s="5">
        <f>AH41/AK41</f>
        <v>9.7719869706840393E-2</v>
      </c>
      <c r="Z19" s="4">
        <f>AL41/E19</f>
        <v>7.6735058921161823</v>
      </c>
      <c r="AA19" s="4">
        <f>AL41/F19</f>
        <v>1.0994737931034484</v>
      </c>
      <c r="AB19" s="5">
        <f>AL41/G19</f>
        <v>-0.32358966229221342</v>
      </c>
      <c r="AC19" s="4">
        <f>AL41/B19</f>
        <v>-1.2837538733953078</v>
      </c>
      <c r="AD19" s="4">
        <f>AL41/C19</f>
        <v>-1.2295950816196735</v>
      </c>
      <c r="AE19" s="5">
        <f>AL41/D19</f>
        <v>30.051813471502591</v>
      </c>
    </row>
    <row r="20" spans="1:40">
      <c r="A20" s="5" t="s">
        <v>29</v>
      </c>
      <c r="B20" s="4">
        <v>-241.24</v>
      </c>
      <c r="C20" s="4">
        <v>-219.63</v>
      </c>
      <c r="D20" s="5">
        <v>18.39</v>
      </c>
      <c r="E20" s="4">
        <f t="shared" si="0"/>
        <v>162.82804862953938</v>
      </c>
      <c r="F20" s="4">
        <f t="shared" si="1"/>
        <v>14.264624636591705</v>
      </c>
      <c r="G20" s="5">
        <f t="shared" si="2"/>
        <v>233.86135086750053</v>
      </c>
      <c r="H20" s="4">
        <f>K42/H42*100</f>
        <v>-173.97588916211839</v>
      </c>
      <c r="I20" s="4">
        <f>L42/I42*100</f>
        <v>-107.31735445057376</v>
      </c>
      <c r="J20" s="5">
        <f>M42/J42*100</f>
        <v>15.304450495168792</v>
      </c>
      <c r="K20" s="4">
        <f>N42/H42*100</f>
        <v>-239.63893720386253</v>
      </c>
      <c r="L20" s="4">
        <f>O42/I42*100</f>
        <v>-140.01960520498972</v>
      </c>
      <c r="M20" s="5">
        <f>P42/H42*100</f>
        <v>18.095123852935888</v>
      </c>
      <c r="N20" s="4">
        <f t="shared" si="3"/>
        <v>2.6553814777046449</v>
      </c>
      <c r="O20" s="4">
        <f t="shared" si="4"/>
        <v>27.590052910052911</v>
      </c>
      <c r="P20" s="5">
        <f t="shared" si="5"/>
        <v>1.57217546215016</v>
      </c>
      <c r="Q20" s="4">
        <f>W42/Z42</f>
        <v>8.3585006870503853E-2</v>
      </c>
      <c r="R20" s="4">
        <f>X42/AA42</f>
        <v>0.62478896767429037</v>
      </c>
      <c r="S20" s="5">
        <f>Y42/AB42</f>
        <v>1.4033522009122381</v>
      </c>
      <c r="T20" s="4">
        <f>(W42-AC42)/Z42</f>
        <v>5.8167816649398546E-2</v>
      </c>
      <c r="U20" s="4">
        <f>(X42-AD42)/AA42</f>
        <v>0.45854880844484719</v>
      </c>
      <c r="V20" s="5">
        <f>(Y42-AE42)/AB42</f>
        <v>0.80716601637632557</v>
      </c>
      <c r="W20" s="4">
        <f>AF42/AI42</f>
        <v>1.1601407434139299</v>
      </c>
      <c r="X20" s="4">
        <f>AG42/AJ42</f>
        <v>1.136882807036788</v>
      </c>
      <c r="Y20" s="5">
        <f>AH42/AK42</f>
        <v>1.355860592806291</v>
      </c>
      <c r="Z20" s="4">
        <f>AL42/E20</f>
        <v>2.3951647353295635E-2</v>
      </c>
      <c r="AA20" s="4">
        <f>AL42/F20</f>
        <v>0.27340361904761906</v>
      </c>
      <c r="AB20" s="5">
        <f>AL42/G20</f>
        <v>1.6676547815759578E-2</v>
      </c>
      <c r="AC20" s="4">
        <f>AL42/B20</f>
        <v>-1.6166473221687943E-2</v>
      </c>
      <c r="AD20" s="4">
        <f>AL42/C20</f>
        <v>-1.7757137003141646E-2</v>
      </c>
      <c r="AE20" s="5">
        <f>AL42/D20</f>
        <v>0.21207177814029363</v>
      </c>
    </row>
    <row r="22" spans="1:40" s="1" customFormat="1">
      <c r="A22" s="6"/>
      <c r="B22" s="21" t="s">
        <v>30</v>
      </c>
      <c r="C22" s="21"/>
      <c r="D22" s="22"/>
      <c r="E22" s="21" t="s">
        <v>31</v>
      </c>
      <c r="F22" s="21"/>
      <c r="G22" s="22"/>
      <c r="H22" s="21" t="s">
        <v>32</v>
      </c>
      <c r="I22" s="21"/>
      <c r="J22" s="22"/>
      <c r="K22" s="21" t="s">
        <v>33</v>
      </c>
      <c r="L22" s="21"/>
      <c r="M22" s="22"/>
      <c r="N22" s="21" t="s">
        <v>34</v>
      </c>
      <c r="O22" s="21"/>
      <c r="P22" s="22"/>
      <c r="Q22" s="21" t="s">
        <v>35</v>
      </c>
      <c r="R22" s="21"/>
      <c r="S22" s="22"/>
      <c r="T22" s="21" t="s">
        <v>36</v>
      </c>
      <c r="U22" s="21"/>
      <c r="V22" s="22"/>
      <c r="W22" s="21" t="s">
        <v>37</v>
      </c>
      <c r="X22" s="21"/>
      <c r="Y22" s="22"/>
      <c r="Z22" s="21" t="s">
        <v>38</v>
      </c>
      <c r="AA22" s="21"/>
      <c r="AB22" s="22"/>
      <c r="AC22" s="21" t="s">
        <v>39</v>
      </c>
      <c r="AD22" s="21"/>
      <c r="AE22" s="22"/>
      <c r="AF22" s="21" t="s">
        <v>40</v>
      </c>
      <c r="AG22" s="21"/>
      <c r="AH22" s="22"/>
      <c r="AI22" s="21" t="s">
        <v>41</v>
      </c>
      <c r="AJ22" s="21"/>
      <c r="AK22" s="22"/>
      <c r="AL22" s="21" t="s">
        <v>42</v>
      </c>
      <c r="AM22" s="21"/>
      <c r="AN22" s="22"/>
    </row>
    <row r="23" spans="1:40" s="1" customFormat="1">
      <c r="A23" s="6"/>
      <c r="B23" s="8">
        <v>2018</v>
      </c>
      <c r="C23" s="8">
        <v>2017</v>
      </c>
      <c r="D23" s="9">
        <v>2016</v>
      </c>
      <c r="E23" s="21"/>
      <c r="F23" s="21"/>
      <c r="G23" s="22"/>
      <c r="H23" s="8">
        <v>2018</v>
      </c>
      <c r="I23" s="8">
        <v>2017</v>
      </c>
      <c r="J23" s="9">
        <v>2016</v>
      </c>
      <c r="K23" s="8">
        <v>2018</v>
      </c>
      <c r="L23" s="8">
        <v>2017</v>
      </c>
      <c r="M23" s="9">
        <v>2016</v>
      </c>
      <c r="N23" s="8">
        <v>2018</v>
      </c>
      <c r="O23" s="8">
        <v>2017</v>
      </c>
      <c r="P23" s="9">
        <v>2016</v>
      </c>
      <c r="Q23" s="8">
        <v>2018</v>
      </c>
      <c r="R23" s="8">
        <v>2017</v>
      </c>
      <c r="S23" s="9">
        <v>2016</v>
      </c>
      <c r="T23" s="8">
        <v>2018</v>
      </c>
      <c r="U23" s="8">
        <v>2017</v>
      </c>
      <c r="V23" s="9">
        <v>2016</v>
      </c>
      <c r="W23" s="8">
        <v>2018</v>
      </c>
      <c r="X23" s="8">
        <v>2017</v>
      </c>
      <c r="Y23" s="9">
        <v>2016</v>
      </c>
      <c r="Z23" s="8">
        <v>2018</v>
      </c>
      <c r="AA23" s="8">
        <v>2017</v>
      </c>
      <c r="AB23" s="9">
        <v>2016</v>
      </c>
      <c r="AC23" s="8">
        <v>2018</v>
      </c>
      <c r="AD23" s="8">
        <v>2017</v>
      </c>
      <c r="AE23" s="9">
        <v>2016</v>
      </c>
      <c r="AF23" s="8">
        <v>2018</v>
      </c>
      <c r="AG23" s="8">
        <v>2017</v>
      </c>
      <c r="AH23" s="9">
        <v>2016</v>
      </c>
      <c r="AI23" s="8">
        <v>2018</v>
      </c>
      <c r="AJ23" s="8">
        <v>2017</v>
      </c>
      <c r="AK23" s="9">
        <v>2016</v>
      </c>
      <c r="AL23" s="21"/>
      <c r="AM23" s="21"/>
      <c r="AN23" s="22"/>
    </row>
    <row r="24" spans="1:40">
      <c r="A24" s="5" t="s">
        <v>11</v>
      </c>
      <c r="B24" s="4">
        <f>448.92-144.9</f>
        <v>304.02</v>
      </c>
      <c r="C24" s="4">
        <f>425.8-143.88</f>
        <v>281.92</v>
      </c>
      <c r="D24" s="5">
        <f>308.78-260.46</f>
        <v>48.319999999999993</v>
      </c>
      <c r="E24" s="19">
        <v>6138124</v>
      </c>
      <c r="F24" s="19"/>
      <c r="G24" s="20"/>
      <c r="H24" s="4">
        <v>845.22</v>
      </c>
      <c r="I24" s="4">
        <v>702.88</v>
      </c>
      <c r="J24" s="5">
        <v>487.45</v>
      </c>
      <c r="K24" s="4">
        <v>162.16999999999999</v>
      </c>
      <c r="L24" s="4">
        <v>78.239999999999995</v>
      </c>
      <c r="M24" s="5">
        <v>239.64</v>
      </c>
      <c r="N24" s="4">
        <v>98.1</v>
      </c>
      <c r="O24" s="4">
        <v>15.8</v>
      </c>
      <c r="P24" s="5">
        <v>-41.5</v>
      </c>
      <c r="Q24" s="4">
        <v>144.9</v>
      </c>
      <c r="R24" s="4">
        <v>143.88</v>
      </c>
      <c r="S24" s="5">
        <v>260.45999999999998</v>
      </c>
      <c r="T24" s="4">
        <f>448.92-144.9</f>
        <v>304.02</v>
      </c>
      <c r="U24" s="4">
        <f>425.8-143.88</f>
        <v>281.92</v>
      </c>
      <c r="V24" s="5">
        <f>308.78-260.46</f>
        <v>48.319999999999993</v>
      </c>
      <c r="W24" s="4">
        <v>448.92</v>
      </c>
      <c r="X24" s="4">
        <v>312.58999999999997</v>
      </c>
      <c r="Y24" s="5">
        <v>222.18</v>
      </c>
      <c r="Z24" s="4">
        <v>132.78</v>
      </c>
      <c r="AA24" s="4">
        <v>135.5</v>
      </c>
      <c r="AB24" s="5">
        <v>245.33</v>
      </c>
      <c r="AC24" s="4">
        <v>231.15</v>
      </c>
      <c r="AD24" s="4">
        <v>194.03</v>
      </c>
      <c r="AE24" s="5">
        <v>137.4</v>
      </c>
      <c r="AF24" s="4">
        <v>219.85</v>
      </c>
      <c r="AG24" s="4">
        <v>180.4</v>
      </c>
      <c r="AH24" s="5">
        <v>143.80000000000001</v>
      </c>
      <c r="AI24" s="4">
        <v>212.76499999999999</v>
      </c>
      <c r="AJ24" s="4">
        <v>165.58500000000001</v>
      </c>
      <c r="AK24" s="5">
        <v>113.16500000000001</v>
      </c>
      <c r="AL24" s="19">
        <v>708.15</v>
      </c>
      <c r="AM24" s="19"/>
      <c r="AN24" s="20"/>
    </row>
    <row r="25" spans="1:40">
      <c r="A25" s="5" t="s">
        <v>12</v>
      </c>
      <c r="B25" s="4">
        <f>984.76-447.97</f>
        <v>536.79</v>
      </c>
      <c r="C25" s="4">
        <f>841.67-395.25</f>
        <v>446.41999999999996</v>
      </c>
      <c r="D25" s="5">
        <f>811.15-445.147</f>
        <v>366.00299999999999</v>
      </c>
      <c r="E25" s="19" t="s">
        <v>43</v>
      </c>
      <c r="F25" s="19"/>
      <c r="G25" s="20"/>
      <c r="H25" s="4">
        <v>902.46</v>
      </c>
      <c r="I25" s="4">
        <v>854.28</v>
      </c>
      <c r="J25" s="5">
        <v>831.05</v>
      </c>
      <c r="K25" s="4">
        <f>9.98+15.35+153.01</f>
        <v>178.33999999999997</v>
      </c>
      <c r="L25" s="4">
        <f>6.54+14.16+123.15</f>
        <v>143.85</v>
      </c>
      <c r="M25" s="5">
        <f>8.73+13.1+87.04</f>
        <v>108.87</v>
      </c>
      <c r="N25" s="4">
        <v>153.01</v>
      </c>
      <c r="O25" s="4">
        <v>123.15</v>
      </c>
      <c r="P25" s="5">
        <v>87.04</v>
      </c>
      <c r="Q25" s="4">
        <f>39.06+408.91</f>
        <v>447.97</v>
      </c>
      <c r="R25" s="4">
        <f>37.15+358.1</f>
        <v>395.25</v>
      </c>
      <c r="S25" s="5">
        <f>37.26+408.44</f>
        <v>445.7</v>
      </c>
      <c r="T25" s="4">
        <f>984.76-447.97</f>
        <v>536.79</v>
      </c>
      <c r="U25" s="4">
        <f>841.67-395.25</f>
        <v>446.41999999999996</v>
      </c>
      <c r="V25" s="5">
        <f>811.15-445.147</f>
        <v>366.00299999999999</v>
      </c>
      <c r="W25" s="4">
        <v>489.14</v>
      </c>
      <c r="X25" s="4">
        <v>500.14</v>
      </c>
      <c r="Y25" s="5">
        <v>583.83000000000004</v>
      </c>
      <c r="Z25" s="4">
        <v>408.93</v>
      </c>
      <c r="AA25" s="4">
        <v>358.13</v>
      </c>
      <c r="AB25" s="5">
        <v>408.33</v>
      </c>
      <c r="AC25" s="4">
        <v>164.18</v>
      </c>
      <c r="AD25" s="4">
        <v>140.96</v>
      </c>
      <c r="AE25" s="5">
        <v>125.46</v>
      </c>
      <c r="AF25" s="4">
        <v>270.87</v>
      </c>
      <c r="AG25" s="4">
        <v>273.3</v>
      </c>
      <c r="AH25" s="5">
        <v>317.858</v>
      </c>
      <c r="AI25" s="4">
        <f>(164.18+140.96)/2</f>
        <v>152.57</v>
      </c>
      <c r="AJ25" s="4">
        <f>(140.96+125.46)/2</f>
        <v>133.21</v>
      </c>
      <c r="AK25" s="5">
        <f>(125.46+137.2)/2</f>
        <v>131.32999999999998</v>
      </c>
      <c r="AL25" s="19">
        <v>1085.8499999999999</v>
      </c>
      <c r="AM25" s="19"/>
      <c r="AN25" s="20"/>
    </row>
    <row r="26" spans="1:40">
      <c r="A26" s="5" t="s">
        <v>13</v>
      </c>
      <c r="B26" s="4">
        <f>1252.31-762.83</f>
        <v>489.4799999999999</v>
      </c>
      <c r="C26" s="4">
        <f>810.97-538.63</f>
        <v>272.34000000000003</v>
      </c>
      <c r="D26" s="5">
        <f>720.17-507.09</f>
        <v>213.07999999999998</v>
      </c>
      <c r="E26" s="23">
        <v>200520400</v>
      </c>
      <c r="F26" s="23"/>
      <c r="G26" s="24"/>
      <c r="H26" s="4">
        <v>1650.85</v>
      </c>
      <c r="I26" s="4">
        <v>1185.27</v>
      </c>
      <c r="J26" s="5">
        <v>1013.36</v>
      </c>
      <c r="K26" s="4">
        <f>52.5+50.57+84.87</f>
        <v>187.94</v>
      </c>
      <c r="L26" s="4">
        <f>35.85+48.76+80.74</f>
        <v>165.35</v>
      </c>
      <c r="M26" s="5">
        <f>42.79+47.3+54.39</f>
        <v>144.48000000000002</v>
      </c>
      <c r="N26" s="4">
        <v>84.87</v>
      </c>
      <c r="O26" s="4">
        <v>80.760000000000005</v>
      </c>
      <c r="P26" s="5">
        <v>54.39</v>
      </c>
      <c r="Q26" s="4">
        <f>213.79+549.04</f>
        <v>762.82999999999993</v>
      </c>
      <c r="R26" s="4">
        <f>233.84+304.79</f>
        <v>538.63</v>
      </c>
      <c r="S26" s="5">
        <f>233.71+273.38</f>
        <v>507.09000000000003</v>
      </c>
      <c r="T26" s="4">
        <f>1252.31-762.83</f>
        <v>489.4799999999999</v>
      </c>
      <c r="U26" s="4">
        <f>810.97-538.63</f>
        <v>272.34000000000003</v>
      </c>
      <c r="V26" s="5">
        <f>720.17-507.09</f>
        <v>213.07999999999998</v>
      </c>
      <c r="W26" s="4">
        <v>756.53</v>
      </c>
      <c r="X26" s="4">
        <v>479.24</v>
      </c>
      <c r="Y26" s="5">
        <v>378.88</v>
      </c>
      <c r="Z26" s="4">
        <v>549.04</v>
      </c>
      <c r="AA26" s="4">
        <v>304.79000000000002</v>
      </c>
      <c r="AB26" s="5">
        <v>273.38</v>
      </c>
      <c r="AC26" s="4">
        <v>244.46</v>
      </c>
      <c r="AD26" s="4">
        <v>114.57</v>
      </c>
      <c r="AE26" s="5">
        <v>111.37</v>
      </c>
      <c r="AF26" s="4">
        <v>1059.97</v>
      </c>
      <c r="AG26" s="4">
        <v>706.69</v>
      </c>
      <c r="AH26" s="5">
        <v>566.73</v>
      </c>
      <c r="AI26" s="4">
        <f>(244.46+114.57)/2</f>
        <v>179.51499999999999</v>
      </c>
      <c r="AJ26" s="4">
        <f>(114.57+111.37)/2</f>
        <v>112.97</v>
      </c>
      <c r="AK26" s="5">
        <f>(111.37+107.51)/2</f>
        <v>109.44</v>
      </c>
      <c r="AL26" s="19">
        <v>72</v>
      </c>
      <c r="AM26" s="19"/>
      <c r="AN26" s="20"/>
    </row>
    <row r="27" spans="1:40">
      <c r="A27" s="5" t="s">
        <v>14</v>
      </c>
      <c r="B27" s="4">
        <f>1660.05-1116.2</f>
        <v>543.84999999999991</v>
      </c>
      <c r="C27" s="4">
        <f>1437.37-897.47</f>
        <v>539.89999999999986</v>
      </c>
      <c r="D27" s="5">
        <f>1444.58-869.56</f>
        <v>575.02</v>
      </c>
      <c r="E27" s="23">
        <v>26046724</v>
      </c>
      <c r="F27" s="23"/>
      <c r="G27" s="24"/>
      <c r="H27" s="4">
        <v>4948.22</v>
      </c>
      <c r="I27" s="4">
        <v>4630.46</v>
      </c>
      <c r="J27" s="5">
        <v>4308.0200000000004</v>
      </c>
      <c r="K27" s="4">
        <f>21.73+16.4+24.02</f>
        <v>62.149999999999991</v>
      </c>
      <c r="L27" s="4">
        <f>13.09+12.87+45.42</f>
        <v>71.38</v>
      </c>
      <c r="M27" s="5">
        <f>14.16+14.65+44</f>
        <v>72.81</v>
      </c>
      <c r="N27" s="4">
        <v>24.02</v>
      </c>
      <c r="O27" s="4">
        <v>52.42</v>
      </c>
      <c r="P27" s="5">
        <v>44</v>
      </c>
      <c r="Q27" s="4">
        <f>61.49+1054.71</f>
        <v>1116.2</v>
      </c>
      <c r="R27" s="4">
        <f>38.77+858.7</f>
        <v>897.47</v>
      </c>
      <c r="S27" s="5">
        <f>13.71+855.85</f>
        <v>869.56000000000006</v>
      </c>
      <c r="T27" s="4">
        <f>1660.05-1116.2</f>
        <v>543.84999999999991</v>
      </c>
      <c r="U27" s="4">
        <f>1437.37-897.47</f>
        <v>539.89999999999986</v>
      </c>
      <c r="V27" s="5">
        <f>1444.58-869.56</f>
        <v>575.02</v>
      </c>
      <c r="W27" s="4">
        <v>1277.1300000000001</v>
      </c>
      <c r="X27" s="4">
        <v>1141.79</v>
      </c>
      <c r="Y27" s="5">
        <v>1174.21</v>
      </c>
      <c r="Z27" s="4">
        <v>1054.71</v>
      </c>
      <c r="AA27" s="4">
        <v>858.7</v>
      </c>
      <c r="AB27" s="5">
        <v>885.85</v>
      </c>
      <c r="AC27" s="4">
        <v>64.73</v>
      </c>
      <c r="AD27" s="4">
        <v>34.630000000000003</v>
      </c>
      <c r="AE27" s="5">
        <v>50.27</v>
      </c>
      <c r="AF27" s="4">
        <v>198.34</v>
      </c>
      <c r="AG27" s="4">
        <v>121.59</v>
      </c>
      <c r="AH27" s="5">
        <v>0</v>
      </c>
      <c r="AI27" s="4">
        <f>(64.73+34.63)/2</f>
        <v>49.680000000000007</v>
      </c>
      <c r="AJ27" s="4">
        <f>(34.63+50.27)/2</f>
        <v>42.45</v>
      </c>
      <c r="AK27" s="5">
        <f>(50.27+88.51)/2</f>
        <v>69.39</v>
      </c>
      <c r="AL27" s="19">
        <v>268</v>
      </c>
      <c r="AM27" s="19"/>
      <c r="AN27" s="20"/>
    </row>
    <row r="28" spans="1:40">
      <c r="A28" s="5" t="s">
        <v>15</v>
      </c>
      <c r="B28" s="4">
        <f>2188.31-1281.37</f>
        <v>906.94</v>
      </c>
      <c r="C28" s="4"/>
      <c r="D28" s="5"/>
      <c r="E28" s="23">
        <v>163828620</v>
      </c>
      <c r="F28" s="23"/>
      <c r="G28" s="24"/>
      <c r="H28" s="4">
        <v>2509.9899999999998</v>
      </c>
      <c r="I28" s="4" t="s">
        <v>43</v>
      </c>
      <c r="J28" s="5" t="s">
        <v>43</v>
      </c>
      <c r="K28" s="4">
        <f>59.12+106.64+115.35</f>
        <v>281.11</v>
      </c>
      <c r="L28" s="4" t="s">
        <v>43</v>
      </c>
      <c r="M28" s="5" t="s">
        <v>43</v>
      </c>
      <c r="N28" s="4">
        <v>115.35</v>
      </c>
      <c r="O28" s="4" t="s">
        <v>43</v>
      </c>
      <c r="P28" s="5" t="s">
        <v>43</v>
      </c>
      <c r="Q28" s="4">
        <f>726.53+554.84</f>
        <v>1281.3699999999999</v>
      </c>
      <c r="R28" s="4" t="s">
        <v>43</v>
      </c>
      <c r="S28" s="5" t="s">
        <v>43</v>
      </c>
      <c r="T28" s="4">
        <f>2188.31-1281.37</f>
        <v>906.94</v>
      </c>
      <c r="U28" s="4" t="s">
        <v>43</v>
      </c>
      <c r="V28" s="5" t="s">
        <v>43</v>
      </c>
      <c r="W28" s="4">
        <v>1004.78</v>
      </c>
      <c r="X28" s="4" t="s">
        <v>43</v>
      </c>
      <c r="Y28" s="5" t="s">
        <v>43</v>
      </c>
      <c r="Z28" s="4">
        <v>726.53</v>
      </c>
      <c r="AA28" s="4" t="s">
        <v>43</v>
      </c>
      <c r="AB28" s="5" t="s">
        <v>43</v>
      </c>
      <c r="AC28" s="4">
        <v>335.05</v>
      </c>
      <c r="AD28" s="4" t="s">
        <v>43</v>
      </c>
      <c r="AE28" s="5" t="s">
        <v>43</v>
      </c>
      <c r="AF28" s="4">
        <v>1309.43</v>
      </c>
      <c r="AG28" s="4" t="s">
        <v>43</v>
      </c>
      <c r="AH28" s="5" t="s">
        <v>43</v>
      </c>
      <c r="AI28" s="4" t="s">
        <v>43</v>
      </c>
      <c r="AJ28" s="4" t="s">
        <v>43</v>
      </c>
      <c r="AK28" s="5" t="s">
        <v>43</v>
      </c>
      <c r="AL28" s="19">
        <v>39.049999999999997</v>
      </c>
      <c r="AM28" s="19"/>
      <c r="AN28" s="20"/>
    </row>
    <row r="29" spans="1:40">
      <c r="A29" s="5" t="s">
        <v>16</v>
      </c>
      <c r="B29" s="4">
        <f>810.56-418.76</f>
        <v>391.79999999999995</v>
      </c>
      <c r="C29" s="4">
        <f>690.22-326.43</f>
        <v>363.79</v>
      </c>
      <c r="D29" s="5">
        <f>578.04-434.43</f>
        <v>143.60999999999996</v>
      </c>
      <c r="E29" s="19">
        <v>25692600</v>
      </c>
      <c r="F29" s="19"/>
      <c r="G29" s="20"/>
      <c r="H29" s="4">
        <v>644.47</v>
      </c>
      <c r="I29" s="4">
        <v>641.23</v>
      </c>
      <c r="J29" s="5">
        <v>541.74</v>
      </c>
      <c r="K29" s="4">
        <f>28.62+24.07+67.6</f>
        <v>120.28999999999999</v>
      </c>
      <c r="L29" s="4">
        <f>18.44+20.94+82.9</f>
        <v>122.28</v>
      </c>
      <c r="M29" s="5">
        <f>25.24+20.72+48.12</f>
        <v>94.079999999999984</v>
      </c>
      <c r="N29" s="4">
        <v>67.599999999999994</v>
      </c>
      <c r="O29" s="4">
        <v>82.9</v>
      </c>
      <c r="P29" s="5">
        <v>48.12</v>
      </c>
      <c r="Q29" s="4">
        <f>83.13+335.63</f>
        <v>418.76</v>
      </c>
      <c r="R29" s="4">
        <f>81.21+245.22</f>
        <v>326.43</v>
      </c>
      <c r="S29" s="5">
        <f>109.13+325.3</f>
        <v>434.43</v>
      </c>
      <c r="T29" s="4">
        <f>810.56-418.76</f>
        <v>391.79999999999995</v>
      </c>
      <c r="U29" s="4">
        <f>690.22-326.43</f>
        <v>363.79</v>
      </c>
      <c r="V29" s="5">
        <f>578.04-434.43</f>
        <v>143.60999999999996</v>
      </c>
      <c r="W29" s="4">
        <v>483.21</v>
      </c>
      <c r="X29" s="4">
        <v>362.28</v>
      </c>
      <c r="Y29" s="5">
        <v>251.33</v>
      </c>
      <c r="Z29" s="4">
        <v>335.63</v>
      </c>
      <c r="AA29" s="4">
        <v>255.22</v>
      </c>
      <c r="AB29" s="5">
        <v>325.3</v>
      </c>
      <c r="AC29" s="4">
        <v>187.1</v>
      </c>
      <c r="AD29" s="4">
        <v>102.43</v>
      </c>
      <c r="AE29" s="5">
        <v>127.51</v>
      </c>
      <c r="AF29" s="4">
        <v>243.41</v>
      </c>
      <c r="AG29" s="4">
        <v>194.38</v>
      </c>
      <c r="AH29" s="5">
        <v>207.68</v>
      </c>
      <c r="AI29" s="4">
        <f>(187.31+102.43)/2</f>
        <v>144.87</v>
      </c>
      <c r="AJ29" s="4">
        <f>(102.43+127.51)/2</f>
        <v>114.97</v>
      </c>
      <c r="AK29" s="5">
        <f>(127.51+107.31)/2</f>
        <v>117.41</v>
      </c>
      <c r="AL29" s="19">
        <v>223.9</v>
      </c>
      <c r="AM29" s="19"/>
      <c r="AN29" s="20"/>
    </row>
    <row r="30" spans="1:40">
      <c r="A30" s="5" t="s">
        <v>17</v>
      </c>
      <c r="B30" s="4">
        <f>2301.58-1716.23</f>
        <v>585.34999999999991</v>
      </c>
      <c r="C30" s="4">
        <f>2150.79-1632.38</f>
        <v>518.40999999999985</v>
      </c>
      <c r="D30" s="5">
        <f>1300.7-835.57</f>
        <v>465.13</v>
      </c>
      <c r="E30" s="19">
        <v>12650000</v>
      </c>
      <c r="F30" s="19"/>
      <c r="G30" s="20"/>
      <c r="H30" s="4">
        <v>2543.1799999999998</v>
      </c>
      <c r="I30" s="4">
        <v>1922.14</v>
      </c>
      <c r="J30" s="5">
        <v>1787.85</v>
      </c>
      <c r="K30" s="4">
        <f>130.88+74.4+68.59</f>
        <v>273.87</v>
      </c>
      <c r="L30" s="4">
        <v>135.97999999999999</v>
      </c>
      <c r="M30" s="5">
        <f>50.2+4.42+11.55</f>
        <v>66.17</v>
      </c>
      <c r="N30" s="4">
        <v>68.59</v>
      </c>
      <c r="O30" s="4">
        <v>19.07</v>
      </c>
      <c r="P30" s="5">
        <v>11.55</v>
      </c>
      <c r="Q30" s="4">
        <f>1011.93+704.3</f>
        <v>1716.23</v>
      </c>
      <c r="R30" s="4">
        <f>1026.46+605.92</f>
        <v>1632.38</v>
      </c>
      <c r="S30" s="5">
        <f>390.62+444.95</f>
        <v>835.56999999999994</v>
      </c>
      <c r="T30" s="4">
        <f>2301.58-1716.23</f>
        <v>585.34999999999991</v>
      </c>
      <c r="U30" s="4">
        <f>2150.79-1632.38</f>
        <v>518.40999999999985</v>
      </c>
      <c r="V30" s="5">
        <f>1300.7-835.57</f>
        <v>465.13</v>
      </c>
      <c r="W30" s="4">
        <v>1058.8499999999999</v>
      </c>
      <c r="X30" s="4">
        <v>916.51</v>
      </c>
      <c r="Y30" s="5">
        <v>789.95</v>
      </c>
      <c r="Z30" s="4">
        <v>704.3</v>
      </c>
      <c r="AA30" s="4">
        <v>605.91999999999996</v>
      </c>
      <c r="AB30" s="5">
        <v>444.95</v>
      </c>
      <c r="AC30" s="4">
        <v>181.32</v>
      </c>
      <c r="AD30" s="4">
        <v>81.040000000000006</v>
      </c>
      <c r="AE30" s="5">
        <v>35.61</v>
      </c>
      <c r="AF30" s="4">
        <v>1078.6400000000001</v>
      </c>
      <c r="AG30" s="4">
        <v>391.2</v>
      </c>
      <c r="AH30" s="5">
        <v>0</v>
      </c>
      <c r="AI30" s="4">
        <f>(181.2+81.04)/2</f>
        <v>131.12</v>
      </c>
      <c r="AJ30" s="4">
        <f>(81.04+35.61)/2</f>
        <v>58.325000000000003</v>
      </c>
      <c r="AK30" s="5">
        <f>(35.61+1.61)/2</f>
        <v>18.61</v>
      </c>
      <c r="AL30" s="19">
        <v>255.05</v>
      </c>
      <c r="AM30" s="19"/>
      <c r="AN30" s="20"/>
    </row>
    <row r="31" spans="1:40">
      <c r="A31" s="5" t="s">
        <v>18</v>
      </c>
      <c r="B31" s="4">
        <f>1209.27-885.6</f>
        <v>323.66999999999996</v>
      </c>
      <c r="C31" s="4">
        <f>941.37-656.79</f>
        <v>284.58000000000004</v>
      </c>
      <c r="D31" s="5">
        <f>946.47-685.78</f>
        <v>260.69000000000005</v>
      </c>
      <c r="E31" s="19">
        <v>15754269</v>
      </c>
      <c r="F31" s="19"/>
      <c r="G31" s="20"/>
      <c r="H31" s="4">
        <v>1013.83</v>
      </c>
      <c r="I31" s="4">
        <v>870.8</v>
      </c>
      <c r="J31" s="5">
        <v>826.95</v>
      </c>
      <c r="K31" s="4">
        <f>59.99+31.33+11.12</f>
        <v>102.44</v>
      </c>
      <c r="L31" s="4">
        <f>43.79+29.57+14.44</f>
        <v>87.8</v>
      </c>
      <c r="M31" s="5">
        <f>37.75+30.12+29.18</f>
        <v>97.050000000000011</v>
      </c>
      <c r="N31" s="4">
        <v>11.12</v>
      </c>
      <c r="O31" s="4">
        <v>14.44</v>
      </c>
      <c r="P31" s="5">
        <v>29.18</v>
      </c>
      <c r="Q31" s="4">
        <f>316.02+569.58</f>
        <v>885.6</v>
      </c>
      <c r="R31" s="4">
        <f>235.8+420.99</f>
        <v>656.79</v>
      </c>
      <c r="S31" s="5">
        <f>261.42+424.36</f>
        <v>685.78</v>
      </c>
      <c r="T31" s="4">
        <f>1209.27-885.6</f>
        <v>323.66999999999996</v>
      </c>
      <c r="U31" s="4">
        <f>941.37-656.79</f>
        <v>284.58000000000004</v>
      </c>
      <c r="V31" s="5">
        <f>946.47-685.78</f>
        <v>260.69000000000005</v>
      </c>
      <c r="W31" s="4">
        <v>526.42999999999995</v>
      </c>
      <c r="X31" s="4">
        <v>323.93</v>
      </c>
      <c r="Y31" s="5">
        <v>345.38</v>
      </c>
      <c r="Z31" s="4">
        <v>569.58000000000004</v>
      </c>
      <c r="AA31" s="4">
        <v>420.99</v>
      </c>
      <c r="AB31" s="5">
        <v>424.36</v>
      </c>
      <c r="AC31" s="4">
        <v>124.07</v>
      </c>
      <c r="AD31" s="4">
        <v>85.39</v>
      </c>
      <c r="AE31" s="5">
        <v>97.17</v>
      </c>
      <c r="AF31" s="4">
        <v>701.72</v>
      </c>
      <c r="AG31" s="4">
        <v>584.67999999999995</v>
      </c>
      <c r="AH31" s="5">
        <v>504.4</v>
      </c>
      <c r="AI31" s="4">
        <f>(124.07+85.39)/2</f>
        <v>104.72999999999999</v>
      </c>
      <c r="AJ31" s="4">
        <f>(85.39+97.17)/2</f>
        <v>91.28</v>
      </c>
      <c r="AK31" s="5">
        <f>(97.17+79.85)/2</f>
        <v>88.509999999999991</v>
      </c>
      <c r="AL31" s="19">
        <v>192.4</v>
      </c>
      <c r="AM31" s="19"/>
      <c r="AN31" s="20"/>
    </row>
    <row r="32" spans="1:40">
      <c r="A32" s="5" t="s">
        <v>19</v>
      </c>
      <c r="B32" s="4">
        <f>9338.99-4988.16</f>
        <v>4350.83</v>
      </c>
      <c r="C32" s="4">
        <f>9252.3-6629.7</f>
        <v>2622.5999999999995</v>
      </c>
      <c r="D32" s="5">
        <f>8902.1-6872.58</f>
        <v>2029.5200000000004</v>
      </c>
      <c r="E32" s="23">
        <v>317476479</v>
      </c>
      <c r="F32" s="23"/>
      <c r="G32" s="24"/>
      <c r="H32" s="4">
        <v>3121.14</v>
      </c>
      <c r="I32" s="4">
        <v>3917.09</v>
      </c>
      <c r="J32" s="5">
        <v>4313.03</v>
      </c>
      <c r="K32" s="4">
        <f>423.02+159.88-362.71</f>
        <v>220.19</v>
      </c>
      <c r="L32" s="4">
        <f>672.55+166.55-217.17</f>
        <v>621.92999999999995</v>
      </c>
      <c r="M32" s="5">
        <f>597.32+180.86+69</f>
        <v>847.18000000000006</v>
      </c>
      <c r="N32" s="4">
        <v>-362.71</v>
      </c>
      <c r="O32" s="4">
        <v>-217.17</v>
      </c>
      <c r="P32" s="5">
        <v>69</v>
      </c>
      <c r="Q32" s="4">
        <f>1313.06+3675.1</f>
        <v>4988.16</v>
      </c>
      <c r="R32" s="4">
        <f>1819.08+4810.62</f>
        <v>6629.7</v>
      </c>
      <c r="S32" s="5">
        <f>2850.25+4022.33</f>
        <v>6872.58</v>
      </c>
      <c r="T32" s="4">
        <f>9338.99-4988.16</f>
        <v>4350.83</v>
      </c>
      <c r="U32" s="4">
        <f>9252.3-6629.7</f>
        <v>2622.5999999999995</v>
      </c>
      <c r="V32" s="5">
        <f>8902.1-6872.58</f>
        <v>2029.5200000000004</v>
      </c>
      <c r="W32" s="4">
        <v>5812.62</v>
      </c>
      <c r="X32" s="4">
        <v>5620.47</v>
      </c>
      <c r="Y32" s="5">
        <v>4993.59</v>
      </c>
      <c r="Z32" s="4">
        <v>3675.1</v>
      </c>
      <c r="AA32" s="4">
        <v>4814.62</v>
      </c>
      <c r="AB32" s="5">
        <v>4022.33</v>
      </c>
      <c r="AC32" s="4">
        <v>3731.77</v>
      </c>
      <c r="AD32" s="4">
        <v>3651.24</v>
      </c>
      <c r="AE32" s="5">
        <v>3126.13</v>
      </c>
      <c r="AF32" s="4">
        <v>2169.87</v>
      </c>
      <c r="AG32" s="4">
        <v>2754.47</v>
      </c>
      <c r="AH32" s="5">
        <v>2911.06</v>
      </c>
      <c r="AI32" s="4">
        <f>(3721.77+3651.23)/2</f>
        <v>3686.5</v>
      </c>
      <c r="AJ32" s="4">
        <f>(3651.24+3126.13)/2</f>
        <v>3388.6849999999999</v>
      </c>
      <c r="AK32" s="5">
        <f>(3126.13+2880.37)/2</f>
        <v>3003.25</v>
      </c>
      <c r="AL32" s="19">
        <v>8.25</v>
      </c>
      <c r="AM32" s="19"/>
      <c r="AN32" s="20"/>
    </row>
    <row r="33" spans="1:40">
      <c r="A33" s="5" t="s">
        <v>20</v>
      </c>
      <c r="B33" s="4">
        <f>165.89-82.68</f>
        <v>83.20999999999998</v>
      </c>
      <c r="C33" s="4">
        <f>150.87-71.39</f>
        <v>79.48</v>
      </c>
      <c r="D33" s="5">
        <f>138.8-70.79</f>
        <v>68.010000000000005</v>
      </c>
      <c r="E33" s="23">
        <v>13560000</v>
      </c>
      <c r="F33" s="23"/>
      <c r="G33" s="24"/>
      <c r="H33" s="4">
        <v>191.57</v>
      </c>
      <c r="I33" s="4">
        <v>178.68</v>
      </c>
      <c r="J33" s="5">
        <v>163.72</v>
      </c>
      <c r="K33" s="4">
        <f>1.18+2.14+3.67</f>
        <v>6.99</v>
      </c>
      <c r="L33" s="4">
        <f>1.63+2.24+5.85</f>
        <v>9.7199999999999989</v>
      </c>
      <c r="M33" s="5">
        <f>4.99+2.17+1.03</f>
        <v>8.19</v>
      </c>
      <c r="N33" s="4">
        <v>3.67</v>
      </c>
      <c r="O33" s="4">
        <v>5.85</v>
      </c>
      <c r="P33" s="5">
        <v>1.03</v>
      </c>
      <c r="Q33" s="4">
        <f>6.83+75.85</f>
        <v>82.679999999999993</v>
      </c>
      <c r="R33" s="4">
        <f>1.51+69.88</f>
        <v>71.39</v>
      </c>
      <c r="S33" s="5">
        <f>2.46+68.33</f>
        <v>70.789999999999992</v>
      </c>
      <c r="T33" s="4">
        <f>165.89-82.68</f>
        <v>83.20999999999998</v>
      </c>
      <c r="U33" s="4">
        <f>150.87-71.39</f>
        <v>79.48</v>
      </c>
      <c r="V33" s="5">
        <f>138.8-70.79</f>
        <v>68.010000000000005</v>
      </c>
      <c r="W33" s="4">
        <v>124.63</v>
      </c>
      <c r="X33" s="4">
        <v>113.21</v>
      </c>
      <c r="Y33" s="5">
        <v>98.63</v>
      </c>
      <c r="Z33" s="4">
        <v>75.849999999999994</v>
      </c>
      <c r="AA33" s="4">
        <v>69.88</v>
      </c>
      <c r="AB33" s="5">
        <v>68.33</v>
      </c>
      <c r="AC33" s="4">
        <v>28.1</v>
      </c>
      <c r="AD33" s="4">
        <v>33.340000000000003</v>
      </c>
      <c r="AE33" s="5">
        <v>30.17</v>
      </c>
      <c r="AF33" s="4">
        <v>27.62</v>
      </c>
      <c r="AG33" s="4">
        <v>29.08</v>
      </c>
      <c r="AH33" s="5">
        <v>18.850000000000001</v>
      </c>
      <c r="AI33" s="4">
        <f>(28.1+33.64)/2</f>
        <v>30.87</v>
      </c>
      <c r="AJ33" s="4">
        <f>(33.34+30.17)/2</f>
        <v>31.755000000000003</v>
      </c>
      <c r="AK33" s="5">
        <f>(30.17+32.63)/2</f>
        <v>31.400000000000002</v>
      </c>
      <c r="AL33" s="19">
        <v>57.3</v>
      </c>
      <c r="AM33" s="19"/>
      <c r="AN33" s="20"/>
    </row>
    <row r="34" spans="1:40">
      <c r="A34" s="5" t="s">
        <v>21</v>
      </c>
      <c r="B34" s="4">
        <f>80.99-15.23</f>
        <v>65.759999999999991</v>
      </c>
      <c r="C34" s="4">
        <f>84.85-23.31</f>
        <v>61.539999999999992</v>
      </c>
      <c r="D34" s="5">
        <f>63.26-11.82</f>
        <v>51.44</v>
      </c>
      <c r="E34" s="23">
        <v>3304800</v>
      </c>
      <c r="F34" s="23"/>
      <c r="G34" s="24"/>
      <c r="H34" s="4">
        <v>81.37</v>
      </c>
      <c r="I34" s="4">
        <v>77.510000000000005</v>
      </c>
      <c r="J34" s="5">
        <v>76.150000000000006</v>
      </c>
      <c r="K34" s="4">
        <f>0.87+2.87+7.18</f>
        <v>10.92</v>
      </c>
      <c r="L34" s="4">
        <f>1.5+2.95+15.83</f>
        <v>20.28</v>
      </c>
      <c r="M34" s="5">
        <f>1.03+2.21+19.47</f>
        <v>22.71</v>
      </c>
      <c r="N34" s="4">
        <v>7.18</v>
      </c>
      <c r="O34" s="4">
        <v>15.83</v>
      </c>
      <c r="P34" s="5">
        <v>19.47</v>
      </c>
      <c r="Q34" s="4">
        <f>4.23+11</f>
        <v>15.23</v>
      </c>
      <c r="R34" s="4">
        <f>5.42+17.89</f>
        <v>23.310000000000002</v>
      </c>
      <c r="S34" s="5">
        <f>2.66+9.16</f>
        <v>11.82</v>
      </c>
      <c r="T34" s="4">
        <f>80.99-15.23</f>
        <v>65.759999999999991</v>
      </c>
      <c r="U34" s="4">
        <f>84.85-23.31</f>
        <v>61.539999999999992</v>
      </c>
      <c r="V34" s="5">
        <f>63.26-11.82</f>
        <v>51.44</v>
      </c>
      <c r="W34" s="4">
        <v>16.97</v>
      </c>
      <c r="X34" s="4">
        <v>16.59</v>
      </c>
      <c r="Y34" s="5">
        <v>13.96</v>
      </c>
      <c r="Z34" s="4">
        <v>4.2300000000000004</v>
      </c>
      <c r="AA34" s="4">
        <v>5.42</v>
      </c>
      <c r="AB34" s="5">
        <v>2.66</v>
      </c>
      <c r="AC34" s="4">
        <v>16.43</v>
      </c>
      <c r="AD34" s="4">
        <v>22.41</v>
      </c>
      <c r="AE34" s="5">
        <v>15.58</v>
      </c>
      <c r="AF34" s="4">
        <v>30.68</v>
      </c>
      <c r="AG34" s="4">
        <v>31.68</v>
      </c>
      <c r="AH34" s="5">
        <v>32.409999999999997</v>
      </c>
      <c r="AI34" s="4">
        <f>(16.43+22.41)/2</f>
        <v>19.420000000000002</v>
      </c>
      <c r="AJ34" s="4">
        <f>(22.41+15.58)/2</f>
        <v>18.995000000000001</v>
      </c>
      <c r="AK34" s="5"/>
      <c r="AL34" s="19">
        <v>204</v>
      </c>
      <c r="AM34" s="19"/>
      <c r="AN34" s="20"/>
    </row>
    <row r="35" spans="1:40">
      <c r="A35" s="5" t="s">
        <v>22</v>
      </c>
      <c r="B35" s="4">
        <f>112.83-21.79</f>
        <v>91.039999999999992</v>
      </c>
      <c r="C35" s="4">
        <f>123-15.97</f>
        <v>107.03</v>
      </c>
      <c r="D35" s="5">
        <f>137.1-17.24</f>
        <v>119.86</v>
      </c>
      <c r="E35" s="23">
        <v>1664548</v>
      </c>
      <c r="F35" s="23"/>
      <c r="G35" s="24"/>
      <c r="H35" s="4">
        <v>148.08000000000001</v>
      </c>
      <c r="I35" s="4">
        <v>109.48</v>
      </c>
      <c r="J35" s="5">
        <v>104.96</v>
      </c>
      <c r="K35" s="4">
        <f>0.14+6.5+4.9</f>
        <v>11.54</v>
      </c>
      <c r="L35" s="4">
        <f>0.08+4.9+4.11</f>
        <v>9.09</v>
      </c>
      <c r="M35" s="5">
        <f>0.07+4.023-3.01</f>
        <v>1.0830000000000002</v>
      </c>
      <c r="N35" s="4">
        <v>4.9000000000000004</v>
      </c>
      <c r="O35" s="4">
        <v>4.1100000000000003</v>
      </c>
      <c r="P35" s="5">
        <v>-3.01</v>
      </c>
      <c r="Q35" s="4">
        <f>2.3+19.49</f>
        <v>21.79</v>
      </c>
      <c r="R35" s="4">
        <f>1.86+14.11</f>
        <v>15.969999999999999</v>
      </c>
      <c r="S35" s="5">
        <f>1.69+15.55</f>
        <v>17.240000000000002</v>
      </c>
      <c r="T35" s="4">
        <f>112.83-21.79</f>
        <v>91.039999999999992</v>
      </c>
      <c r="U35" s="4">
        <f>123-15.97</f>
        <v>107.03</v>
      </c>
      <c r="V35" s="5">
        <f>137.1-17.24</f>
        <v>119.86</v>
      </c>
      <c r="W35" s="4">
        <v>60.64</v>
      </c>
      <c r="X35" s="4">
        <v>49.84</v>
      </c>
      <c r="Y35" s="5">
        <v>51.51</v>
      </c>
      <c r="Z35" s="4">
        <v>19.489999999999998</v>
      </c>
      <c r="AA35" s="4">
        <v>14.11</v>
      </c>
      <c r="AB35" s="5">
        <v>15.55</v>
      </c>
      <c r="AC35" s="4">
        <v>28.92</v>
      </c>
      <c r="AD35" s="4">
        <v>20.61</v>
      </c>
      <c r="AE35" s="5">
        <v>20.84</v>
      </c>
      <c r="AF35" s="4">
        <v>98.1</v>
      </c>
      <c r="AG35" s="4">
        <v>62.6</v>
      </c>
      <c r="AH35" s="5">
        <v>70.599999999999994</v>
      </c>
      <c r="AI35" s="4">
        <f>(28.92+20.61)/2</f>
        <v>24.765000000000001</v>
      </c>
      <c r="AJ35" s="4">
        <f>(20.61+20.84)/2</f>
        <v>20.725000000000001</v>
      </c>
      <c r="AK35" s="5">
        <f>(20.84+0)/2</f>
        <v>10.42</v>
      </c>
      <c r="AL35" s="19">
        <v>329.5</v>
      </c>
      <c r="AM35" s="19"/>
      <c r="AN35" s="20"/>
    </row>
    <row r="36" spans="1:40">
      <c r="A36" s="5" t="s">
        <v>23</v>
      </c>
      <c r="B36" s="4">
        <f>78.72-44.21</f>
        <v>34.51</v>
      </c>
      <c r="C36" s="4">
        <f>74.94-48.676</f>
        <v>26.263999999999996</v>
      </c>
      <c r="D36" s="5">
        <f>74.88-48.72</f>
        <v>26.159999999999997</v>
      </c>
      <c r="E36" s="23">
        <v>24000000</v>
      </c>
      <c r="F36" s="23"/>
      <c r="G36" s="24"/>
      <c r="H36" s="4">
        <v>99.53</v>
      </c>
      <c r="I36" s="4">
        <v>86.34</v>
      </c>
      <c r="J36" s="5">
        <v>59.84</v>
      </c>
      <c r="K36" s="4">
        <f>2.27+3.84+8.04</f>
        <v>14.149999999999999</v>
      </c>
      <c r="L36" s="4">
        <f>2.53+3.79+2.7</f>
        <v>9.02</v>
      </c>
      <c r="M36" s="5">
        <f>2.37+3.6+3.47</f>
        <v>9.4400000000000013</v>
      </c>
      <c r="N36" s="4">
        <v>8.0399999999999991</v>
      </c>
      <c r="O36" s="4">
        <v>2.7</v>
      </c>
      <c r="P36" s="5">
        <v>3.47</v>
      </c>
      <c r="Q36" s="4">
        <f>26.36+17.85</f>
        <v>44.21</v>
      </c>
      <c r="R36" s="4">
        <f>32.42+16.256</f>
        <v>48.676000000000002</v>
      </c>
      <c r="S36" s="5">
        <f>37.84+10.88</f>
        <v>48.720000000000006</v>
      </c>
      <c r="T36" s="4">
        <f>78.72-44.21</f>
        <v>34.51</v>
      </c>
      <c r="U36" s="4">
        <f>74.94-48.676</f>
        <v>26.263999999999996</v>
      </c>
      <c r="V36" s="5">
        <f>74.88-48.72</f>
        <v>26.159999999999997</v>
      </c>
      <c r="W36" s="4">
        <v>25.09</v>
      </c>
      <c r="X36" s="4">
        <v>17.95</v>
      </c>
      <c r="Y36" s="5">
        <v>16.46</v>
      </c>
      <c r="Z36" s="4">
        <v>17.850000000000001</v>
      </c>
      <c r="AA36" s="4">
        <v>16.559999999999999</v>
      </c>
      <c r="AB36" s="5">
        <v>10.88</v>
      </c>
      <c r="AC36" s="4">
        <v>12.01</v>
      </c>
      <c r="AD36" s="4">
        <v>9.93</v>
      </c>
      <c r="AE36" s="5">
        <v>8.1999999999999993</v>
      </c>
      <c r="AF36" s="4">
        <v>69.05</v>
      </c>
      <c r="AG36" s="4">
        <v>6644</v>
      </c>
      <c r="AH36" s="5">
        <v>39.81</v>
      </c>
      <c r="AI36" s="4">
        <f>(12.01+9.93)/2</f>
        <v>10.969999999999999</v>
      </c>
      <c r="AJ36" s="4">
        <f>(9.93+8.2)/2</f>
        <v>9.0649999999999995</v>
      </c>
      <c r="AK36" s="5">
        <f>(8.2+3.97)/2</f>
        <v>6.085</v>
      </c>
      <c r="AL36" s="19">
        <v>15.8</v>
      </c>
      <c r="AM36" s="19"/>
      <c r="AN36" s="20"/>
    </row>
    <row r="37" spans="1:40">
      <c r="A37" s="5" t="s">
        <v>24</v>
      </c>
      <c r="B37" s="4">
        <f>44.94-36.67</f>
        <v>8.269999999999996</v>
      </c>
      <c r="C37" s="4">
        <f>24.48-20.69</f>
        <v>3.7899999999999991</v>
      </c>
      <c r="D37" s="5">
        <f>37.99-24.99</f>
        <v>13.000000000000004</v>
      </c>
      <c r="E37" s="23">
        <v>3995875</v>
      </c>
      <c r="F37" s="23"/>
      <c r="G37" s="24"/>
      <c r="H37" s="4">
        <v>85.94</v>
      </c>
      <c r="I37" s="4">
        <v>76.19</v>
      </c>
      <c r="J37" s="5">
        <v>66.03</v>
      </c>
      <c r="K37" s="4">
        <f>0.77+0.13+1.04</f>
        <v>1.94</v>
      </c>
      <c r="L37" s="4">
        <f>0.68+0.13+0.58</f>
        <v>1.3900000000000001</v>
      </c>
      <c r="M37" s="5">
        <f>0.6+0.14+0.3</f>
        <v>1.04</v>
      </c>
      <c r="N37" s="4">
        <v>104</v>
      </c>
      <c r="O37" s="4">
        <v>0.57999999999999996</v>
      </c>
      <c r="P37" s="5">
        <v>0.3</v>
      </c>
      <c r="Q37" s="4">
        <f>4.19+32.48</f>
        <v>36.669999999999995</v>
      </c>
      <c r="R37" s="4">
        <f>5.2+15.49</f>
        <v>20.69</v>
      </c>
      <c r="S37" s="5">
        <f>1.2+23.79</f>
        <v>24.99</v>
      </c>
      <c r="T37" s="4">
        <f>44.94-36.67</f>
        <v>8.269999999999996</v>
      </c>
      <c r="U37" s="4">
        <f>24.48-20.69</f>
        <v>3.7899999999999991</v>
      </c>
      <c r="V37" s="5">
        <f>37.99-24.99</f>
        <v>13.000000000000004</v>
      </c>
      <c r="W37" s="4">
        <v>40.229999999999997</v>
      </c>
      <c r="X37" s="4">
        <v>22.21</v>
      </c>
      <c r="Y37" s="5">
        <v>36.200000000000003</v>
      </c>
      <c r="Z37" s="4">
        <v>32.479999999999997</v>
      </c>
      <c r="AA37" s="4">
        <v>15.49</v>
      </c>
      <c r="AB37" s="5">
        <v>34</v>
      </c>
      <c r="AC37" s="4">
        <v>5.07</v>
      </c>
      <c r="AD37" s="4">
        <v>2.31</v>
      </c>
      <c r="AE37" s="5">
        <v>9.3800000000000008</v>
      </c>
      <c r="AF37" s="4" t="s">
        <v>43</v>
      </c>
      <c r="AG37" s="4" t="s">
        <v>43</v>
      </c>
      <c r="AH37" s="5" t="s">
        <v>43</v>
      </c>
      <c r="AI37" s="4">
        <f>(5.07+2.31)/2</f>
        <v>3.6900000000000004</v>
      </c>
      <c r="AJ37" s="4">
        <f>(2.31+9.38)/2</f>
        <v>5.8450000000000006</v>
      </c>
      <c r="AK37" s="5">
        <f>(9.38+6.62)/2</f>
        <v>8</v>
      </c>
      <c r="AL37" s="19">
        <v>98</v>
      </c>
      <c r="AM37" s="19"/>
      <c r="AN37" s="20"/>
    </row>
    <row r="38" spans="1:40">
      <c r="A38" s="5" t="s">
        <v>25</v>
      </c>
      <c r="B38" s="4">
        <f>3734.04-6050.97</f>
        <v>-2316.9300000000003</v>
      </c>
      <c r="C38" s="4">
        <f>6405.34-6216.33</f>
        <v>189.01000000000022</v>
      </c>
      <c r="D38" s="5">
        <f>7049.04-632.81</f>
        <v>6416.23</v>
      </c>
      <c r="E38" s="19" t="s">
        <v>43</v>
      </c>
      <c r="F38" s="19"/>
      <c r="G38" s="20"/>
      <c r="H38" s="4">
        <v>1317.35</v>
      </c>
      <c r="I38" s="4">
        <v>2183.23</v>
      </c>
      <c r="J38" s="5">
        <v>2611.61</v>
      </c>
      <c r="K38" s="4">
        <f>10.61+149.3-402.83</f>
        <v>-242.91999999999996</v>
      </c>
      <c r="L38" s="4">
        <f>146.84+157.83-865.08</f>
        <v>-560.41000000000008</v>
      </c>
      <c r="M38" s="5">
        <f>495.92+374.11-462.66</f>
        <v>407.36999999999995</v>
      </c>
      <c r="N38" s="4">
        <v>-2527.6999999999998</v>
      </c>
      <c r="O38" s="4">
        <v>-572.83000000000004</v>
      </c>
      <c r="P38" s="5">
        <v>-369.99</v>
      </c>
      <c r="Q38" s="4">
        <f>2624.58+3426.39</f>
        <v>6050.9699999999993</v>
      </c>
      <c r="R38" s="4">
        <f>2996.32+3220.01</f>
        <v>6216.33</v>
      </c>
      <c r="S38" s="5">
        <f>3509.84+2822.97</f>
        <v>6332.8099999999995</v>
      </c>
      <c r="T38" s="4">
        <f>3734.04-6050.97</f>
        <v>-2316.9300000000003</v>
      </c>
      <c r="U38" s="4">
        <f>6405.34-6216.33</f>
        <v>189.01000000000022</v>
      </c>
      <c r="V38" s="5">
        <f>7049.04-632.81</f>
        <v>6416.23</v>
      </c>
      <c r="W38" s="4">
        <v>778.51</v>
      </c>
      <c r="X38" s="4">
        <v>2685.04</v>
      </c>
      <c r="Y38" s="5">
        <v>3450.8</v>
      </c>
      <c r="Z38" s="4">
        <v>3426.39</v>
      </c>
      <c r="AA38" s="4">
        <v>3220.02</v>
      </c>
      <c r="AB38" s="5">
        <v>2822.97</v>
      </c>
      <c r="AC38" s="4">
        <v>113.99</v>
      </c>
      <c r="AD38" s="4">
        <v>1031.24</v>
      </c>
      <c r="AE38" s="5">
        <v>1710.91</v>
      </c>
      <c r="AF38" s="4">
        <v>773.42</v>
      </c>
      <c r="AG38" s="4">
        <v>1594.51</v>
      </c>
      <c r="AH38" s="5">
        <v>1572.17</v>
      </c>
      <c r="AI38" s="4">
        <f>(113.99+1031.24)/2</f>
        <v>572.61500000000001</v>
      </c>
      <c r="AJ38" s="4">
        <f>(1031.24+1710.91)/2</f>
        <v>1371.075</v>
      </c>
      <c r="AK38" s="5">
        <f>(1710.91+1446.71)/2</f>
        <v>1578.81</v>
      </c>
      <c r="AL38" s="19">
        <v>1.19</v>
      </c>
      <c r="AM38" s="19"/>
      <c r="AN38" s="20"/>
    </row>
    <row r="39" spans="1:40">
      <c r="A39" s="5" t="s">
        <v>26</v>
      </c>
      <c r="B39" s="4">
        <f>99.34-82.17</f>
        <v>17.170000000000002</v>
      </c>
      <c r="C39" s="4">
        <f>120.87-85.45</f>
        <v>35.42</v>
      </c>
      <c r="D39" s="5">
        <f>132.38-99.32</f>
        <v>33.06</v>
      </c>
      <c r="E39" s="23">
        <v>10723207</v>
      </c>
      <c r="F39" s="23"/>
      <c r="G39" s="24"/>
      <c r="H39" s="4">
        <v>128.01</v>
      </c>
      <c r="I39" s="4">
        <v>124.17</v>
      </c>
      <c r="J39" s="5">
        <v>125.57</v>
      </c>
      <c r="K39" s="4">
        <f>4.38+4.2-18.27</f>
        <v>-9.69</v>
      </c>
      <c r="L39" s="4">
        <f>5.45+4.16+1.77</f>
        <v>11.379999999999999</v>
      </c>
      <c r="M39" s="5">
        <f>0.86+4.52+1.55</f>
        <v>6.93</v>
      </c>
      <c r="N39" s="4">
        <v>-18.27</v>
      </c>
      <c r="O39" s="4">
        <v>2.62</v>
      </c>
      <c r="P39" s="5">
        <v>1.71</v>
      </c>
      <c r="Q39" s="4">
        <f>44.91+37.26</f>
        <v>82.169999999999987</v>
      </c>
      <c r="R39" s="4">
        <f>46.61+38.84</f>
        <v>85.45</v>
      </c>
      <c r="S39" s="5">
        <f>50.8+48.52</f>
        <v>99.32</v>
      </c>
      <c r="T39" s="4">
        <f>99.34-82.17</f>
        <v>17.170000000000002</v>
      </c>
      <c r="U39" s="4">
        <f>120.87-85.45</f>
        <v>35.42</v>
      </c>
      <c r="V39" s="5">
        <f>132.38-99.32</f>
        <v>33.06</v>
      </c>
      <c r="W39" s="4">
        <v>51.27</v>
      </c>
      <c r="X39" s="4">
        <v>70.3</v>
      </c>
      <c r="Y39" s="5">
        <v>77.319999999999993</v>
      </c>
      <c r="Z39" s="4">
        <v>37.26</v>
      </c>
      <c r="AA39" s="4">
        <v>38.840000000000003</v>
      </c>
      <c r="AB39" s="5">
        <v>48.52</v>
      </c>
      <c r="AC39" s="4">
        <v>17.05</v>
      </c>
      <c r="AD39" s="4">
        <v>32.28</v>
      </c>
      <c r="AE39" s="5">
        <v>37.450000000000003</v>
      </c>
      <c r="AF39" s="4">
        <v>78.069999999999993</v>
      </c>
      <c r="AG39" s="4">
        <v>69.53</v>
      </c>
      <c r="AH39" s="5">
        <v>73.510000000000005</v>
      </c>
      <c r="AI39" s="4">
        <f>(32.28+17.05)/2</f>
        <v>24.664999999999999</v>
      </c>
      <c r="AJ39" s="4">
        <f>(32.28+37.45)/2</f>
        <v>34.865000000000002</v>
      </c>
      <c r="AK39" s="5">
        <f>(37.45+43.58)/2</f>
        <v>40.515000000000001</v>
      </c>
      <c r="AL39" s="19">
        <v>20.95</v>
      </c>
      <c r="AM39" s="19"/>
      <c r="AN39" s="20"/>
    </row>
    <row r="40" spans="1:40">
      <c r="A40" s="5" t="s">
        <v>27</v>
      </c>
      <c r="B40" s="4">
        <f>66-138.85</f>
        <v>-72.849999999999994</v>
      </c>
      <c r="C40" s="4">
        <f>67.21-167.55</f>
        <v>-100.34000000000002</v>
      </c>
      <c r="D40" s="5">
        <f>118.96-232.06</f>
        <v>-113.10000000000001</v>
      </c>
      <c r="E40" s="23">
        <v>27452680</v>
      </c>
      <c r="F40" s="23"/>
      <c r="G40" s="24"/>
      <c r="H40" s="4">
        <v>104.88</v>
      </c>
      <c r="I40" s="4">
        <v>82.32</v>
      </c>
      <c r="J40" s="5">
        <v>75.86</v>
      </c>
      <c r="K40" s="4">
        <f>0.38+2.86+16.53</f>
        <v>19.77</v>
      </c>
      <c r="L40" s="4">
        <f>3.64+15.49</f>
        <v>19.13</v>
      </c>
      <c r="M40" s="5">
        <f>2+4.69-4.69</f>
        <v>2</v>
      </c>
      <c r="N40" s="4">
        <v>30.84</v>
      </c>
      <c r="O40" s="4">
        <v>16.850000000000001</v>
      </c>
      <c r="P40" s="5">
        <v>-5.0199999999999996</v>
      </c>
      <c r="Q40" s="4">
        <f>118.48+20.37</f>
        <v>138.85</v>
      </c>
      <c r="R40" s="4">
        <f>116.22+51.33</f>
        <v>167.55</v>
      </c>
      <c r="S40" s="5">
        <f>107.14+124.92</f>
        <v>232.06</v>
      </c>
      <c r="T40" s="4">
        <f>66-138.85</f>
        <v>-72.849999999999994</v>
      </c>
      <c r="U40" s="4">
        <f>67.21-167.55</f>
        <v>-100.34000000000002</v>
      </c>
      <c r="V40" s="5">
        <f>118.96-232.06</f>
        <v>-113.10000000000001</v>
      </c>
      <c r="W40" s="4">
        <v>43.06</v>
      </c>
      <c r="X40" s="4">
        <v>40.090000000000003</v>
      </c>
      <c r="Y40" s="5">
        <v>90.66</v>
      </c>
      <c r="Z40" s="4">
        <v>20.37</v>
      </c>
      <c r="AA40" s="4">
        <v>51.33</v>
      </c>
      <c r="AB40" s="5">
        <v>124.92</v>
      </c>
      <c r="AC40" s="4">
        <v>21.4</v>
      </c>
      <c r="AD40" s="4">
        <v>21.15</v>
      </c>
      <c r="AE40" s="5">
        <v>30.9</v>
      </c>
      <c r="AF40" s="4">
        <v>63.32</v>
      </c>
      <c r="AG40" s="4">
        <v>39.47</v>
      </c>
      <c r="AH40" s="5">
        <v>41.07</v>
      </c>
      <c r="AI40" s="4">
        <f>(21.4+21.15)/2</f>
        <v>21.274999999999999</v>
      </c>
      <c r="AJ40" s="4">
        <f>(21.15+30.9)/2</f>
        <v>26.024999999999999</v>
      </c>
      <c r="AK40" s="5">
        <f>(30.9+39.72)/2</f>
        <v>35.31</v>
      </c>
      <c r="AL40" s="19">
        <v>7.9</v>
      </c>
      <c r="AM40" s="19"/>
      <c r="AN40" s="20"/>
    </row>
    <row r="41" spans="1:40">
      <c r="A41" s="5" t="s">
        <v>28</v>
      </c>
      <c r="B41" s="4">
        <v>2.41</v>
      </c>
      <c r="C41" s="4">
        <v>16.82</v>
      </c>
      <c r="D41" s="5">
        <f>174.91-232.06</f>
        <v>-57.150000000000006</v>
      </c>
      <c r="E41" s="23">
        <v>3188474</v>
      </c>
      <c r="F41" s="23"/>
      <c r="G41" s="24"/>
      <c r="H41" s="4">
        <v>8</v>
      </c>
      <c r="I41" s="4">
        <v>9.69</v>
      </c>
      <c r="J41" s="5">
        <v>7.99</v>
      </c>
      <c r="K41" s="4">
        <f>16+0.03-14.1</f>
        <v>1.9300000000000015</v>
      </c>
      <c r="L41" s="4">
        <f>16+0.03-14.33</f>
        <v>1.7000000000000011</v>
      </c>
      <c r="M41" s="5">
        <v>1.01</v>
      </c>
      <c r="N41" s="4">
        <v>-14.41</v>
      </c>
      <c r="O41" s="4">
        <v>-15.03</v>
      </c>
      <c r="P41" s="5">
        <v>0.61</v>
      </c>
      <c r="Q41" s="4">
        <v>170.92</v>
      </c>
      <c r="R41" s="4">
        <v>157.15</v>
      </c>
      <c r="S41" s="5">
        <v>4.22</v>
      </c>
      <c r="T41" s="4">
        <v>2.41</v>
      </c>
      <c r="U41" s="4">
        <v>16.82</v>
      </c>
      <c r="V41" s="5">
        <f>174.91-232.06</f>
        <v>-57.150000000000006</v>
      </c>
      <c r="W41" s="4">
        <v>6.51</v>
      </c>
      <c r="X41" s="4">
        <v>6.89</v>
      </c>
      <c r="Y41" s="5">
        <v>19.23</v>
      </c>
      <c r="Z41" s="4">
        <v>170.85</v>
      </c>
      <c r="AA41" s="4">
        <v>157.03</v>
      </c>
      <c r="AB41" s="5">
        <v>2.52</v>
      </c>
      <c r="AC41" s="4">
        <v>1.56</v>
      </c>
      <c r="AD41" s="4">
        <v>1.45</v>
      </c>
      <c r="AE41" s="5">
        <v>1.63</v>
      </c>
      <c r="AF41" s="4">
        <v>0.11</v>
      </c>
      <c r="AG41" s="4">
        <v>0.13</v>
      </c>
      <c r="AH41" s="5">
        <v>0.15</v>
      </c>
      <c r="AI41" s="4">
        <v>1.5049999999999999</v>
      </c>
      <c r="AJ41" s="4">
        <v>1.5549999999999999</v>
      </c>
      <c r="AK41" s="5">
        <v>1.5349999999999999</v>
      </c>
      <c r="AL41" s="19">
        <v>58</v>
      </c>
      <c r="AM41" s="19"/>
      <c r="AN41" s="20"/>
    </row>
    <row r="42" spans="1:40">
      <c r="A42" s="5" t="s">
        <v>29</v>
      </c>
      <c r="B42" s="4">
        <f>682.53-143.18</f>
        <v>539.34999999999991</v>
      </c>
      <c r="C42" s="4">
        <f>1350.88-1303.63</f>
        <v>47.25</v>
      </c>
      <c r="D42" s="5">
        <f>1992.51-1217.87</f>
        <v>774.6400000000001</v>
      </c>
      <c r="E42" s="23">
        <v>33123900</v>
      </c>
      <c r="F42" s="23"/>
      <c r="G42" s="24"/>
      <c r="H42" s="4">
        <v>333.46</v>
      </c>
      <c r="I42" s="4">
        <v>520.27</v>
      </c>
      <c r="J42" s="5">
        <v>1660.04</v>
      </c>
      <c r="K42" s="4">
        <f>168.07+58.96-807.17</f>
        <v>-580.14</v>
      </c>
      <c r="L42" s="4">
        <f>138.05+52.07-748.46</f>
        <v>-558.34</v>
      </c>
      <c r="M42" s="5">
        <f>118.88+40.14+95.04</f>
        <v>254.06</v>
      </c>
      <c r="N42" s="4">
        <v>-799.1</v>
      </c>
      <c r="O42" s="4">
        <v>-728.48</v>
      </c>
      <c r="P42" s="5">
        <v>60.34</v>
      </c>
      <c r="Q42" s="4">
        <f>71.29+1360.89</f>
        <v>1432.18</v>
      </c>
      <c r="R42" s="4">
        <f>178.21+1125.42</f>
        <v>1303.6300000000001</v>
      </c>
      <c r="S42" s="5">
        <f>307.92+909.95</f>
        <v>1217.8700000000001</v>
      </c>
      <c r="T42" s="4">
        <f>682.53-143.18</f>
        <v>539.34999999999991</v>
      </c>
      <c r="U42" s="4">
        <f>1350.88-1303.63</f>
        <v>47.25</v>
      </c>
      <c r="V42" s="5">
        <f>1992.51-1217.87</f>
        <v>774.6400000000001</v>
      </c>
      <c r="W42" s="4">
        <v>113.75</v>
      </c>
      <c r="X42" s="4">
        <v>703.15</v>
      </c>
      <c r="Y42" s="5">
        <v>1276.8399999999999</v>
      </c>
      <c r="Z42" s="4">
        <v>1360.89</v>
      </c>
      <c r="AA42" s="4">
        <v>1125.42</v>
      </c>
      <c r="AB42" s="5">
        <v>909.85</v>
      </c>
      <c r="AC42" s="4">
        <v>34.590000000000003</v>
      </c>
      <c r="AD42" s="4">
        <v>187.09</v>
      </c>
      <c r="AE42" s="5">
        <v>542.44000000000005</v>
      </c>
      <c r="AF42" s="4">
        <v>128.59</v>
      </c>
      <c r="AG42" s="4">
        <v>414.57</v>
      </c>
      <c r="AH42" s="5">
        <v>728.47</v>
      </c>
      <c r="AI42" s="4">
        <f>(34.59+187.09)/2</f>
        <v>110.84</v>
      </c>
      <c r="AJ42" s="4">
        <f>(187.09+542.22)/2</f>
        <v>364.65500000000003</v>
      </c>
      <c r="AK42" s="5">
        <f>(542.42+532.13)/2</f>
        <v>537.27499999999998</v>
      </c>
      <c r="AL42" s="19">
        <v>3.9</v>
      </c>
      <c r="AM42" s="19"/>
      <c r="AN42" s="20"/>
    </row>
  </sheetData>
  <mergeCells count="62">
    <mergeCell ref="B22:D22"/>
    <mergeCell ref="H22:J22"/>
    <mergeCell ref="K22:M22"/>
    <mergeCell ref="N22:P22"/>
    <mergeCell ref="AC1:AE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I22:AK22"/>
    <mergeCell ref="AL22:AN22"/>
    <mergeCell ref="Q22:S22"/>
    <mergeCell ref="T22:V22"/>
    <mergeCell ref="W22:Y22"/>
    <mergeCell ref="Z22:AB22"/>
    <mergeCell ref="AC22:AE22"/>
    <mergeCell ref="E22:G23"/>
    <mergeCell ref="E24:G24"/>
    <mergeCell ref="E25:G25"/>
    <mergeCell ref="E26:G26"/>
    <mergeCell ref="AF22:AH22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42:G42"/>
    <mergeCell ref="E37:G37"/>
    <mergeCell ref="E38:G38"/>
    <mergeCell ref="E39:G39"/>
    <mergeCell ref="E40:G40"/>
    <mergeCell ref="E41:G41"/>
    <mergeCell ref="AL23:AN23"/>
    <mergeCell ref="AL24:AN24"/>
    <mergeCell ref="AL25:AN25"/>
    <mergeCell ref="AL26:AN26"/>
    <mergeCell ref="AL27:AN27"/>
    <mergeCell ref="AL28:AN28"/>
    <mergeCell ref="AL29:AN29"/>
    <mergeCell ref="AL30:AN30"/>
    <mergeCell ref="AL31:AN31"/>
    <mergeCell ref="AL32:AN32"/>
    <mergeCell ref="AL33:AN33"/>
    <mergeCell ref="AL34:AN34"/>
    <mergeCell ref="AL35:AN35"/>
    <mergeCell ref="AL36:AN36"/>
    <mergeCell ref="AL37:AN37"/>
    <mergeCell ref="AL38:AN38"/>
    <mergeCell ref="AL39:AN39"/>
    <mergeCell ref="AL40:AN40"/>
    <mergeCell ref="AL41:AN41"/>
    <mergeCell ref="AL42:AN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"/>
  <sheetViews>
    <sheetView workbookViewId="0" xr3:uid="{AEA406A1-0E4B-5B11-9CD5-51D6E497D94C}">
      <selection activeCell="F17" sqref="F17"/>
    </sheetView>
  </sheetViews>
  <sheetFormatPr defaultRowHeight="15"/>
  <cols>
    <col min="1" max="1" width="15.140625" customWidth="1"/>
    <col min="5" max="7" width="18.42578125" customWidth="1"/>
    <col min="8" max="10" width="16.5703125" customWidth="1"/>
    <col min="11" max="13" width="19" customWidth="1"/>
    <col min="14" max="16" width="15" customWidth="1"/>
    <col min="17" max="19" width="14.85546875" customWidth="1"/>
    <col min="20" max="22" width="10.5703125" customWidth="1"/>
    <col min="23" max="25" width="21.140625" customWidth="1"/>
    <col min="26" max="28" width="18.28515625" customWidth="1"/>
    <col min="29" max="31" width="9.5703125" customWidth="1"/>
    <col min="32" max="34" width="15.42578125" customWidth="1"/>
    <col min="35" max="35" width="13.140625" customWidth="1"/>
    <col min="38" max="38" width="9.140625" style="4"/>
  </cols>
  <sheetData>
    <row r="1" spans="1:40" s="1" customFormat="1">
      <c r="A1" s="12" t="s">
        <v>0</v>
      </c>
      <c r="B1" s="25" t="s">
        <v>1</v>
      </c>
      <c r="C1" s="25"/>
      <c r="D1" s="26"/>
      <c r="E1" s="25" t="s">
        <v>2</v>
      </c>
      <c r="F1" s="25"/>
      <c r="G1" s="26"/>
      <c r="H1" s="25" t="s">
        <v>3</v>
      </c>
      <c r="I1" s="25"/>
      <c r="J1" s="26"/>
      <c r="K1" s="25" t="s">
        <v>4</v>
      </c>
      <c r="L1" s="25"/>
      <c r="M1" s="26"/>
      <c r="N1" s="25" t="s">
        <v>5</v>
      </c>
      <c r="O1" s="25"/>
      <c r="P1" s="26"/>
      <c r="Q1" s="21" t="s">
        <v>6</v>
      </c>
      <c r="R1" s="21"/>
      <c r="S1" s="22"/>
      <c r="T1" s="21" t="s">
        <v>7</v>
      </c>
      <c r="U1" s="21"/>
      <c r="V1" s="22"/>
      <c r="W1" s="21" t="s">
        <v>8</v>
      </c>
      <c r="X1" s="21"/>
      <c r="Y1" s="22"/>
      <c r="Z1" s="21" t="s">
        <v>9</v>
      </c>
      <c r="AA1" s="21"/>
      <c r="AB1" s="22"/>
      <c r="AC1" s="21" t="s">
        <v>10</v>
      </c>
      <c r="AD1" s="21"/>
      <c r="AE1" s="22"/>
      <c r="AL1" s="12"/>
    </row>
    <row r="2" spans="1:40" s="1" customFormat="1">
      <c r="A2" s="15"/>
      <c r="B2" s="13">
        <v>2018</v>
      </c>
      <c r="C2" s="13">
        <v>2017</v>
      </c>
      <c r="D2" s="14">
        <v>2016</v>
      </c>
      <c r="E2" s="13">
        <v>2018</v>
      </c>
      <c r="F2" s="13">
        <v>2017</v>
      </c>
      <c r="G2" s="14">
        <v>2016</v>
      </c>
      <c r="H2" s="13">
        <v>2018</v>
      </c>
      <c r="I2" s="13">
        <v>2017</v>
      </c>
      <c r="J2" s="14">
        <v>2016</v>
      </c>
      <c r="K2" s="13">
        <v>2018</v>
      </c>
      <c r="L2" s="13">
        <v>2017</v>
      </c>
      <c r="M2" s="14">
        <v>2016</v>
      </c>
      <c r="N2" s="13">
        <v>2018</v>
      </c>
      <c r="O2" s="13">
        <v>2017</v>
      </c>
      <c r="P2" s="14">
        <v>2016</v>
      </c>
      <c r="Q2" s="13">
        <v>2018</v>
      </c>
      <c r="R2" s="13">
        <v>2017</v>
      </c>
      <c r="S2" s="14">
        <v>2016</v>
      </c>
      <c r="T2" s="13">
        <v>2018</v>
      </c>
      <c r="U2" s="13">
        <v>2017</v>
      </c>
      <c r="V2" s="14">
        <v>2016</v>
      </c>
      <c r="W2" s="13">
        <v>2018</v>
      </c>
      <c r="X2" s="13">
        <v>2017</v>
      </c>
      <c r="Y2" s="14">
        <v>2016</v>
      </c>
      <c r="Z2" s="13">
        <v>2018</v>
      </c>
      <c r="AA2" s="13">
        <v>2017</v>
      </c>
      <c r="AB2" s="14">
        <v>2016</v>
      </c>
      <c r="AC2" s="13">
        <v>2018</v>
      </c>
      <c r="AD2" s="13">
        <v>2017</v>
      </c>
      <c r="AE2" s="14">
        <v>2016</v>
      </c>
      <c r="AL2" s="7"/>
      <c r="AM2" s="7"/>
      <c r="AN2" s="7"/>
    </row>
    <row r="3" spans="1:40">
      <c r="A3" t="s">
        <v>44</v>
      </c>
      <c r="B3" s="2">
        <v>17.16</v>
      </c>
      <c r="C3" s="2">
        <v>12.37</v>
      </c>
      <c r="D3" s="3">
        <v>16.91</v>
      </c>
      <c r="E3" s="2">
        <f>B20/E20*10000000</f>
        <v>7.0296218226848524</v>
      </c>
      <c r="F3" s="2">
        <f>C20/E20*10000000</f>
        <v>13.460928295990103</v>
      </c>
      <c r="G3" s="3">
        <f>D20/E20*10000000</f>
        <v>15.821511872085939</v>
      </c>
      <c r="H3" s="2">
        <f>(K20/H20)*100</f>
        <v>15.365577495390594</v>
      </c>
      <c r="I3" s="2">
        <f>(L20/I20)*100</f>
        <v>12.961498838017201</v>
      </c>
      <c r="J3" s="3">
        <f>M20/J20</f>
        <v>0.12313154798017842</v>
      </c>
      <c r="K3" s="2">
        <f>N20/H20</f>
        <v>8.4350207710139166E-2</v>
      </c>
      <c r="L3" s="2">
        <f>O20/I20</f>
        <v>6.3469816398731796E-2</v>
      </c>
      <c r="M3" s="3">
        <f>P20/J20</f>
        <v>8.8517087352549567E-2</v>
      </c>
      <c r="N3" s="2">
        <f>Q20/B20</f>
        <v>7.3791920309905903</v>
      </c>
      <c r="O3" s="2">
        <f>R20/C20</f>
        <v>3.4611294144847116</v>
      </c>
      <c r="P3" s="3">
        <f>S20/D20</f>
        <v>2.518465699532825</v>
      </c>
      <c r="Q3" s="4">
        <f>T20/W20</f>
        <v>2.7727451050322767</v>
      </c>
      <c r="R3" s="4">
        <f>U20/X20</f>
        <v>2.752222940748525</v>
      </c>
      <c r="S3" s="5">
        <f>V20/Y20</f>
        <v>2.8285686360748667</v>
      </c>
      <c r="T3" s="4">
        <f>(T20-Z20)/W20</f>
        <v>1.4082706230607371</v>
      </c>
      <c r="U3" s="4">
        <f>(U20-AA20)/X20</f>
        <v>1.3117573357044705</v>
      </c>
      <c r="V3" s="5">
        <f>(V20-AB20)/Y20</f>
        <v>1.1539608073107557</v>
      </c>
      <c r="W3" s="4">
        <f>AC20/AF20</f>
        <v>0.3647164692111477</v>
      </c>
      <c r="X3" s="4">
        <f>AD20/AG20</f>
        <v>0.41686514322497586</v>
      </c>
      <c r="Y3" s="5">
        <f>AE20/AH20</f>
        <v>0.43565339376281431</v>
      </c>
      <c r="Z3" s="4">
        <f>AI20/E3</f>
        <v>154.91587278361922</v>
      </c>
      <c r="AA3" s="4">
        <f>AI20/F3</f>
        <v>80.90080981446161</v>
      </c>
      <c r="AB3" s="5">
        <f>AI20/G3</f>
        <v>68.830337378903351</v>
      </c>
      <c r="AC3" s="4">
        <f>AI20/B3</f>
        <v>63.46153846153846</v>
      </c>
      <c r="AD3" s="4">
        <f>AI20/C3</f>
        <v>88.03556992724333</v>
      </c>
      <c r="AE3" s="5">
        <f>AI20/D3</f>
        <v>64.399763453577762</v>
      </c>
    </row>
    <row r="4" spans="1:40">
      <c r="A4" t="s">
        <v>45</v>
      </c>
      <c r="B4" s="4">
        <v>13.4</v>
      </c>
      <c r="C4" s="4">
        <v>9.99</v>
      </c>
      <c r="D4" s="5">
        <v>10.02</v>
      </c>
      <c r="E4" s="2">
        <f t="shared" ref="E4:E14" si="0">B21/E21*10000000</f>
        <v>63.355863811422203</v>
      </c>
      <c r="F4" s="2">
        <f t="shared" ref="F4:F15" si="1">C21/E21*10000000</f>
        <v>50.349399273052882</v>
      </c>
      <c r="G4" s="3">
        <f t="shared" ref="G4:G15" si="2">D21/E21*10000000</f>
        <v>42.543361662914357</v>
      </c>
      <c r="H4" s="2">
        <f t="shared" ref="H4:H15" si="3">(K21/H21)*100</f>
        <v>15.629301818107658</v>
      </c>
      <c r="I4" s="2">
        <f t="shared" ref="I4:I15" si="4">(L21/I21)*100</f>
        <v>14.866606678177972</v>
      </c>
      <c r="J4" s="3">
        <f t="shared" ref="J4:J15" si="5">M21/J21</f>
        <v>0.14186687810082377</v>
      </c>
      <c r="K4" s="2">
        <f t="shared" ref="K4:K15" si="6">N21/H21</f>
        <v>8.2120751715628784E-2</v>
      </c>
      <c r="L4" s="2">
        <f t="shared" ref="L4:L15" si="7">O21/I21</f>
        <v>7.2928573165689833E-2</v>
      </c>
      <c r="M4" s="3">
        <f t="shared" ref="M4:M15" si="8">P21/J21</f>
        <v>7.0123071003398887E-2</v>
      </c>
      <c r="N4" s="2">
        <f t="shared" ref="N4:N15" si="9">Q21/B21</f>
        <v>0.66279603150679545</v>
      </c>
      <c r="O4" s="2">
        <f t="shared" ref="O4:O15" si="10">R21/C21</f>
        <v>0.76515988587825934</v>
      </c>
      <c r="P4" s="3">
        <f t="shared" ref="P4:P15" si="11">S21/D21</f>
        <v>1.0085877117651652</v>
      </c>
      <c r="Q4" s="4">
        <f>T21/W21</f>
        <v>1.3394850973516654</v>
      </c>
      <c r="R4" s="4">
        <f>U21/X21</f>
        <v>1.2413649373384834</v>
      </c>
      <c r="S4" s="5">
        <f>V21/Y21</f>
        <v>1.1582560553633219</v>
      </c>
      <c r="T4" s="4">
        <f t="shared" ref="T4:T15" si="12">(T21-Z21)/W21</f>
        <v>0.61527636799852348</v>
      </c>
      <c r="U4" s="4">
        <f t="shared" ref="U4:U15" si="13">(U21-AA21)/X21</f>
        <v>0.43493483758023743</v>
      </c>
      <c r="V4" s="5">
        <f t="shared" ref="V4:V15" si="14">(V21-AB21)/Y21</f>
        <v>0.3670034602076126</v>
      </c>
      <c r="W4" s="4">
        <f t="shared" ref="W4:W15" si="15">AC21/AF21</f>
        <v>2.3361803555467278</v>
      </c>
      <c r="X4" s="4">
        <f t="shared" ref="X4:X15" si="16">AD21/AG21</f>
        <v>2.0141654370280357</v>
      </c>
      <c r="Y4" s="5">
        <f t="shared" ref="Y4:Y15" si="17">AE21/AH21</f>
        <v>2.2310484172715705</v>
      </c>
      <c r="Z4" s="4">
        <f>AI21/E4</f>
        <v>11.522216825467556</v>
      </c>
      <c r="AA4" s="4">
        <f>AI21/F4</f>
        <v>14.498683411118625</v>
      </c>
      <c r="AB4" s="5">
        <f>AI21/G4</f>
        <v>17.158963736435318</v>
      </c>
      <c r="AC4" s="4">
        <f>AI21/B4</f>
        <v>54.477611940298509</v>
      </c>
      <c r="AD4" s="4">
        <f>AI21/C4</f>
        <v>73.073073073073076</v>
      </c>
      <c r="AE4" s="5">
        <f>AI21/D4</f>
        <v>72.854291417165669</v>
      </c>
    </row>
    <row r="5" spans="1:40">
      <c r="A5" t="s">
        <v>46</v>
      </c>
      <c r="B5" s="2">
        <v>21.6</v>
      </c>
      <c r="C5" s="2">
        <v>17.71</v>
      </c>
      <c r="D5" s="3">
        <v>14.59</v>
      </c>
      <c r="E5" s="2">
        <f t="shared" si="0"/>
        <v>149.46342197445088</v>
      </c>
      <c r="F5" s="2">
        <f t="shared" si="1"/>
        <v>102.37281668932899</v>
      </c>
      <c r="G5" s="3">
        <f t="shared" si="2"/>
        <v>85.922825053448577</v>
      </c>
      <c r="H5" s="2">
        <f t="shared" si="3"/>
        <v>11.207567581830416</v>
      </c>
      <c r="I5" s="2">
        <f t="shared" si="4"/>
        <v>11.311959981809915</v>
      </c>
      <c r="J5" s="3">
        <f t="shared" si="5"/>
        <v>0.10515375907057883</v>
      </c>
      <c r="K5" s="2">
        <f t="shared" si="6"/>
        <v>5.0001978970143933E-2</v>
      </c>
      <c r="L5" s="2">
        <f t="shared" si="7"/>
        <v>4.97628792308192E-2</v>
      </c>
      <c r="M5" s="3">
        <f t="shared" si="8"/>
        <v>4.6842232243935931E-2</v>
      </c>
      <c r="N5" s="2">
        <f t="shared" si="9"/>
        <v>0.82347903790304544</v>
      </c>
      <c r="O5" s="2">
        <f t="shared" si="10"/>
        <v>1.2023265927375517</v>
      </c>
      <c r="P5" s="3">
        <f t="shared" si="11"/>
        <v>1.2817357512953367</v>
      </c>
      <c r="Q5" s="4">
        <f>T22/W22</f>
        <v>1.4869443797998605</v>
      </c>
      <c r="R5" s="4">
        <f>U22/X22</f>
        <v>1.104636188023181</v>
      </c>
      <c r="S5" s="5">
        <f>V22/Y22</f>
        <v>1.0143322103580197</v>
      </c>
      <c r="T5" s="4">
        <f t="shared" si="12"/>
        <v>0.89727717011868757</v>
      </c>
      <c r="U5" s="4">
        <f t="shared" si="13"/>
        <v>0.57818967896237694</v>
      </c>
      <c r="V5" s="5">
        <f t="shared" si="14"/>
        <v>0.43824587449323354</v>
      </c>
      <c r="W5" s="4">
        <f t="shared" si="15"/>
        <v>1.1144101181837032</v>
      </c>
      <c r="X5" s="4">
        <f t="shared" si="16"/>
        <v>0.97608544230322725</v>
      </c>
      <c r="Y5" s="5">
        <f t="shared" si="17"/>
        <v>0.70974053197931719</v>
      </c>
      <c r="Z5" s="4">
        <f>AI22/E5</f>
        <v>3.1579632913843172</v>
      </c>
      <c r="AA5" s="4">
        <f>AI22/F5</f>
        <v>4.610598938899761</v>
      </c>
      <c r="AB5" s="5">
        <f>AI22/G5</f>
        <v>5.4933016891191704</v>
      </c>
      <c r="AC5" s="4">
        <f>AI22/B5</f>
        <v>21.851851851851851</v>
      </c>
      <c r="AD5" s="4">
        <f>AI22/C5</f>
        <v>26.651609260304912</v>
      </c>
      <c r="AE5" s="5">
        <f>AI22/D5</f>
        <v>32.350925291295411</v>
      </c>
    </row>
    <row r="6" spans="1:40">
      <c r="A6" t="s">
        <v>47</v>
      </c>
      <c r="B6" s="2">
        <v>10.26</v>
      </c>
      <c r="C6" s="2">
        <v>8.5</v>
      </c>
      <c r="D6" s="3">
        <v>5.33</v>
      </c>
      <c r="E6" s="2">
        <f t="shared" si="0"/>
        <v>101.39530046735815</v>
      </c>
      <c r="F6" s="2">
        <f t="shared" si="1"/>
        <v>91.130944401855174</v>
      </c>
      <c r="G6" s="3">
        <f t="shared" si="2"/>
        <v>85.277240177822222</v>
      </c>
      <c r="H6" s="2">
        <f t="shared" si="3"/>
        <v>23.766533697249635</v>
      </c>
      <c r="I6" s="2">
        <f t="shared" si="4"/>
        <v>21.84932184932185</v>
      </c>
      <c r="J6" s="3">
        <f t="shared" si="5"/>
        <v>0.22852316602316605</v>
      </c>
      <c r="K6" s="2">
        <f t="shared" si="6"/>
        <v>0.14955560221149139</v>
      </c>
      <c r="L6" s="2">
        <f t="shared" si="7"/>
        <v>0.13266013266013266</v>
      </c>
      <c r="M6" s="3">
        <f t="shared" si="8"/>
        <v>0.13634169884169886</v>
      </c>
      <c r="N6" s="2">
        <f t="shared" si="9"/>
        <v>0.13079275464596565</v>
      </c>
      <c r="O6" s="2">
        <f t="shared" si="10"/>
        <v>7.7255278310940506E-2</v>
      </c>
      <c r="P6" s="3">
        <f t="shared" si="11"/>
        <v>3.4286646621448383E-2</v>
      </c>
      <c r="Q6" s="4">
        <f>T23/W23</f>
        <v>1.6520385932150636</v>
      </c>
      <c r="R6" s="4">
        <f>U23/X23</f>
        <v>1.4622991347342398</v>
      </c>
      <c r="S6" s="5">
        <f>V23/Y23</f>
        <v>4.6570561456752655</v>
      </c>
      <c r="T6" s="4">
        <f t="shared" si="12"/>
        <v>1.3224400871459692</v>
      </c>
      <c r="U6" s="4">
        <f t="shared" si="13"/>
        <v>0.87330037082818301</v>
      </c>
      <c r="V6" s="5">
        <f t="shared" si="14"/>
        <v>4.0288315629742035</v>
      </c>
      <c r="W6" s="4">
        <f t="shared" si="15"/>
        <v>0</v>
      </c>
      <c r="X6" s="4">
        <f t="shared" si="16"/>
        <v>0</v>
      </c>
      <c r="Y6" s="5">
        <f t="shared" si="17"/>
        <v>0</v>
      </c>
      <c r="Z6" s="4">
        <f>AI23/E6</f>
        <v>1.943383954598918</v>
      </c>
      <c r="AA6" s="4">
        <f>AI23/F6</f>
        <v>2.162273213488048</v>
      </c>
      <c r="AB6" s="5">
        <f>AI23/G6</f>
        <v>2.3106986059716106</v>
      </c>
      <c r="AC6" s="4">
        <f>AI23/B6</f>
        <v>19.205653021442497</v>
      </c>
      <c r="AD6" s="4">
        <f>AI23/C6</f>
        <v>23.182352941176472</v>
      </c>
      <c r="AE6" s="5">
        <f>AI23/D6</f>
        <v>36.969981238273924</v>
      </c>
    </row>
    <row r="7" spans="1:40">
      <c r="A7" t="s">
        <v>48</v>
      </c>
      <c r="B7" s="2">
        <v>10.87</v>
      </c>
      <c r="C7" s="2">
        <v>10.65</v>
      </c>
      <c r="D7" s="3">
        <v>12.96</v>
      </c>
      <c r="E7" s="2">
        <f t="shared" si="0"/>
        <v>384.54102093679705</v>
      </c>
      <c r="F7" s="2">
        <f t="shared" si="1"/>
        <v>239.64673894311207</v>
      </c>
      <c r="G7" s="3">
        <f t="shared" si="2"/>
        <v>202.95539691809134</v>
      </c>
      <c r="H7" s="2">
        <f t="shared" si="3"/>
        <v>7.5344469676916006</v>
      </c>
      <c r="I7" s="2">
        <f t="shared" si="4"/>
        <v>7.1883727030071132</v>
      </c>
      <c r="J7" s="3">
        <f t="shared" si="5"/>
        <v>8.6246901023456876E-2</v>
      </c>
      <c r="K7" s="2">
        <f t="shared" si="6"/>
        <v>2.5927525530462403E-2</v>
      </c>
      <c r="L7" s="2">
        <f t="shared" si="7"/>
        <v>2.866708839276071E-2</v>
      </c>
      <c r="M7" s="3">
        <f t="shared" si="8"/>
        <v>3.6107049774330935E-2</v>
      </c>
      <c r="N7" s="2">
        <f t="shared" si="9"/>
        <v>0.94190959921464845</v>
      </c>
      <c r="O7" s="2">
        <f t="shared" si="10"/>
        <v>1.1205396890623931</v>
      </c>
      <c r="P7" s="3">
        <f t="shared" si="11"/>
        <v>1.2013667057539124</v>
      </c>
      <c r="Q7" s="4">
        <f>T24/W24</f>
        <v>1.3021229163500025</v>
      </c>
      <c r="R7" s="4">
        <f>U24/X24</f>
        <v>1.3918979953444743</v>
      </c>
      <c r="S7" s="5">
        <f>V24/Y24</f>
        <v>1.3109548565658076</v>
      </c>
      <c r="T7" s="4">
        <f t="shared" si="12"/>
        <v>0.47350154532097083</v>
      </c>
      <c r="U7" s="4">
        <f t="shared" si="13"/>
        <v>0.47215370183789035</v>
      </c>
      <c r="V7" s="5">
        <f t="shared" si="14"/>
        <v>0.42648763885252644</v>
      </c>
      <c r="W7" s="4">
        <f t="shared" si="15"/>
        <v>0.83072555844682494</v>
      </c>
      <c r="X7" s="4">
        <f t="shared" si="16"/>
        <v>0.80545080904211808</v>
      </c>
      <c r="Y7" s="5">
        <f t="shared" si="17"/>
        <v>1.0148979838222867</v>
      </c>
      <c r="Z7" s="4">
        <f>AI24/E7</f>
        <v>0.60188637206026707</v>
      </c>
      <c r="AA7" s="4">
        <f>AI24/F7</f>
        <v>0.9657965763303884</v>
      </c>
      <c r="AB7" s="5">
        <f>AI24/G7</f>
        <v>1.1403983511382478</v>
      </c>
      <c r="AC7" s="4">
        <f>AI24/B7</f>
        <v>21.292548298068077</v>
      </c>
      <c r="AD7" s="4">
        <f>AI24/C7</f>
        <v>21.73239436619718</v>
      </c>
      <c r="AE7" s="5">
        <f>AI24/D7</f>
        <v>17.858796296296294</v>
      </c>
    </row>
    <row r="8" spans="1:40">
      <c r="A8" t="s">
        <v>49</v>
      </c>
      <c r="B8" s="2">
        <v>4</v>
      </c>
      <c r="C8" s="2">
        <v>6</v>
      </c>
      <c r="D8" s="3">
        <v>10</v>
      </c>
      <c r="E8" s="2">
        <f t="shared" si="0"/>
        <v>95.199530516431935</v>
      </c>
      <c r="F8" s="2">
        <f t="shared" si="1"/>
        <v>95.01760563380283</v>
      </c>
      <c r="G8" s="3">
        <f t="shared" si="2"/>
        <v>85.457746478873233</v>
      </c>
      <c r="H8" s="2">
        <f t="shared" si="3"/>
        <v>8.0085231270227339</v>
      </c>
      <c r="I8" s="2">
        <f t="shared" si="4"/>
        <v>9.5267430859607032</v>
      </c>
      <c r="J8" s="3">
        <f t="shared" si="5"/>
        <v>8.3737195203071269E-2</v>
      </c>
      <c r="K8" s="2">
        <f t="shared" si="6"/>
        <v>1.2844995678131342E-2</v>
      </c>
      <c r="L8" s="2">
        <f t="shared" si="7"/>
        <v>2.2133726430661593E-2</v>
      </c>
      <c r="M8" s="3">
        <f t="shared" si="8"/>
        <v>3.2156907463367357E-2</v>
      </c>
      <c r="N8" s="2">
        <f t="shared" si="9"/>
        <v>1.6271729749722594</v>
      </c>
      <c r="O8" s="2">
        <f t="shared" si="10"/>
        <v>1.4495707491816439</v>
      </c>
      <c r="P8" s="3">
        <f t="shared" si="11"/>
        <v>1.7854690289795356</v>
      </c>
      <c r="Q8" s="4">
        <f>T25/W25</f>
        <v>1.2561816788350613</v>
      </c>
      <c r="R8" s="4">
        <f>U25/X25</f>
        <v>1.2302745598832436</v>
      </c>
      <c r="S8" s="5">
        <f>V25/Y25</f>
        <v>1.1946118987236518</v>
      </c>
      <c r="T8" s="4">
        <f t="shared" si="12"/>
        <v>0.59404622645314842</v>
      </c>
      <c r="U8" s="4">
        <f t="shared" si="13"/>
        <v>0.58683754446775516</v>
      </c>
      <c r="V8" s="5">
        <f t="shared" si="14"/>
        <v>0.59921839271608512</v>
      </c>
      <c r="W8" s="4">
        <f t="shared" si="15"/>
        <v>1.1988336664154899</v>
      </c>
      <c r="X8" s="4">
        <f t="shared" si="16"/>
        <v>0.56741355657954906</v>
      </c>
      <c r="Y8" s="5">
        <f t="shared" si="17"/>
        <v>1.6210633386800204</v>
      </c>
      <c r="Z8" s="4">
        <f>AI25/E8</f>
        <v>1.6255332264825544</v>
      </c>
      <c r="AA8" s="4">
        <f>AI25/F8</f>
        <v>1.6286455438206409</v>
      </c>
      <c r="AB8" s="5">
        <f>AI25/G8</f>
        <v>1.8108364235681913</v>
      </c>
      <c r="AC8" s="4">
        <f>AI25/B8</f>
        <v>38.6875</v>
      </c>
      <c r="AD8" s="4">
        <f>AI25/C8</f>
        <v>25.791666666666668</v>
      </c>
      <c r="AE8" s="5">
        <f>AI25/D8</f>
        <v>15.475</v>
      </c>
    </row>
    <row r="9" spans="1:40">
      <c r="A9" t="s">
        <v>50</v>
      </c>
      <c r="B9" s="2">
        <v>11.7</v>
      </c>
      <c r="C9" s="2">
        <v>11.78</v>
      </c>
      <c r="D9" s="3">
        <v>11.81</v>
      </c>
      <c r="E9" s="2">
        <f t="shared" si="0"/>
        <v>192.77097505668937</v>
      </c>
      <c r="F9" s="2">
        <f t="shared" si="1"/>
        <v>189.51473922902494</v>
      </c>
      <c r="G9" s="3">
        <f t="shared" si="2"/>
        <v>183.1292517006803</v>
      </c>
      <c r="H9" s="2">
        <f t="shared" si="3"/>
        <v>9.1066351780261439</v>
      </c>
      <c r="I9" s="2">
        <f t="shared" si="4"/>
        <v>7.7042997980757812</v>
      </c>
      <c r="J9" s="3">
        <f t="shared" si="5"/>
        <v>0.11392510286925561</v>
      </c>
      <c r="K9" s="2">
        <f t="shared" si="6"/>
        <v>2.6519652822695888E-2</v>
      </c>
      <c r="L9" s="2">
        <f t="shared" si="7"/>
        <v>1.2427247891673595E-2</v>
      </c>
      <c r="M9" s="3">
        <f t="shared" si="8"/>
        <v>3.8681610994887712E-2</v>
      </c>
      <c r="N9" s="2">
        <f t="shared" si="9"/>
        <v>1.9253752411424265</v>
      </c>
      <c r="O9" s="2">
        <f t="shared" si="10"/>
        <v>1.804154302670623</v>
      </c>
      <c r="P9" s="3">
        <f t="shared" si="11"/>
        <v>1.9463100544824166</v>
      </c>
      <c r="Q9" s="4">
        <f>T26/W26</f>
        <v>1.2967909800520383</v>
      </c>
      <c r="R9" s="4">
        <f>U26/X26</f>
        <v>1.242970553815985</v>
      </c>
      <c r="S9" s="5">
        <f>V26/Y26</f>
        <v>1.233383640205252</v>
      </c>
      <c r="T9" s="4">
        <f t="shared" si="12"/>
        <v>0.70286209887250661</v>
      </c>
      <c r="U9" s="4">
        <f t="shared" si="13"/>
        <v>0.59566056235569476</v>
      </c>
      <c r="V9" s="5">
        <f t="shared" si="14"/>
        <v>0.58379112586779347</v>
      </c>
      <c r="W9" s="4">
        <f t="shared" si="15"/>
        <v>1.470178005364545</v>
      </c>
      <c r="X9" s="4">
        <f t="shared" si="16"/>
        <v>1.4927477552575796</v>
      </c>
      <c r="Y9" s="5">
        <f t="shared" si="17"/>
        <v>1.6198982581991233</v>
      </c>
      <c r="Z9" s="4">
        <f>AI26/E9</f>
        <v>0.64843786759516298</v>
      </c>
      <c r="AA9" s="4">
        <f>AI26/F9</f>
        <v>0.6595793050636547</v>
      </c>
      <c r="AB9" s="5">
        <f>AI26/G9</f>
        <v>0.68257800891530451</v>
      </c>
      <c r="AC9" s="4">
        <f>AI26/B9</f>
        <v>10.683760683760685</v>
      </c>
      <c r="AD9" s="4">
        <f>AI26/C9</f>
        <v>10.611205432937183</v>
      </c>
      <c r="AE9" s="5">
        <f>AI26/D9</f>
        <v>10.584250635055037</v>
      </c>
    </row>
    <row r="10" spans="1:40">
      <c r="A10" t="s">
        <v>51</v>
      </c>
      <c r="B10" s="2">
        <v>1</v>
      </c>
      <c r="C10" s="2">
        <v>1</v>
      </c>
      <c r="D10" s="3">
        <v>0</v>
      </c>
      <c r="E10" s="2">
        <f t="shared" si="0"/>
        <v>21.522357335611119</v>
      </c>
      <c r="F10" s="2">
        <f t="shared" si="1"/>
        <v>20.681640252188807</v>
      </c>
      <c r="G10" s="3">
        <f t="shared" si="2"/>
        <v>19.614295085409175</v>
      </c>
      <c r="H10" s="2">
        <f t="shared" si="3"/>
        <v>8.3084391336818531</v>
      </c>
      <c r="I10" s="2">
        <f t="shared" si="4"/>
        <v>12.707482993197278</v>
      </c>
      <c r="J10" s="3">
        <f t="shared" si="5"/>
        <v>8.1576535288725952E-2</v>
      </c>
      <c r="K10" s="2">
        <f t="shared" si="6"/>
        <v>2.1844660194174755E-2</v>
      </c>
      <c r="L10" s="2">
        <f t="shared" si="7"/>
        <v>0.04</v>
      </c>
      <c r="M10" s="3">
        <f t="shared" si="8"/>
        <v>1.5582034830430799E-2</v>
      </c>
      <c r="N10" s="2">
        <f t="shared" si="9"/>
        <v>0.78566576086956519</v>
      </c>
      <c r="O10" s="2">
        <f t="shared" si="10"/>
        <v>0.61223047013078824</v>
      </c>
      <c r="P10" s="3">
        <f t="shared" si="11"/>
        <v>0.63883712262392855</v>
      </c>
      <c r="Q10" s="4">
        <f>T27/W27</f>
        <v>1.440530649588289</v>
      </c>
      <c r="R10" s="4">
        <f>U27/X27</f>
        <v>1.7436845348120764</v>
      </c>
      <c r="S10" s="5">
        <f>V27/Y27</f>
        <v>2.2439886845827441</v>
      </c>
      <c r="T10" s="4">
        <f t="shared" si="12"/>
        <v>0.99222323879231467</v>
      </c>
      <c r="U10" s="4">
        <f t="shared" si="13"/>
        <v>1.2686383240911892</v>
      </c>
      <c r="V10" s="5">
        <f t="shared" si="14"/>
        <v>1.7942008486562941</v>
      </c>
      <c r="W10" s="4">
        <f t="shared" si="15"/>
        <v>4.2535693889206163</v>
      </c>
      <c r="X10" s="4">
        <f t="shared" si="16"/>
        <v>3.4058280028429282</v>
      </c>
      <c r="Y10" s="5">
        <f t="shared" si="17"/>
        <v>3.2468495181616008</v>
      </c>
      <c r="Z10" s="4">
        <f>AI27/E10</f>
        <v>1.5332892900815216</v>
      </c>
      <c r="AA10" s="4">
        <f>AI27/F10</f>
        <v>1.5956181230116648</v>
      </c>
      <c r="AB10" s="5">
        <f>AI27/G10</f>
        <v>1.6824463920983976</v>
      </c>
      <c r="AC10" s="4">
        <f>AI27/B10</f>
        <v>33</v>
      </c>
      <c r="AD10" s="4">
        <f>AI27/C10</f>
        <v>33</v>
      </c>
      <c r="AE10" s="5" t="e">
        <f>AI27/D10</f>
        <v>#DIV/0!</v>
      </c>
    </row>
    <row r="11" spans="1:40">
      <c r="A11" t="s">
        <v>52</v>
      </c>
      <c r="B11" s="2">
        <v>-6</v>
      </c>
      <c r="C11" s="2">
        <v>-6</v>
      </c>
      <c r="D11" s="3">
        <v>-11</v>
      </c>
      <c r="E11" s="2">
        <f t="shared" si="0"/>
        <v>82.61770629615576</v>
      </c>
      <c r="F11" s="2">
        <f t="shared" si="1"/>
        <v>69.751014332000366</v>
      </c>
      <c r="G11" s="3">
        <f t="shared" si="2"/>
        <v>103.45894509471965</v>
      </c>
      <c r="H11" s="2">
        <f t="shared" si="3"/>
        <v>10.874704491725767</v>
      </c>
      <c r="I11" s="2">
        <f t="shared" si="4"/>
        <v>4.9583274473795731</v>
      </c>
      <c r="J11" s="3">
        <f t="shared" si="5"/>
        <v>4.5534643071385716E-2</v>
      </c>
      <c r="K11" s="2">
        <f t="shared" si="6"/>
        <v>-4.8758865248226951E-2</v>
      </c>
      <c r="L11" s="2">
        <f t="shared" si="7"/>
        <v>-0.13434100861703629</v>
      </c>
      <c r="M11" s="3">
        <f t="shared" si="8"/>
        <v>4.255398920215956E-3</v>
      </c>
      <c r="N11" s="2">
        <f t="shared" si="9"/>
        <v>1.5432447710570942</v>
      </c>
      <c r="O11" s="2">
        <f t="shared" si="10"/>
        <v>1.9437562772012049</v>
      </c>
      <c r="P11" s="3">
        <f t="shared" si="11"/>
        <v>2.3543618101794377</v>
      </c>
      <c r="Q11" s="4">
        <f>T28/W28</f>
        <v>0.8951787648970746</v>
      </c>
      <c r="R11" s="4">
        <f>U28/X28</f>
        <v>0.87299663299663288</v>
      </c>
      <c r="S11" s="5">
        <f>V28/Y28</f>
        <v>1.0291817285573448</v>
      </c>
      <c r="T11" s="4">
        <f t="shared" si="12"/>
        <v>0.53033586132177679</v>
      </c>
      <c r="U11" s="4">
        <f t="shared" si="13"/>
        <v>0.48632996632996622</v>
      </c>
      <c r="V11" s="5">
        <f t="shared" si="14"/>
        <v>0.48281301347354588</v>
      </c>
      <c r="W11" s="4">
        <f t="shared" si="15"/>
        <v>1.2981132075471697</v>
      </c>
      <c r="X11" s="4">
        <f t="shared" si="16"/>
        <v>0.47496423462088694</v>
      </c>
      <c r="Y11" s="5">
        <f t="shared" si="17"/>
        <v>0.39231692677070829</v>
      </c>
      <c r="Z11" s="4">
        <f>AI28/E11</f>
        <v>0.52894230497456185</v>
      </c>
      <c r="AA11" s="4">
        <f>AI28/F11</f>
        <v>0.62651418647472368</v>
      </c>
      <c r="AB11" s="5">
        <f>AI28/G11</f>
        <v>0.42238976977767745</v>
      </c>
      <c r="AC11" s="4">
        <f>AI28/B11</f>
        <v>-7.2833333333333341</v>
      </c>
      <c r="AD11" s="4">
        <f>AI28/C11</f>
        <v>-7.2833333333333341</v>
      </c>
      <c r="AE11" s="5">
        <f>AI28/D11</f>
        <v>-3.9727272727272731</v>
      </c>
    </row>
    <row r="12" spans="1:40">
      <c r="A12" t="s">
        <v>53</v>
      </c>
      <c r="B12" s="2">
        <v>0.38</v>
      </c>
      <c r="C12" s="2">
        <v>0.38</v>
      </c>
      <c r="D12" s="3">
        <v>0.23</v>
      </c>
      <c r="E12" s="2">
        <f t="shared" si="0"/>
        <v>6.5377237496360223</v>
      </c>
      <c r="F12" s="2">
        <f t="shared" si="1"/>
        <v>15.459368866542636</v>
      </c>
      <c r="G12" s="3">
        <f t="shared" si="2"/>
        <v>7.099899456680796</v>
      </c>
      <c r="H12" s="2">
        <f t="shared" si="3"/>
        <v>7.2333239515902052</v>
      </c>
      <c r="I12" s="2">
        <f t="shared" si="4"/>
        <v>9.0023497160759742</v>
      </c>
      <c r="J12" s="3">
        <f t="shared" si="5"/>
        <v>9.3595863166268903E-2</v>
      </c>
      <c r="K12" s="2">
        <f t="shared" si="6"/>
        <v>1.6726307747979573E-2</v>
      </c>
      <c r="L12" s="2">
        <f t="shared" si="7"/>
        <v>1.6937536714313688E-2</v>
      </c>
      <c r="M12" s="3">
        <f t="shared" si="8"/>
        <v>1.2370723945902943E-2</v>
      </c>
      <c r="N12" s="2">
        <f t="shared" si="9"/>
        <v>2.0991641875619775</v>
      </c>
      <c r="O12" s="2">
        <f t="shared" si="10"/>
        <v>0.84783129642942745</v>
      </c>
      <c r="P12" s="3">
        <f t="shared" si="11"/>
        <v>2.2564570832246282</v>
      </c>
      <c r="Q12" s="4">
        <f>T29/W29</f>
        <v>1.1641066512099694</v>
      </c>
      <c r="R12" s="4">
        <f>U29/X29</f>
        <v>1.106145669586047</v>
      </c>
      <c r="S12" s="5">
        <f>V29/Y29</f>
        <v>1.0619404348620503</v>
      </c>
      <c r="T12" s="4">
        <f t="shared" si="12"/>
        <v>0.64381973627010558</v>
      </c>
      <c r="U12" s="4">
        <f t="shared" si="13"/>
        <v>0.48244629089003682</v>
      </c>
      <c r="V12" s="5">
        <f t="shared" si="14"/>
        <v>0.46007674036177615</v>
      </c>
      <c r="W12" s="4">
        <f t="shared" si="15"/>
        <v>2.0740932978654385</v>
      </c>
      <c r="X12" s="4">
        <f t="shared" si="16"/>
        <v>1.5020314044141869</v>
      </c>
      <c r="Y12" s="5">
        <f t="shared" si="17"/>
        <v>1.7792515395547135</v>
      </c>
      <c r="Z12" s="4">
        <f>AI29/E12</f>
        <v>0.47111198300042495</v>
      </c>
      <c r="AA12" s="4">
        <f>AI29/F12</f>
        <v>0.19923193673616105</v>
      </c>
      <c r="AB12" s="5">
        <f>AI29/G12</f>
        <v>0.43380896008348552</v>
      </c>
      <c r="AC12" s="4">
        <f>AI29/B12</f>
        <v>8.1052631578947363</v>
      </c>
      <c r="AD12" s="4">
        <f>AI29/C12</f>
        <v>8.1052631578947363</v>
      </c>
      <c r="AE12" s="5">
        <f>AI29/D12</f>
        <v>13.391304347826086</v>
      </c>
    </row>
    <row r="13" spans="1:40">
      <c r="A13" t="s">
        <v>54</v>
      </c>
      <c r="B13" s="2">
        <v>1.17</v>
      </c>
      <c r="C13" s="2">
        <v>1.17</v>
      </c>
      <c r="D13" s="3">
        <v>-0.4</v>
      </c>
      <c r="E13" s="2">
        <f t="shared" si="0"/>
        <v>191.36296603365426</v>
      </c>
      <c r="F13" s="2">
        <f t="shared" si="1"/>
        <v>178.40253109670533</v>
      </c>
      <c r="G13" s="3">
        <f t="shared" si="2"/>
        <v>38.386949985586284</v>
      </c>
      <c r="H13" s="2">
        <f t="shared" si="3"/>
        <v>37.881462799495594</v>
      </c>
      <c r="I13" s="2">
        <f t="shared" si="4"/>
        <v>31.219052110351335</v>
      </c>
      <c r="J13" s="3">
        <f t="shared" si="5"/>
        <v>0.17062973608570681</v>
      </c>
      <c r="K13" s="2">
        <f>N30/H30</f>
        <v>4.5145018915510718E-2</v>
      </c>
      <c r="L13" s="2">
        <f t="shared" si="7"/>
        <v>-1.9099269040320683E-2</v>
      </c>
      <c r="M13" s="3">
        <f t="shared" si="8"/>
        <v>2.0642801149725633E-2</v>
      </c>
      <c r="N13" s="2">
        <f t="shared" si="9"/>
        <v>0.44915808148401754</v>
      </c>
      <c r="O13" s="2">
        <f t="shared" si="10"/>
        <v>0.51707675358060956</v>
      </c>
      <c r="P13" s="3">
        <f t="shared" si="11"/>
        <v>1.950814584949573</v>
      </c>
      <c r="Q13" s="4">
        <f>T30/W30</f>
        <v>2.4519096180763849</v>
      </c>
      <c r="R13" s="4">
        <f>U30/X30</f>
        <v>2.0689840530370902</v>
      </c>
      <c r="S13" s="5">
        <f>V30/Y30</f>
        <v>3.3606060606060608</v>
      </c>
      <c r="T13" s="4">
        <f t="shared" si="12"/>
        <v>2.3149370125974809</v>
      </c>
      <c r="U13" s="4">
        <f t="shared" si="13"/>
        <v>1.9664934599534132</v>
      </c>
      <c r="V13" s="5">
        <f t="shared" si="14"/>
        <v>3.1590909090909096</v>
      </c>
      <c r="W13" s="4">
        <f t="shared" si="15"/>
        <v>2.4041368337311058</v>
      </c>
      <c r="X13" s="4">
        <f t="shared" si="16"/>
        <v>3.706521739130435</v>
      </c>
      <c r="Y13" s="5">
        <f t="shared" si="17"/>
        <v>3.7695167286245348</v>
      </c>
      <c r="Z13" s="4">
        <f>AI30/E13</f>
        <v>8.1520475582806798E-2</v>
      </c>
      <c r="AA13" s="4">
        <f>AI30/F13</f>
        <v>8.7442705572062893E-2</v>
      </c>
      <c r="AB13" s="5">
        <f>AI30/G13</f>
        <v>0.40638810861132657</v>
      </c>
      <c r="AC13" s="4">
        <f>AI30/B13</f>
        <v>13.333333333333334</v>
      </c>
      <c r="AD13" s="4">
        <f>AI30/C13</f>
        <v>13.333333333333334</v>
      </c>
      <c r="AE13" s="5">
        <f>AI30/D13</f>
        <v>-39</v>
      </c>
    </row>
    <row r="14" spans="1:40">
      <c r="A14" t="s">
        <v>55</v>
      </c>
      <c r="B14" s="2">
        <v>-6</v>
      </c>
      <c r="C14" s="2">
        <v>-6</v>
      </c>
      <c r="D14" s="3">
        <v>-4</v>
      </c>
      <c r="E14" s="2">
        <f t="shared" si="0"/>
        <v>22.731033341606683</v>
      </c>
      <c r="F14" s="2">
        <f t="shared" si="1"/>
        <v>27.653677504757173</v>
      </c>
      <c r="G14" s="3">
        <f t="shared" si="2"/>
        <v>32.824522213948875</v>
      </c>
      <c r="H14" s="2">
        <f t="shared" si="3"/>
        <v>-6.9916297390448054</v>
      </c>
      <c r="I14" s="2">
        <f t="shared" si="4"/>
        <v>-5.3208137715179964</v>
      </c>
      <c r="J14" s="3">
        <f t="shared" si="5"/>
        <v>4.0937407297537816E-2</v>
      </c>
      <c r="K14" s="2">
        <f t="shared" si="6"/>
        <v>-0.1398325947808961</v>
      </c>
      <c r="L14" s="2">
        <f t="shared" si="7"/>
        <v>-8.4898278560250395E-2</v>
      </c>
      <c r="M14" s="3">
        <f t="shared" si="8"/>
        <v>8.009492732126965E-3</v>
      </c>
      <c r="N14" s="2">
        <f t="shared" si="9"/>
        <v>1.5368516833484989</v>
      </c>
      <c r="O14" s="2">
        <f t="shared" si="10"/>
        <v>0.91398653702318622</v>
      </c>
      <c r="P14" s="3">
        <f t="shared" si="11"/>
        <v>0.84499054820415875</v>
      </c>
      <c r="Q14" s="4">
        <f>T31/W31</f>
        <v>1.3283302063789868</v>
      </c>
      <c r="R14" s="4">
        <f>U31/X31</f>
        <v>1.7343234323432344</v>
      </c>
      <c r="S14" s="5">
        <f>V31/Y31</f>
        <v>1.8308270676691729</v>
      </c>
      <c r="T14" s="4">
        <f t="shared" si="12"/>
        <v>1.0944340212632895</v>
      </c>
      <c r="U14" s="4">
        <f t="shared" si="13"/>
        <v>1.4191419141914192</v>
      </c>
      <c r="V14" s="5">
        <f t="shared" si="14"/>
        <v>1.2812030075187972</v>
      </c>
      <c r="W14" s="4">
        <f t="shared" si="15"/>
        <v>3.6640211640211637</v>
      </c>
      <c r="X14" s="4">
        <f t="shared" si="16"/>
        <v>3.1033243486073676</v>
      </c>
      <c r="Y14" s="5">
        <f t="shared" si="17"/>
        <v>3.7125658389766745</v>
      </c>
      <c r="Z14" s="4">
        <f>AI31/E14</f>
        <v>0.64009408553230218</v>
      </c>
      <c r="AA14" s="4">
        <f>AI31/F14</f>
        <v>0.52615063575168297</v>
      </c>
      <c r="AB14" s="5">
        <f>AI31/G14</f>
        <v>0.44326616257088841</v>
      </c>
      <c r="AC14" s="4">
        <f>AI31/B14</f>
        <v>-2.4250000000000003</v>
      </c>
      <c r="AD14" s="4">
        <f>AI31/C14</f>
        <v>-2.4250000000000003</v>
      </c>
      <c r="AE14" s="5">
        <f>AI31/D14</f>
        <v>-3.6375000000000002</v>
      </c>
    </row>
    <row r="15" spans="1:40">
      <c r="A15" s="10" t="s">
        <v>56</v>
      </c>
      <c r="B15" s="16">
        <v>0.02</v>
      </c>
      <c r="C15" s="16">
        <v>0</v>
      </c>
      <c r="D15" s="17">
        <v>0.23</v>
      </c>
      <c r="E15" s="16" t="e">
        <f t="shared" ref="E4:E15" si="18">B32/E32</f>
        <v>#DIV/0!</v>
      </c>
      <c r="F15" s="16" t="e">
        <f t="shared" si="1"/>
        <v>#DIV/0!</v>
      </c>
      <c r="G15" s="17" t="e">
        <f t="shared" si="2"/>
        <v>#DIV/0!</v>
      </c>
      <c r="H15" s="16">
        <f t="shared" si="3"/>
        <v>1.7751479289940828</v>
      </c>
      <c r="I15" s="16">
        <f t="shared" si="4"/>
        <v>1.7204301075268817</v>
      </c>
      <c r="J15" s="17">
        <f t="shared" si="5"/>
        <v>3.0784508440913603E-2</v>
      </c>
      <c r="K15" s="16">
        <f t="shared" si="6"/>
        <v>1.4792899408284025E-3</v>
      </c>
      <c r="L15" s="16">
        <f t="shared" si="7"/>
        <v>0</v>
      </c>
      <c r="M15" s="17">
        <f t="shared" si="8"/>
        <v>7.9443892750744784E-3</v>
      </c>
      <c r="N15" s="16">
        <f t="shared" si="9"/>
        <v>0.19024390243902442</v>
      </c>
      <c r="O15" s="16">
        <f t="shared" si="10"/>
        <v>0.11707317073170732</v>
      </c>
      <c r="P15" s="17">
        <f t="shared" si="11"/>
        <v>0.14425427872860636</v>
      </c>
      <c r="Q15" s="10">
        <f>T32/W32</f>
        <v>7.5128205128205128</v>
      </c>
      <c r="R15" s="10">
        <f>U32/X32</f>
        <v>36.428571428571423</v>
      </c>
      <c r="S15" s="11">
        <f>V32/Y32</f>
        <v>12.047619047619047</v>
      </c>
      <c r="T15" s="10">
        <f t="shared" si="12"/>
        <v>2.8717948717948718</v>
      </c>
      <c r="U15" s="10">
        <f t="shared" si="13"/>
        <v>17.285714285714281</v>
      </c>
      <c r="V15" s="11">
        <f t="shared" si="14"/>
        <v>7.5714285714285712</v>
      </c>
      <c r="W15" s="10">
        <f t="shared" si="15"/>
        <v>1.7587301587301585</v>
      </c>
      <c r="X15" s="10">
        <f t="shared" si="16"/>
        <v>3.4210526315789469</v>
      </c>
      <c r="Y15" s="11">
        <f t="shared" si="17"/>
        <v>6.7205882352941186</v>
      </c>
      <c r="Z15" s="10" t="e">
        <f>AI32/E15</f>
        <v>#DIV/0!</v>
      </c>
      <c r="AA15" s="10" t="e">
        <f>AI32/F15</f>
        <v>#DIV/0!</v>
      </c>
      <c r="AB15" s="11" t="e">
        <f>AI32/G15</f>
        <v>#DIV/0!</v>
      </c>
      <c r="AC15" s="10">
        <f>AI32/B15</f>
        <v>327.5</v>
      </c>
      <c r="AD15" s="10" t="e">
        <f>AI32/C15</f>
        <v>#DIV/0!</v>
      </c>
      <c r="AE15" s="11">
        <f>AI32/D15</f>
        <v>28.478260869565215</v>
      </c>
    </row>
    <row r="18" spans="1:43">
      <c r="A18" s="18"/>
      <c r="B18" s="27" t="s">
        <v>30</v>
      </c>
      <c r="C18" s="27"/>
      <c r="D18" s="28"/>
      <c r="E18" s="27" t="s">
        <v>31</v>
      </c>
      <c r="F18" s="27"/>
      <c r="G18" s="28"/>
      <c r="H18" s="27" t="s">
        <v>32</v>
      </c>
      <c r="I18" s="27"/>
      <c r="J18" s="28"/>
      <c r="K18" s="27" t="s">
        <v>33</v>
      </c>
      <c r="L18" s="27"/>
      <c r="M18" s="28"/>
      <c r="N18" s="27" t="s">
        <v>34</v>
      </c>
      <c r="O18" s="27"/>
      <c r="P18" s="28"/>
      <c r="Q18" s="27" t="s">
        <v>35</v>
      </c>
      <c r="R18" s="27"/>
      <c r="S18" s="28"/>
      <c r="T18" s="27" t="s">
        <v>37</v>
      </c>
      <c r="U18" s="27"/>
      <c r="V18" s="28"/>
      <c r="W18" s="27" t="s">
        <v>38</v>
      </c>
      <c r="X18" s="27"/>
      <c r="Y18" s="28"/>
      <c r="Z18" s="27" t="s">
        <v>39</v>
      </c>
      <c r="AA18" s="27"/>
      <c r="AB18" s="28"/>
      <c r="AC18" s="27" t="s">
        <v>40</v>
      </c>
      <c r="AD18" s="27"/>
      <c r="AE18" s="28"/>
      <c r="AF18" s="27" t="s">
        <v>41</v>
      </c>
      <c r="AG18" s="27"/>
      <c r="AH18" s="28"/>
      <c r="AI18" s="27" t="s">
        <v>42</v>
      </c>
      <c r="AJ18" s="27"/>
      <c r="AK18" s="28"/>
    </row>
    <row r="19" spans="1:43">
      <c r="A19" s="10"/>
      <c r="B19" s="13">
        <v>2018</v>
      </c>
      <c r="C19" s="13">
        <v>2017</v>
      </c>
      <c r="D19" s="14">
        <v>2016</v>
      </c>
      <c r="E19" s="31"/>
      <c r="F19" s="31"/>
      <c r="G19" s="32"/>
      <c r="H19" s="13">
        <v>2018</v>
      </c>
      <c r="I19" s="13">
        <v>2017</v>
      </c>
      <c r="J19" s="14">
        <v>2016</v>
      </c>
      <c r="K19" s="13">
        <v>2018</v>
      </c>
      <c r="L19" s="13">
        <v>2017</v>
      </c>
      <c r="M19" s="14">
        <v>2016</v>
      </c>
      <c r="N19" s="13">
        <v>2018</v>
      </c>
      <c r="O19" s="13">
        <v>2017</v>
      </c>
      <c r="P19" s="14">
        <v>2016</v>
      </c>
      <c r="Q19" s="13">
        <v>2018</v>
      </c>
      <c r="R19" s="13">
        <v>2017</v>
      </c>
      <c r="S19" s="14">
        <v>2016</v>
      </c>
      <c r="T19" s="13">
        <v>2018</v>
      </c>
      <c r="U19" s="13">
        <v>2017</v>
      </c>
      <c r="V19" s="14">
        <v>2016</v>
      </c>
      <c r="W19" s="13">
        <v>2018</v>
      </c>
      <c r="X19" s="13">
        <v>2017</v>
      </c>
      <c r="Y19" s="14">
        <v>2016</v>
      </c>
      <c r="Z19" s="13">
        <v>2018</v>
      </c>
      <c r="AA19" s="13">
        <v>2017</v>
      </c>
      <c r="AB19" s="14">
        <v>2016</v>
      </c>
      <c r="AC19" s="13">
        <v>2018</v>
      </c>
      <c r="AD19" s="13">
        <v>2017</v>
      </c>
      <c r="AE19" s="14">
        <v>2016</v>
      </c>
      <c r="AF19" s="13">
        <v>2018</v>
      </c>
      <c r="AG19" s="13">
        <v>2017</v>
      </c>
      <c r="AH19" s="14">
        <v>2016</v>
      </c>
      <c r="AI19" s="29"/>
      <c r="AJ19" s="29"/>
      <c r="AK19" s="30"/>
      <c r="AO19" s="7"/>
      <c r="AP19" s="7"/>
      <c r="AQ19" s="7"/>
    </row>
    <row r="20" spans="1:43">
      <c r="A20" t="s">
        <v>44</v>
      </c>
      <c r="B20" s="4">
        <f>-(576.36-666.71)</f>
        <v>90.350000000000023</v>
      </c>
      <c r="C20" s="4">
        <v>173.01</v>
      </c>
      <c r="D20" s="5">
        <f>(512.13-308.78)</f>
        <v>203.35000000000002</v>
      </c>
      <c r="E20" s="23">
        <v>128527540</v>
      </c>
      <c r="F20" s="23"/>
      <c r="G20" s="24"/>
      <c r="H20" s="4">
        <v>2614.2199999999998</v>
      </c>
      <c r="I20" s="4">
        <v>2504.34</v>
      </c>
      <c r="J20" s="5">
        <v>2455.91</v>
      </c>
      <c r="K20" s="4">
        <v>401.69</v>
      </c>
      <c r="L20" s="4">
        <v>324.60000000000002</v>
      </c>
      <c r="M20" s="5">
        <v>302.39999999999998</v>
      </c>
      <c r="N20" s="4">
        <v>220.51</v>
      </c>
      <c r="O20" s="4">
        <v>158.94999999999999</v>
      </c>
      <c r="P20" s="5">
        <v>217.39</v>
      </c>
      <c r="Q20" s="4">
        <v>666.71</v>
      </c>
      <c r="R20" s="4">
        <v>598.80999999999995</v>
      </c>
      <c r="S20" s="5">
        <v>512.13</v>
      </c>
      <c r="T20" s="4">
        <v>1554.9</v>
      </c>
      <c r="U20" s="4">
        <v>1361.91</v>
      </c>
      <c r="V20" s="5">
        <v>1157.6199999999999</v>
      </c>
      <c r="W20" s="4">
        <v>560.78</v>
      </c>
      <c r="X20" s="4">
        <v>494.84</v>
      </c>
      <c r="Y20" s="5">
        <v>409.26</v>
      </c>
      <c r="Z20" s="4">
        <v>765.17</v>
      </c>
      <c r="AA20" s="4">
        <v>712.8</v>
      </c>
      <c r="AB20" s="5">
        <v>685.35</v>
      </c>
      <c r="AC20" s="4">
        <v>269.52</v>
      </c>
      <c r="AD20" s="4">
        <v>291.42</v>
      </c>
      <c r="AE20" s="5">
        <v>302.79000000000002</v>
      </c>
      <c r="AF20" s="4">
        <v>738.98500000000001</v>
      </c>
      <c r="AG20" s="4">
        <v>699.07500000000005</v>
      </c>
      <c r="AH20" s="5">
        <v>695.02499999999998</v>
      </c>
      <c r="AI20" s="19">
        <v>1089</v>
      </c>
      <c r="AJ20" s="19"/>
      <c r="AK20" s="20"/>
    </row>
    <row r="21" spans="1:43">
      <c r="A21" t="s">
        <v>45</v>
      </c>
      <c r="B21" s="4">
        <f>-(505.72-1268.73)</f>
        <v>763.01</v>
      </c>
      <c r="C21" s="4">
        <f>-(463.97-1070.34)</f>
        <v>606.36999999999989</v>
      </c>
      <c r="D21" s="5">
        <v>512.36</v>
      </c>
      <c r="E21" s="23">
        <v>120432420</v>
      </c>
      <c r="F21" s="23"/>
      <c r="G21" s="24"/>
      <c r="H21" s="4">
        <v>1961.38</v>
      </c>
      <c r="I21" s="4">
        <v>1644.76</v>
      </c>
      <c r="J21" s="5">
        <v>1715.27</v>
      </c>
      <c r="K21" s="4">
        <v>306.55</v>
      </c>
      <c r="L21" s="4">
        <v>244.52</v>
      </c>
      <c r="M21" s="5">
        <v>243.34</v>
      </c>
      <c r="N21" s="4">
        <v>161.07</v>
      </c>
      <c r="O21" s="4">
        <v>119.95</v>
      </c>
      <c r="P21" s="5">
        <v>120.28</v>
      </c>
      <c r="Q21" s="4">
        <v>505.72</v>
      </c>
      <c r="R21" s="4">
        <v>463.97</v>
      </c>
      <c r="S21" s="5">
        <v>516.76</v>
      </c>
      <c r="T21" s="4">
        <v>580.64</v>
      </c>
      <c r="U21" s="4">
        <v>446.73</v>
      </c>
      <c r="V21" s="5">
        <v>418.42</v>
      </c>
      <c r="W21" s="4">
        <v>433.48</v>
      </c>
      <c r="X21" s="4">
        <v>359.87</v>
      </c>
      <c r="Y21" s="5">
        <v>361.25</v>
      </c>
      <c r="Z21" s="4">
        <v>313.93</v>
      </c>
      <c r="AA21" s="4">
        <v>290.20999999999998</v>
      </c>
      <c r="AB21" s="5">
        <v>285.83999999999997</v>
      </c>
      <c r="AC21" s="4">
        <v>705.69</v>
      </c>
      <c r="AD21" s="4">
        <v>580.13</v>
      </c>
      <c r="AE21" s="5">
        <v>596.27</v>
      </c>
      <c r="AF21" s="4">
        <v>302.07</v>
      </c>
      <c r="AG21" s="4">
        <v>288.02499999999998</v>
      </c>
      <c r="AH21" s="5">
        <v>267.26</v>
      </c>
      <c r="AI21" s="19">
        <v>730</v>
      </c>
      <c r="AJ21" s="19"/>
      <c r="AK21" s="20"/>
    </row>
    <row r="22" spans="1:43">
      <c r="A22" t="s">
        <v>46</v>
      </c>
      <c r="B22" s="4">
        <f>-(221.17-489.75)</f>
        <v>268.58000000000004</v>
      </c>
      <c r="C22" s="4">
        <f>-(221.18-405.14)</f>
        <v>183.95999999999998</v>
      </c>
      <c r="D22" s="5">
        <f>-(197.9-352.3)</f>
        <v>154.4</v>
      </c>
      <c r="E22" s="23">
        <v>17969614</v>
      </c>
      <c r="F22" s="23"/>
      <c r="G22" s="24"/>
      <c r="H22" s="4">
        <v>757.97</v>
      </c>
      <c r="I22" s="4">
        <v>615.72</v>
      </c>
      <c r="J22" s="5">
        <v>538.83000000000004</v>
      </c>
      <c r="K22" s="4">
        <v>84.95</v>
      </c>
      <c r="L22" s="4">
        <v>69.650000000000006</v>
      </c>
      <c r="M22" s="5">
        <v>56.66</v>
      </c>
      <c r="N22" s="4">
        <v>37.9</v>
      </c>
      <c r="O22" s="4">
        <v>30.64</v>
      </c>
      <c r="P22" s="5">
        <v>25.24</v>
      </c>
      <c r="Q22" s="4">
        <v>221.17</v>
      </c>
      <c r="R22" s="4">
        <v>221.18</v>
      </c>
      <c r="S22" s="5">
        <v>197.9</v>
      </c>
      <c r="T22" s="4">
        <v>319.47000000000003</v>
      </c>
      <c r="U22" s="4">
        <v>240.17</v>
      </c>
      <c r="V22" s="5">
        <v>177.64</v>
      </c>
      <c r="W22" s="4">
        <v>214.85</v>
      </c>
      <c r="X22" s="4">
        <v>217.42</v>
      </c>
      <c r="Y22" s="5">
        <v>175.13</v>
      </c>
      <c r="Z22" s="4">
        <v>126.69</v>
      </c>
      <c r="AA22" s="4">
        <v>114.46</v>
      </c>
      <c r="AB22" s="5">
        <v>100.89</v>
      </c>
      <c r="AC22" s="4">
        <v>134.37</v>
      </c>
      <c r="AD22" s="4">
        <v>105.1</v>
      </c>
      <c r="AE22" s="5">
        <v>76.180000000000007</v>
      </c>
      <c r="AF22" s="4">
        <v>120.575</v>
      </c>
      <c r="AG22" s="4">
        <v>107.675</v>
      </c>
      <c r="AH22" s="5">
        <v>107.33499999999999</v>
      </c>
      <c r="AI22" s="19">
        <v>472</v>
      </c>
      <c r="AJ22" s="19"/>
      <c r="AK22" s="20"/>
    </row>
    <row r="23" spans="1:43">
      <c r="A23" t="s">
        <v>47</v>
      </c>
      <c r="B23" s="4">
        <f>-(33.36-288.42)</f>
        <v>255.06</v>
      </c>
      <c r="C23" s="4">
        <f>-(17.71-246.95)</f>
        <v>229.23999999999998</v>
      </c>
      <c r="D23" s="5">
        <f>-(7.355-221.87)</f>
        <v>214.51500000000001</v>
      </c>
      <c r="E23" s="23">
        <v>25155012</v>
      </c>
      <c r="F23" s="23"/>
      <c r="G23" s="24"/>
      <c r="H23" s="4">
        <v>142.88999999999999</v>
      </c>
      <c r="I23" s="4">
        <v>101.01</v>
      </c>
      <c r="J23" s="5">
        <v>82.88</v>
      </c>
      <c r="K23" s="4">
        <v>33.96</v>
      </c>
      <c r="L23" s="4">
        <v>22.07</v>
      </c>
      <c r="M23" s="5">
        <v>18.940000000000001</v>
      </c>
      <c r="N23" s="4">
        <v>21.37</v>
      </c>
      <c r="O23" s="4">
        <v>13.4</v>
      </c>
      <c r="P23" s="5">
        <v>11.3</v>
      </c>
      <c r="Q23" s="4">
        <v>33.36</v>
      </c>
      <c r="R23" s="4">
        <v>17.71</v>
      </c>
      <c r="S23" s="5">
        <v>7.3550000000000004</v>
      </c>
      <c r="T23" s="4">
        <v>53.08</v>
      </c>
      <c r="U23" s="4">
        <v>23.66</v>
      </c>
      <c r="V23" s="5">
        <v>61.38</v>
      </c>
      <c r="W23" s="4">
        <v>32.130000000000003</v>
      </c>
      <c r="X23" s="4">
        <v>16.18</v>
      </c>
      <c r="Y23" s="5">
        <v>13.18</v>
      </c>
      <c r="Z23" s="4">
        <v>10.59</v>
      </c>
      <c r="AA23" s="4">
        <v>9.5299999999999994</v>
      </c>
      <c r="AB23" s="5">
        <v>8.2799999999999994</v>
      </c>
      <c r="AC23" s="4"/>
      <c r="AD23" s="4"/>
      <c r="AE23" s="5"/>
      <c r="AF23" s="4">
        <v>10.06</v>
      </c>
      <c r="AG23" s="4">
        <v>8.9049999999999994</v>
      </c>
      <c r="AH23" s="5">
        <v>7.46</v>
      </c>
      <c r="AI23" s="19">
        <v>197.05</v>
      </c>
      <c r="AJ23" s="19"/>
      <c r="AK23" s="20"/>
    </row>
    <row r="24" spans="1:43">
      <c r="A24" t="s">
        <v>48</v>
      </c>
      <c r="B24" s="4">
        <f>-(441.36-909.94)</f>
        <v>468.58000000000004</v>
      </c>
      <c r="C24" s="4">
        <f>-(327.22-619.24)</f>
        <v>292.02</v>
      </c>
      <c r="D24" s="5">
        <f>-(297.11-544.42)</f>
        <v>247.30999999999995</v>
      </c>
      <c r="E24" s="23">
        <v>12185436</v>
      </c>
      <c r="F24" s="23"/>
      <c r="G24" s="24"/>
      <c r="H24" s="4">
        <v>717.77</v>
      </c>
      <c r="I24" s="4">
        <v>648.13</v>
      </c>
      <c r="J24" s="5">
        <v>629.24</v>
      </c>
      <c r="K24" s="4">
        <v>54.08</v>
      </c>
      <c r="L24" s="4">
        <v>46.59</v>
      </c>
      <c r="M24" s="5">
        <v>54.27</v>
      </c>
      <c r="N24" s="4">
        <v>18.61</v>
      </c>
      <c r="O24" s="4">
        <v>18.579999999999998</v>
      </c>
      <c r="P24" s="5">
        <v>22.72</v>
      </c>
      <c r="Q24" s="4">
        <v>441.36</v>
      </c>
      <c r="R24" s="4">
        <v>327.22000000000003</v>
      </c>
      <c r="S24" s="5">
        <v>297.11</v>
      </c>
      <c r="T24" s="4">
        <v>514</v>
      </c>
      <c r="U24" s="4">
        <v>400.63</v>
      </c>
      <c r="V24" s="5">
        <v>350.51</v>
      </c>
      <c r="W24" s="4">
        <v>394.74</v>
      </c>
      <c r="X24" s="4">
        <v>287.83</v>
      </c>
      <c r="Y24" s="5">
        <v>267.37</v>
      </c>
      <c r="Z24" s="4">
        <v>327.08999999999997</v>
      </c>
      <c r="AA24" s="4">
        <v>264.73</v>
      </c>
      <c r="AB24" s="5">
        <v>236.48</v>
      </c>
      <c r="AC24" s="4">
        <v>245.82</v>
      </c>
      <c r="AD24" s="4">
        <v>201.85</v>
      </c>
      <c r="AE24" s="5">
        <v>210.16</v>
      </c>
      <c r="AF24" s="4">
        <v>295.91000000000003</v>
      </c>
      <c r="AG24" s="4">
        <v>250.60499999999999</v>
      </c>
      <c r="AH24" s="5">
        <v>207.07499999999999</v>
      </c>
      <c r="AI24" s="19">
        <v>231.45</v>
      </c>
      <c r="AJ24" s="19"/>
      <c r="AK24" s="20"/>
    </row>
    <row r="25" spans="1:43">
      <c r="A25" t="s">
        <v>49</v>
      </c>
      <c r="B25" s="4">
        <f>-(263.96-426.18)</f>
        <v>162.22000000000003</v>
      </c>
      <c r="C25" s="4">
        <f>-(234.7-396.61)</f>
        <v>161.91000000000003</v>
      </c>
      <c r="D25" s="5">
        <f>-(260-405.62)</f>
        <v>145.62</v>
      </c>
      <c r="E25" s="23">
        <v>17040000</v>
      </c>
      <c r="F25" s="23"/>
      <c r="G25" s="24"/>
      <c r="H25" s="4">
        <v>497.47</v>
      </c>
      <c r="I25" s="4">
        <v>454.51</v>
      </c>
      <c r="J25" s="5">
        <v>526.16999999999996</v>
      </c>
      <c r="K25" s="4">
        <v>39.840000000000003</v>
      </c>
      <c r="L25" s="4">
        <v>43.3</v>
      </c>
      <c r="M25" s="5">
        <v>44.06</v>
      </c>
      <c r="N25" s="4">
        <v>6.39</v>
      </c>
      <c r="O25" s="4">
        <v>10.06</v>
      </c>
      <c r="P25" s="5">
        <v>16.920000000000002</v>
      </c>
      <c r="Q25" s="4">
        <v>263.95999999999998</v>
      </c>
      <c r="R25" s="4">
        <v>234.7</v>
      </c>
      <c r="S25" s="5">
        <v>260</v>
      </c>
      <c r="T25" s="4">
        <v>311.42</v>
      </c>
      <c r="U25" s="4">
        <v>269.75</v>
      </c>
      <c r="V25" s="5">
        <v>287.33999999999997</v>
      </c>
      <c r="W25" s="4">
        <v>247.91</v>
      </c>
      <c r="X25" s="4">
        <v>219.26</v>
      </c>
      <c r="Y25" s="5">
        <v>240.53</v>
      </c>
      <c r="Z25" s="4">
        <v>164.15</v>
      </c>
      <c r="AA25" s="4">
        <v>141.08000000000001</v>
      </c>
      <c r="AB25" s="5">
        <v>143.21</v>
      </c>
      <c r="AC25" s="4">
        <v>182.96</v>
      </c>
      <c r="AD25" s="4">
        <v>161.31</v>
      </c>
      <c r="AE25" s="5">
        <v>207.18</v>
      </c>
      <c r="AF25" s="4">
        <v>152.61500000000001</v>
      </c>
      <c r="AG25" s="4">
        <v>284.29000000000002</v>
      </c>
      <c r="AH25" s="5">
        <v>127.80500000000001</v>
      </c>
      <c r="AI25" s="19">
        <v>154.75</v>
      </c>
      <c r="AJ25" s="19"/>
      <c r="AK25" s="20"/>
    </row>
    <row r="26" spans="1:43">
      <c r="A26" t="s">
        <v>50</v>
      </c>
      <c r="B26" s="4">
        <f>-(409.92-622.45)</f>
        <v>212.53000000000003</v>
      </c>
      <c r="C26" s="4">
        <f>-(376.96-585.9)</f>
        <v>208.94</v>
      </c>
      <c r="D26" s="5">
        <f>-(392.96-594.86)</f>
        <v>201.90000000000003</v>
      </c>
      <c r="E26" s="23">
        <v>11025000</v>
      </c>
      <c r="F26" s="23"/>
      <c r="G26" s="24"/>
      <c r="H26" s="4">
        <v>664.79</v>
      </c>
      <c r="I26" s="4">
        <v>673.52</v>
      </c>
      <c r="J26" s="5">
        <v>721.79</v>
      </c>
      <c r="K26" s="4">
        <v>60.54</v>
      </c>
      <c r="L26" s="4">
        <v>51.89</v>
      </c>
      <c r="M26" s="5">
        <v>82.23</v>
      </c>
      <c r="N26" s="4">
        <v>17.63</v>
      </c>
      <c r="O26" s="4">
        <v>8.3699999999999992</v>
      </c>
      <c r="P26" s="5">
        <v>27.92</v>
      </c>
      <c r="Q26" s="4">
        <v>409.2</v>
      </c>
      <c r="R26" s="4">
        <v>376.96</v>
      </c>
      <c r="S26" s="5">
        <v>392.96</v>
      </c>
      <c r="T26" s="4">
        <v>448.56</v>
      </c>
      <c r="U26" s="4">
        <v>392.99</v>
      </c>
      <c r="V26" s="5">
        <v>408.62</v>
      </c>
      <c r="W26" s="4">
        <v>345.9</v>
      </c>
      <c r="X26" s="4">
        <v>316.17</v>
      </c>
      <c r="Y26" s="5">
        <v>331.3</v>
      </c>
      <c r="Z26" s="4">
        <v>205.44</v>
      </c>
      <c r="AA26" s="4">
        <v>204.66</v>
      </c>
      <c r="AB26" s="5">
        <v>215.21</v>
      </c>
      <c r="AC26" s="4">
        <v>301.45999999999998</v>
      </c>
      <c r="AD26" s="4">
        <v>313.38</v>
      </c>
      <c r="AE26" s="5">
        <v>345.5</v>
      </c>
      <c r="AF26" s="4">
        <v>205.05</v>
      </c>
      <c r="AG26" s="4">
        <v>209.935</v>
      </c>
      <c r="AH26" s="5">
        <v>213.285</v>
      </c>
      <c r="AI26" s="19">
        <v>125</v>
      </c>
      <c r="AJ26" s="19"/>
      <c r="AK26" s="20"/>
    </row>
    <row r="27" spans="1:43">
      <c r="A27" t="s">
        <v>51</v>
      </c>
      <c r="B27" s="4">
        <f>-(23.13-52.57)</f>
        <v>29.44</v>
      </c>
      <c r="C27" s="4">
        <f>-(17.32-45.61)</f>
        <v>28.29</v>
      </c>
      <c r="D27" s="5">
        <f>-(17.14-43.97)</f>
        <v>26.83</v>
      </c>
      <c r="E27" s="23">
        <v>13678799</v>
      </c>
      <c r="F27" s="23"/>
      <c r="G27" s="24"/>
      <c r="H27" s="4">
        <v>53.56</v>
      </c>
      <c r="I27" s="4">
        <v>36.75</v>
      </c>
      <c r="J27" s="5">
        <v>32.729999999999997</v>
      </c>
      <c r="K27" s="4">
        <v>4.45</v>
      </c>
      <c r="L27" s="4">
        <v>4.67</v>
      </c>
      <c r="M27" s="5">
        <v>2.67</v>
      </c>
      <c r="N27" s="4">
        <v>1.17</v>
      </c>
      <c r="O27" s="4">
        <v>1.47</v>
      </c>
      <c r="P27" s="5">
        <v>0.51</v>
      </c>
      <c r="Q27" s="4">
        <v>23.13</v>
      </c>
      <c r="R27" s="4">
        <v>17.32</v>
      </c>
      <c r="S27" s="5">
        <v>17.14</v>
      </c>
      <c r="T27" s="4">
        <v>31.49</v>
      </c>
      <c r="U27" s="4">
        <v>28.3</v>
      </c>
      <c r="V27" s="5">
        <v>31.73</v>
      </c>
      <c r="W27" s="4">
        <v>21.86</v>
      </c>
      <c r="X27" s="4">
        <v>16.23</v>
      </c>
      <c r="Y27" s="5">
        <v>14.14</v>
      </c>
      <c r="Z27" s="4">
        <v>9.8000000000000007</v>
      </c>
      <c r="AA27" s="4">
        <v>7.71</v>
      </c>
      <c r="AB27" s="5">
        <v>6.36</v>
      </c>
      <c r="AC27" s="4">
        <v>37.24</v>
      </c>
      <c r="AD27" s="4">
        <v>23.96</v>
      </c>
      <c r="AE27" s="5">
        <v>21.9</v>
      </c>
      <c r="AF27" s="4">
        <v>8.7550000000000008</v>
      </c>
      <c r="AG27" s="4">
        <v>7.0350000000000001</v>
      </c>
      <c r="AH27" s="5">
        <v>6.7450000000000001</v>
      </c>
      <c r="AI27" s="19">
        <v>33</v>
      </c>
      <c r="AJ27" s="19"/>
      <c r="AK27" s="20"/>
    </row>
    <row r="28" spans="1:43">
      <c r="A28" t="s">
        <v>52</v>
      </c>
      <c r="B28" s="4">
        <f>-(109.2-179.96)</f>
        <v>70.760000000000005</v>
      </c>
      <c r="C28" s="4">
        <f>-(116.12-175.86)</f>
        <v>59.740000000000009</v>
      </c>
      <c r="D28" s="5">
        <f>-(208.62-297.23)</f>
        <v>88.610000000000014</v>
      </c>
      <c r="E28" s="23">
        <v>8564750</v>
      </c>
      <c r="F28" s="23"/>
      <c r="G28" s="24"/>
      <c r="H28" s="4">
        <v>101.52</v>
      </c>
      <c r="I28" s="4">
        <v>70.790000000000006</v>
      </c>
      <c r="J28" s="5">
        <v>533.44000000000005</v>
      </c>
      <c r="K28" s="4">
        <v>11.04</v>
      </c>
      <c r="L28" s="4">
        <v>3.51</v>
      </c>
      <c r="M28" s="5">
        <v>24.29</v>
      </c>
      <c r="N28" s="4">
        <v>-4.95</v>
      </c>
      <c r="O28" s="4">
        <v>-9.51</v>
      </c>
      <c r="P28" s="5">
        <v>2.27</v>
      </c>
      <c r="Q28" s="4">
        <v>109.2</v>
      </c>
      <c r="R28" s="4">
        <v>116.12</v>
      </c>
      <c r="S28" s="5">
        <v>208.62</v>
      </c>
      <c r="T28" s="4">
        <v>66.099999999999994</v>
      </c>
      <c r="U28" s="4">
        <v>64.819999999999993</v>
      </c>
      <c r="V28" s="5">
        <v>156.59</v>
      </c>
      <c r="W28" s="4">
        <v>73.84</v>
      </c>
      <c r="X28" s="4">
        <v>74.25</v>
      </c>
      <c r="Y28" s="5">
        <v>152.15</v>
      </c>
      <c r="Z28" s="4">
        <v>26.94</v>
      </c>
      <c r="AA28" s="4">
        <v>28.71</v>
      </c>
      <c r="AB28" s="5">
        <v>83.13</v>
      </c>
      <c r="AC28" s="4">
        <v>36.119999999999997</v>
      </c>
      <c r="AD28" s="4">
        <v>26.56</v>
      </c>
      <c r="AE28" s="5">
        <v>40.85</v>
      </c>
      <c r="AF28" s="4">
        <v>27.824999999999999</v>
      </c>
      <c r="AG28" s="4">
        <v>55.92</v>
      </c>
      <c r="AH28" s="5">
        <v>104.125</v>
      </c>
      <c r="AI28" s="19">
        <v>43.7</v>
      </c>
      <c r="AJ28" s="19"/>
      <c r="AK28" s="20"/>
    </row>
    <row r="29" spans="1:43">
      <c r="A29" t="s">
        <v>53</v>
      </c>
      <c r="B29" s="4">
        <f>-(148.18-218.77)</f>
        <v>70.59</v>
      </c>
      <c r="C29" s="4">
        <f>-(41.52-208.44)</f>
        <v>166.92</v>
      </c>
      <c r="D29" s="5">
        <f>-(172.98-249.64)</f>
        <v>76.66</v>
      </c>
      <c r="E29" s="23">
        <v>107973360</v>
      </c>
      <c r="F29" s="23"/>
      <c r="G29" s="24"/>
      <c r="H29" s="4">
        <v>248.71</v>
      </c>
      <c r="I29" s="4">
        <v>204.28</v>
      </c>
      <c r="J29" s="5">
        <v>251.4</v>
      </c>
      <c r="K29" s="4">
        <v>17.989999999999998</v>
      </c>
      <c r="L29" s="4">
        <v>18.39</v>
      </c>
      <c r="M29" s="5">
        <v>23.53</v>
      </c>
      <c r="N29" s="4">
        <v>4.16</v>
      </c>
      <c r="O29" s="4">
        <v>3.46</v>
      </c>
      <c r="P29" s="5">
        <v>3.11</v>
      </c>
      <c r="Q29" s="4">
        <v>148.18</v>
      </c>
      <c r="R29" s="4">
        <v>141.52000000000001</v>
      </c>
      <c r="S29" s="5">
        <f>8.79+164.19</f>
        <v>172.98</v>
      </c>
      <c r="T29" s="4">
        <v>160.66999999999999</v>
      </c>
      <c r="U29" s="4">
        <v>147.77000000000001</v>
      </c>
      <c r="V29" s="5">
        <v>174.36</v>
      </c>
      <c r="W29" s="4">
        <v>138.02000000000001</v>
      </c>
      <c r="X29" s="4">
        <v>133.59</v>
      </c>
      <c r="Y29" s="5">
        <v>164.19</v>
      </c>
      <c r="Z29" s="4">
        <v>71.81</v>
      </c>
      <c r="AA29" s="4">
        <v>83.32</v>
      </c>
      <c r="AB29" s="5">
        <v>98.82</v>
      </c>
      <c r="AC29" s="4">
        <v>159.84</v>
      </c>
      <c r="AD29" s="4">
        <v>136.79</v>
      </c>
      <c r="AE29" s="5">
        <v>169.02</v>
      </c>
      <c r="AF29" s="4">
        <f>(71.81+82.32)/2</f>
        <v>77.064999999999998</v>
      </c>
      <c r="AG29" s="4">
        <f>(83.32+98.82)/2</f>
        <v>91.07</v>
      </c>
      <c r="AH29" s="5">
        <f>(98.82+91.17)/2</f>
        <v>94.995000000000005</v>
      </c>
      <c r="AI29" s="19">
        <v>3.08</v>
      </c>
      <c r="AJ29" s="19"/>
      <c r="AK29" s="20"/>
    </row>
    <row r="30" spans="1:43">
      <c r="A30" t="s">
        <v>54</v>
      </c>
      <c r="B30" s="4">
        <f>465.6-144.31</f>
        <v>321.29000000000002</v>
      </c>
      <c r="C30" s="4">
        <f>454.41-154.88</f>
        <v>299.53000000000003</v>
      </c>
      <c r="D30" s="5">
        <f>190.18-125.73</f>
        <v>64.45</v>
      </c>
      <c r="E30" s="23">
        <v>16789560</v>
      </c>
      <c r="F30" s="23"/>
      <c r="G30" s="24"/>
      <c r="H30" s="4">
        <v>39.65</v>
      </c>
      <c r="I30" s="4">
        <v>42.41</v>
      </c>
      <c r="J30" s="5">
        <v>38.270000000000003</v>
      </c>
      <c r="K30" s="4">
        <f>10.48+3.57+0.97</f>
        <v>15.020000000000001</v>
      </c>
      <c r="L30" s="4">
        <f>10.68+3.57-1.01</f>
        <v>13.24</v>
      </c>
      <c r="M30" s="5">
        <f>7.51+0.74-1.72</f>
        <v>6.53</v>
      </c>
      <c r="N30" s="4">
        <v>1.79</v>
      </c>
      <c r="O30" s="4">
        <v>-0.81</v>
      </c>
      <c r="P30" s="5">
        <v>0.79</v>
      </c>
      <c r="Q30" s="4">
        <f>94.3+50.01</f>
        <v>144.31</v>
      </c>
      <c r="R30" s="4">
        <f>99.07+55.81</f>
        <v>154.88</v>
      </c>
      <c r="S30" s="5">
        <f>99.33+26.4</f>
        <v>125.72999999999999</v>
      </c>
      <c r="T30" s="4">
        <v>122.62</v>
      </c>
      <c r="U30" s="4">
        <v>115.47</v>
      </c>
      <c r="V30" s="5">
        <v>88.72</v>
      </c>
      <c r="W30" s="4">
        <v>50.01</v>
      </c>
      <c r="X30" s="4">
        <v>55.81</v>
      </c>
      <c r="Y30" s="5">
        <v>26.4</v>
      </c>
      <c r="Z30" s="4">
        <v>6.85</v>
      </c>
      <c r="AA30" s="4">
        <v>5.72</v>
      </c>
      <c r="AB30" s="5">
        <v>5.32</v>
      </c>
      <c r="AC30" s="4">
        <v>15.11</v>
      </c>
      <c r="AD30" s="4">
        <v>20.46</v>
      </c>
      <c r="AE30" s="5">
        <v>20.28</v>
      </c>
      <c r="AF30" s="4">
        <f>(6.85+5.72)/2</f>
        <v>6.2850000000000001</v>
      </c>
      <c r="AG30" s="4">
        <f>(5.72+5.32)/2</f>
        <v>5.52</v>
      </c>
      <c r="AH30" s="5">
        <f>(5.32+5.44)/2</f>
        <v>5.3800000000000008</v>
      </c>
      <c r="AI30" s="19">
        <v>15.6</v>
      </c>
      <c r="AJ30" s="19"/>
      <c r="AK30" s="20"/>
    </row>
    <row r="31" spans="1:43">
      <c r="A31" t="s">
        <v>55</v>
      </c>
      <c r="B31" s="4">
        <f>27.88-16.89</f>
        <v>10.989999999999998</v>
      </c>
      <c r="C31" s="4">
        <f>25.59-12.22</f>
        <v>13.37</v>
      </c>
      <c r="D31" s="5">
        <f>29.28-13.41</f>
        <v>15.870000000000001</v>
      </c>
      <c r="E31" s="23">
        <v>4834800</v>
      </c>
      <c r="F31" s="23"/>
      <c r="G31" s="24"/>
      <c r="H31" s="4">
        <v>20.309999999999999</v>
      </c>
      <c r="I31" s="4">
        <v>25.56</v>
      </c>
      <c r="J31" s="5">
        <v>33.71</v>
      </c>
      <c r="K31" s="4">
        <f>0.84+0.55-2.81</f>
        <v>-1.42</v>
      </c>
      <c r="L31" s="4">
        <f>0.53+0.4-2.29</f>
        <v>-1.3599999999999999</v>
      </c>
      <c r="M31" s="5">
        <f>0.35+1.03</f>
        <v>1.38</v>
      </c>
      <c r="N31" s="4">
        <v>-2.84</v>
      </c>
      <c r="O31" s="4">
        <v>-2.17</v>
      </c>
      <c r="P31" s="5">
        <v>0.27</v>
      </c>
      <c r="Q31" s="4">
        <f>0.9+15.99</f>
        <v>16.89</v>
      </c>
      <c r="R31" s="4">
        <f>0.1+12.12</f>
        <v>12.219999999999999</v>
      </c>
      <c r="S31" s="5">
        <f>0.11+13.3</f>
        <v>13.41</v>
      </c>
      <c r="T31" s="4">
        <v>21.24</v>
      </c>
      <c r="U31" s="4">
        <v>21.02</v>
      </c>
      <c r="V31" s="5">
        <v>24.35</v>
      </c>
      <c r="W31" s="4">
        <v>15.99</v>
      </c>
      <c r="X31" s="4">
        <v>12.12</v>
      </c>
      <c r="Y31" s="5">
        <v>13.3</v>
      </c>
      <c r="Z31" s="4">
        <v>3.74</v>
      </c>
      <c r="AA31" s="4">
        <v>3.82</v>
      </c>
      <c r="AB31" s="5">
        <v>7.31</v>
      </c>
      <c r="AC31" s="4">
        <v>13.85</v>
      </c>
      <c r="AD31" s="4">
        <v>17.27</v>
      </c>
      <c r="AE31" s="5">
        <v>24.67</v>
      </c>
      <c r="AF31" s="4">
        <f>(3.74+3.82)/2</f>
        <v>3.7800000000000002</v>
      </c>
      <c r="AG31" s="4">
        <f>(3.82+7.31)/2</f>
        <v>5.5649999999999995</v>
      </c>
      <c r="AH31" s="5">
        <f>(7.31+5.98)/2</f>
        <v>6.6449999999999996</v>
      </c>
      <c r="AI31" s="19">
        <v>14.55</v>
      </c>
      <c r="AJ31" s="19"/>
      <c r="AK31" s="20"/>
    </row>
    <row r="32" spans="1:43">
      <c r="A32" t="s">
        <v>56</v>
      </c>
      <c r="B32" s="10">
        <f>4.88-0.78</f>
        <v>4.0999999999999996</v>
      </c>
      <c r="C32" s="10">
        <f>4.58-0.48</f>
        <v>4.0999999999999996</v>
      </c>
      <c r="D32" s="11">
        <f>4.68-0.59</f>
        <v>4.09</v>
      </c>
      <c r="E32" s="4"/>
      <c r="F32" s="4"/>
      <c r="G32" s="5"/>
      <c r="H32" s="4">
        <v>6.76</v>
      </c>
      <c r="I32" s="4">
        <v>9.3000000000000007</v>
      </c>
      <c r="J32" s="5">
        <v>10.07</v>
      </c>
      <c r="K32" s="4">
        <f>0.1+0.02</f>
        <v>0.12000000000000001</v>
      </c>
      <c r="L32" s="4">
        <v>0.16</v>
      </c>
      <c r="M32" s="5">
        <v>0.31</v>
      </c>
      <c r="N32" s="4">
        <v>0.01</v>
      </c>
      <c r="O32" s="4">
        <v>0</v>
      </c>
      <c r="P32" s="5">
        <v>0.08</v>
      </c>
      <c r="Q32" s="4">
        <f>0.39+0.39</f>
        <v>0.78</v>
      </c>
      <c r="R32" s="4">
        <f>(0.41+0.07)</f>
        <v>0.48</v>
      </c>
      <c r="S32" s="5">
        <f>(0.38+0.21)</f>
        <v>0.59</v>
      </c>
      <c r="T32" s="4">
        <v>2.93</v>
      </c>
      <c r="U32" s="4">
        <v>2.5499999999999998</v>
      </c>
      <c r="V32" s="5">
        <v>2.5299999999999998</v>
      </c>
      <c r="W32" s="4">
        <v>0.39</v>
      </c>
      <c r="X32" s="4">
        <v>7.0000000000000007E-2</v>
      </c>
      <c r="Y32" s="5">
        <v>0.21</v>
      </c>
      <c r="Z32" s="4">
        <v>1.81</v>
      </c>
      <c r="AA32" s="4">
        <v>1.34</v>
      </c>
      <c r="AB32" s="5">
        <v>0.94</v>
      </c>
      <c r="AC32" s="4">
        <v>2.77</v>
      </c>
      <c r="AD32" s="4">
        <v>3.9</v>
      </c>
      <c r="AE32" s="5">
        <v>4.57</v>
      </c>
      <c r="AF32" s="4">
        <f>(1.81+1.34)/2</f>
        <v>1.5750000000000002</v>
      </c>
      <c r="AG32" s="4">
        <f>(1.34+0.94)/2</f>
        <v>1.1400000000000001</v>
      </c>
      <c r="AH32" s="5">
        <f>(0.94+0.42)/2</f>
        <v>0.67999999999999994</v>
      </c>
      <c r="AI32" s="19">
        <v>6.55</v>
      </c>
      <c r="AJ32" s="19"/>
      <c r="AK32" s="20"/>
    </row>
  </sheetData>
  <mergeCells count="48">
    <mergeCell ref="H1:J1"/>
    <mergeCell ref="E1:G1"/>
    <mergeCell ref="B1:D1"/>
    <mergeCell ref="AC1:AE1"/>
    <mergeCell ref="Z1:AB1"/>
    <mergeCell ref="W1:Y1"/>
    <mergeCell ref="T1:V1"/>
    <mergeCell ref="Q1:S1"/>
    <mergeCell ref="N1:P1"/>
    <mergeCell ref="K1:M1"/>
    <mergeCell ref="AI18:AK18"/>
    <mergeCell ref="Q18:S18"/>
    <mergeCell ref="B18:D18"/>
    <mergeCell ref="H18:J18"/>
    <mergeCell ref="K18:M18"/>
    <mergeCell ref="N18:P18"/>
    <mergeCell ref="E18:G19"/>
    <mergeCell ref="E25:G25"/>
    <mergeCell ref="E26:G26"/>
    <mergeCell ref="E27:G27"/>
    <mergeCell ref="E28:G28"/>
    <mergeCell ref="E20:G20"/>
    <mergeCell ref="E21:G21"/>
    <mergeCell ref="E22:G22"/>
    <mergeCell ref="E23:G23"/>
    <mergeCell ref="E24:G24"/>
    <mergeCell ref="AI21:AK21"/>
    <mergeCell ref="AI22:AK22"/>
    <mergeCell ref="AI23:AK23"/>
    <mergeCell ref="E30:G30"/>
    <mergeCell ref="E31:G31"/>
    <mergeCell ref="E29:G29"/>
    <mergeCell ref="AI29:AK29"/>
    <mergeCell ref="AI30:AK30"/>
    <mergeCell ref="AI31:AK31"/>
    <mergeCell ref="AI32:AK32"/>
    <mergeCell ref="T18:V18"/>
    <mergeCell ref="W18:Y18"/>
    <mergeCell ref="Z18:AB18"/>
    <mergeCell ref="AC18:AE18"/>
    <mergeCell ref="AF18:AH18"/>
    <mergeCell ref="AI24:AK24"/>
    <mergeCell ref="AI25:AK25"/>
    <mergeCell ref="AI26:AK26"/>
    <mergeCell ref="AI27:AK27"/>
    <mergeCell ref="AI28:AK28"/>
    <mergeCell ref="AI19:AK19"/>
    <mergeCell ref="AI20:A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2019-01-26T11:18:48Z</dcterms:created>
  <dcterms:modified xsi:type="dcterms:W3CDTF">2019-01-28T10:07:00Z</dcterms:modified>
  <cp:category/>
  <cp:contentStatus/>
</cp:coreProperties>
</file>